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207409\Desktop\KPCo WFH2020\Base Case\Discovery\Staff Set 4\"/>
    </mc:Choice>
  </mc:AlternateContent>
  <bookViews>
    <workbookView xWindow="11985" yWindow="105" windowWidth="12015" windowHeight="10020" tabRatio="955" firstSheet="7" activeTab="22"/>
  </bookViews>
  <sheets>
    <sheet name="EX AEV-1" sheetId="25" r:id="rId1"/>
    <sheet name="Rate Export" sheetId="31" state="hidden" r:id="rId2"/>
    <sheet name="RS" sheetId="1" r:id="rId3"/>
    <sheet name="RS-D" sheetId="30" r:id="rId4"/>
    <sheet name="RS TOD2" sheetId="4" r:id="rId5"/>
    <sheet name="SGS TOD" sheetId="6" r:id="rId6"/>
    <sheet name="GS AF NM TODs" sheetId="7" r:id="rId7"/>
    <sheet name="GS" sheetId="29" r:id="rId8"/>
    <sheet name="LGS" sheetId="10" r:id="rId9"/>
    <sheet name="LGS-TOD" sheetId="9" r:id="rId10"/>
    <sheet name="IGS" sheetId="11" r:id="rId11"/>
    <sheet name="MW" sheetId="17" r:id="rId12"/>
    <sheet name="OL 1" sheetId="18" r:id="rId13"/>
    <sheet name="OL 2" sheetId="19" r:id="rId14"/>
    <sheet name="SL 1" sheetId="21" r:id="rId15"/>
    <sheet name="SL 2" sheetId="22" r:id="rId16"/>
    <sheet name="Conversion Charge" sheetId="32" r:id="rId17"/>
    <sheet name="AFS Rate" sheetId="16" r:id="rId18"/>
    <sheet name="off peak" sheetId="13" r:id="rId19"/>
    <sheet name="Demand Basis" sheetId="15" r:id="rId20"/>
    <sheet name="Energy Basis" sheetId="14" r:id="rId21"/>
    <sheet name="Off Peak xcs" sheetId="12" r:id="rId22"/>
    <sheet name="Cogen" sheetId="23" r:id="rId23"/>
    <sheet name="Carrying Charge" sheetId="26" r:id="rId24"/>
  </sheets>
  <definedNames>
    <definedName name="_xlnm.Print_Area" localSheetId="17">'AFS Rate'!$A$1:$G$38</definedName>
    <definedName name="_xlnm.Print_Area" localSheetId="23">'Carrying Charge'!$A$1:$M$27</definedName>
    <definedName name="_xlnm.Print_Area" localSheetId="22">Cogen!$A$1:$L$265</definedName>
    <definedName name="_xlnm.Print_Area" localSheetId="16">'Conversion Charge'!$A$1:$H$21</definedName>
    <definedName name="_xlnm.Print_Area" localSheetId="19">'Demand Basis'!$A$1:$G$35</definedName>
    <definedName name="_xlnm.Print_Area" localSheetId="20">'Energy Basis'!$A$1:$G$53</definedName>
    <definedName name="_xlnm.Print_Area" localSheetId="0">'EX AEV-1'!$B$1:$X$26</definedName>
    <definedName name="_xlnm.Print_Area" localSheetId="7">GS!$A$1:$L$134</definedName>
    <definedName name="_xlnm.Print_Area" localSheetId="6">'GS AF NM TODs'!$A$1:$K$148</definedName>
    <definedName name="_xlnm.Print_Area" localSheetId="10">IGS!$A$1:$M$286</definedName>
    <definedName name="_xlnm.Print_Area" localSheetId="8">LGS!$A$1:$N$294</definedName>
    <definedName name="_xlnm.Print_Area" localSheetId="9">'LGS-TOD'!$A$1:$L$81</definedName>
    <definedName name="_xlnm.Print_Area" localSheetId="11">MW!$A$1:$J$62</definedName>
    <definedName name="_xlnm.Print_Area" localSheetId="18">'off peak'!$A$1:$E$25</definedName>
    <definedName name="_xlnm.Print_Area" localSheetId="21">'Off Peak xcs'!$A$1:$I$25</definedName>
    <definedName name="_xlnm.Print_Area" localSheetId="12">'OL 1'!$A$1:$U$67</definedName>
    <definedName name="_xlnm.Print_Area" localSheetId="13">'OL 2'!$A$1:$Q$50</definedName>
    <definedName name="_xlnm.Print_Area" localSheetId="2">RS!$A$1:$J$140</definedName>
    <definedName name="_xlnm.Print_Area" localSheetId="4">'RS TOD2'!$A$1:$N$74</definedName>
    <definedName name="_xlnm.Print_Area" localSheetId="3">'RS-D'!$A$1:$E$32</definedName>
    <definedName name="_xlnm.Print_Area" localSheetId="5">'SGS TOD'!$A$1:$M$98</definedName>
    <definedName name="_xlnm.Print_Area" localSheetId="14">'SL 1'!$A$1:$S$59</definedName>
    <definedName name="_xlnm.Print_Area" localSheetId="15">'SL 2'!$A$2:$M$69</definedName>
  </definedNames>
  <calcPr calcId="162913" iterate="1"/>
</workbook>
</file>

<file path=xl/calcChain.xml><?xml version="1.0" encoding="utf-8"?>
<calcChain xmlns="http://schemas.openxmlformats.org/spreadsheetml/2006/main">
  <c r="G342" i="23" l="1"/>
  <c r="G340" i="23"/>
  <c r="K263" i="23"/>
  <c r="K49" i="18" l="1"/>
  <c r="D70" i="29" l="1"/>
  <c r="E44" i="15"/>
  <c r="M85" i="6"/>
  <c r="I98" i="6"/>
  <c r="E20" i="6"/>
  <c r="E19" i="6" s="1"/>
  <c r="E26" i="4" l="1"/>
  <c r="G64" i="4"/>
  <c r="E15" i="32" l="1"/>
  <c r="E16" i="32" s="1"/>
  <c r="G16" i="32" s="1"/>
  <c r="E9" i="32"/>
  <c r="E10" i="32" s="1"/>
  <c r="G10" i="32" s="1"/>
  <c r="U18" i="25" l="1"/>
  <c r="U17" i="25"/>
  <c r="U16" i="25"/>
  <c r="U21" i="25"/>
  <c r="R16" i="25"/>
  <c r="R18" i="25"/>
  <c r="R17" i="25"/>
  <c r="R21" i="25"/>
  <c r="M18" i="25"/>
  <c r="M17" i="25"/>
  <c r="M16" i="25"/>
  <c r="H18" i="25"/>
  <c r="H17" i="25"/>
  <c r="H16" i="25"/>
  <c r="C18" i="25"/>
  <c r="C17" i="25"/>
  <c r="C16" i="25"/>
  <c r="H21" i="25"/>
  <c r="C54" i="25" l="1"/>
  <c r="D57" i="25"/>
  <c r="C56" i="25" s="1"/>
  <c r="D56" i="25"/>
  <c r="D55" i="25"/>
  <c r="C55" i="25" s="1"/>
  <c r="D54" i="25"/>
  <c r="C50" i="25"/>
  <c r="C45" i="25"/>
  <c r="C43" i="25"/>
  <c r="I50" i="22" l="1"/>
  <c r="I49" i="22"/>
  <c r="F18" i="22"/>
  <c r="I37" i="22" s="1"/>
  <c r="F16" i="22"/>
  <c r="I35" i="22" s="1"/>
  <c r="F15" i="22"/>
  <c r="I34" i="22" s="1"/>
  <c r="F14" i="22"/>
  <c r="I33" i="22" s="1"/>
  <c r="F13" i="22"/>
  <c r="I32" i="22" s="1"/>
  <c r="F17" i="22"/>
  <c r="I36" i="22" s="1"/>
  <c r="H148" i="23" l="1"/>
  <c r="G148" i="23"/>
  <c r="H147" i="23"/>
  <c r="G147" i="23"/>
  <c r="I137" i="23"/>
  <c r="I139" i="23" s="1"/>
  <c r="K254" i="23" l="1"/>
  <c r="K243" i="23"/>
  <c r="K234" i="23"/>
  <c r="E27" i="19" l="1"/>
  <c r="F20" i="26" l="1"/>
  <c r="J9" i="23" l="1"/>
  <c r="H184" i="23" l="1"/>
  <c r="B186" i="31" l="1"/>
  <c r="B178" i="31"/>
  <c r="B23" i="30"/>
  <c r="B175" i="31"/>
  <c r="H169" i="23"/>
  <c r="H171" i="23"/>
  <c r="H174" i="23"/>
  <c r="F169" i="23"/>
  <c r="F171" i="23"/>
  <c r="F174" i="23"/>
  <c r="D113" i="29"/>
  <c r="D97" i="29"/>
  <c r="D96" i="29"/>
  <c r="D88" i="1"/>
  <c r="D87" i="1"/>
  <c r="D86" i="1"/>
  <c r="D129" i="29"/>
  <c r="H176" i="23" l="1"/>
  <c r="F176" i="23"/>
  <c r="E97" i="1" l="1"/>
  <c r="E22" i="1" l="1"/>
  <c r="D33" i="29" l="1"/>
  <c r="D32" i="29"/>
  <c r="E16" i="1"/>
  <c r="B56" i="21"/>
  <c r="C64" i="18"/>
  <c r="J281" i="11" l="1"/>
  <c r="C38" i="31" l="1"/>
  <c r="C37" i="31"/>
  <c r="C35" i="31"/>
  <c r="C34" i="31"/>
  <c r="B36" i="31"/>
  <c r="B33" i="31"/>
  <c r="D62" i="29"/>
  <c r="B20" i="31"/>
  <c r="C22" i="31"/>
  <c r="C21" i="31"/>
  <c r="D79" i="29"/>
  <c r="D75" i="29"/>
  <c r="D71" i="29"/>
  <c r="L120" i="10" l="1"/>
  <c r="D74" i="29"/>
  <c r="F69" i="1" l="1"/>
  <c r="M94" i="6"/>
  <c r="M95" i="6"/>
  <c r="C45" i="4"/>
  <c r="G45" i="4" s="1"/>
  <c r="C44" i="4"/>
  <c r="M68" i="4"/>
  <c r="M69" i="4"/>
  <c r="T46" i="18"/>
  <c r="T45" i="18"/>
  <c r="T44" i="18"/>
  <c r="T43" i="18"/>
  <c r="T42" i="18"/>
  <c r="T41" i="18"/>
  <c r="T40" i="18"/>
  <c r="T39" i="18"/>
  <c r="T38" i="18"/>
  <c r="T37" i="18"/>
  <c r="T36" i="18"/>
  <c r="T35" i="18"/>
  <c r="T34" i="18"/>
  <c r="D206" i="10" l="1"/>
  <c r="D207" i="10"/>
  <c r="D208" i="10"/>
  <c r="D205" i="10"/>
  <c r="D198" i="10"/>
  <c r="D199" i="10"/>
  <c r="D200" i="10"/>
  <c r="D197" i="10"/>
  <c r="D190" i="10"/>
  <c r="D191" i="10"/>
  <c r="D192" i="10"/>
  <c r="D189" i="10"/>
  <c r="D182" i="10"/>
  <c r="D183" i="10"/>
  <c r="D184" i="10"/>
  <c r="D181" i="10"/>
  <c r="M121" i="10"/>
  <c r="F129" i="10" s="1"/>
  <c r="L121" i="10"/>
  <c r="L122" i="10"/>
  <c r="L123" i="10"/>
  <c r="M120" i="10"/>
  <c r="F128" i="10" s="1"/>
  <c r="D122" i="1" l="1"/>
  <c r="D123" i="1"/>
  <c r="C117" i="1"/>
  <c r="E108" i="1" s="1"/>
  <c r="D196" i="11" l="1"/>
  <c r="H252" i="11"/>
  <c r="H274" i="11"/>
  <c r="F274" i="11"/>
  <c r="P8" i="25"/>
  <c r="E146" i="7" l="1"/>
  <c r="G146" i="7"/>
  <c r="C54" i="7" l="1"/>
  <c r="C79" i="7"/>
  <c r="E79" i="7"/>
  <c r="G79" i="7"/>
  <c r="C80" i="7"/>
  <c r="C82" i="7"/>
  <c r="E36" i="7"/>
  <c r="E41" i="7" s="1"/>
  <c r="K21" i="7" s="1"/>
  <c r="C81" i="7" l="1"/>
  <c r="D78" i="29" l="1"/>
  <c r="D118" i="29"/>
  <c r="F118" i="29" s="1"/>
  <c r="D132" i="29"/>
  <c r="C132" i="29"/>
  <c r="F132" i="29" s="1"/>
  <c r="C131" i="29"/>
  <c r="C130" i="29"/>
  <c r="C129" i="29"/>
  <c r="D127" i="29"/>
  <c r="F127" i="29" s="1"/>
  <c r="C127" i="29"/>
  <c r="C126" i="29"/>
  <c r="C125" i="29"/>
  <c r="C124" i="29"/>
  <c r="C121" i="29"/>
  <c r="C120" i="29"/>
  <c r="C119" i="29"/>
  <c r="C118" i="29"/>
  <c r="H110" i="29"/>
  <c r="C103" i="29"/>
  <c r="F103" i="29" s="1"/>
  <c r="D112" i="29"/>
  <c r="C97" i="29"/>
  <c r="C105" i="29" s="1"/>
  <c r="D111" i="29"/>
  <c r="C96" i="29"/>
  <c r="C104" i="29" s="1"/>
  <c r="D110" i="29"/>
  <c r="C95" i="29"/>
  <c r="C98" i="29" s="1"/>
  <c r="C106" i="29" s="1"/>
  <c r="C79" i="29"/>
  <c r="C78" i="29"/>
  <c r="D125" i="29"/>
  <c r="F125" i="29" s="1"/>
  <c r="C75" i="29"/>
  <c r="C74" i="29"/>
  <c r="C71" i="29"/>
  <c r="F71" i="29" s="1"/>
  <c r="C70" i="29"/>
  <c r="F95" i="29" l="1"/>
  <c r="F70" i="29"/>
  <c r="F75" i="29"/>
  <c r="F97" i="29"/>
  <c r="F96" i="29"/>
  <c r="D119" i="29"/>
  <c r="F119" i="29" s="1"/>
  <c r="F98" i="29" l="1"/>
  <c r="C91" i="29" s="1"/>
  <c r="F79" i="29"/>
  <c r="D130" i="29"/>
  <c r="F130" i="29" s="1"/>
  <c r="D124" i="29"/>
  <c r="F124" i="29" s="1"/>
  <c r="F74" i="29"/>
  <c r="F129" i="29"/>
  <c r="F78" i="29"/>
  <c r="F81" i="29" l="1"/>
  <c r="C88" i="29" s="1"/>
  <c r="C52" i="7" l="1"/>
  <c r="C51" i="7"/>
  <c r="E12" i="14" l="1"/>
  <c r="D12" i="14"/>
  <c r="C12" i="14"/>
  <c r="B12" i="14"/>
  <c r="C50" i="15"/>
  <c r="B50" i="15"/>
  <c r="D73" i="1" l="1"/>
  <c r="K18" i="7" l="1"/>
  <c r="N12" i="25" l="1"/>
  <c r="N11" i="25"/>
  <c r="N10" i="25"/>
  <c r="N9" i="25"/>
  <c r="N8" i="25"/>
  <c r="Q12" i="25"/>
  <c r="Q11" i="25"/>
  <c r="Q10" i="25"/>
  <c r="Q9" i="25"/>
  <c r="Q8" i="25"/>
  <c r="I12" i="25"/>
  <c r="I11" i="25"/>
  <c r="I10" i="25"/>
  <c r="I9" i="25"/>
  <c r="I8" i="25"/>
  <c r="X12" i="25"/>
  <c r="X11" i="25"/>
  <c r="X10" i="25"/>
  <c r="X9" i="25"/>
  <c r="X8" i="25"/>
  <c r="W12" i="25"/>
  <c r="W11" i="25"/>
  <c r="W10" i="25"/>
  <c r="W9" i="25"/>
  <c r="W8" i="25"/>
  <c r="V12" i="25"/>
  <c r="V25" i="25" s="1"/>
  <c r="C14" i="17" s="1"/>
  <c r="V11" i="25"/>
  <c r="V24" i="25" s="1"/>
  <c r="V10" i="25"/>
  <c r="V23" i="25" s="1"/>
  <c r="V9" i="25"/>
  <c r="V8" i="25"/>
  <c r="D8" i="25"/>
  <c r="W17" i="25" l="1"/>
  <c r="W21" i="25" s="1"/>
  <c r="W18" i="25"/>
  <c r="W22" i="25" s="1"/>
  <c r="Q17" i="25"/>
  <c r="Q21" i="25" s="1"/>
  <c r="V18" i="25"/>
  <c r="V22" i="25"/>
  <c r="C13" i="17" s="1"/>
  <c r="I18" i="25"/>
  <c r="I22" i="25" s="1"/>
  <c r="N18" i="25"/>
  <c r="N22" i="25"/>
  <c r="X17" i="25"/>
  <c r="X21" i="25" s="1"/>
  <c r="X18" i="25"/>
  <c r="X22" i="25" s="1"/>
  <c r="V17" i="25"/>
  <c r="V21" i="25" s="1"/>
  <c r="I17" i="25"/>
  <c r="I21" i="25"/>
  <c r="Q18" i="25"/>
  <c r="Q22" i="25" s="1"/>
  <c r="N17" i="25"/>
  <c r="N21" i="25"/>
  <c r="I13" i="25"/>
  <c r="C18" i="7"/>
  <c r="C12" i="17" l="1"/>
  <c r="V26" i="25"/>
  <c r="D57" i="10" l="1"/>
  <c r="B48" i="15" s="1"/>
  <c r="C57" i="17" l="1"/>
  <c r="K29" i="18" l="1"/>
  <c r="U29" i="18" s="1"/>
  <c r="K30" i="18"/>
  <c r="U30" i="18" s="1"/>
  <c r="M29" i="18" l="1"/>
  <c r="F182" i="10"/>
  <c r="X24" i="25" l="1"/>
  <c r="I59" i="22" s="1"/>
  <c r="O9" i="25"/>
  <c r="F93" i="31"/>
  <c r="K31" i="18"/>
  <c r="U31" i="18" s="1"/>
  <c r="F92" i="31"/>
  <c r="D259" i="10"/>
  <c r="B49" i="14"/>
  <c r="E11" i="15"/>
  <c r="D11" i="15"/>
  <c r="C11" i="15"/>
  <c r="E80" i="6"/>
  <c r="E79" i="6"/>
  <c r="E78" i="6"/>
  <c r="E77" i="6"/>
  <c r="G8" i="19"/>
  <c r="G55" i="18"/>
  <c r="B29" i="30"/>
  <c r="Q4" i="21"/>
  <c r="S31" i="18"/>
  <c r="T31" i="18" s="1"/>
  <c r="S30" i="18"/>
  <c r="S29" i="18"/>
  <c r="T29" i="18" s="1"/>
  <c r="S21" i="18"/>
  <c r="T21" i="18" s="1"/>
  <c r="T30" i="18"/>
  <c r="S11" i="18"/>
  <c r="S10" i="18"/>
  <c r="T10" i="18" s="1"/>
  <c r="H263" i="11"/>
  <c r="F279" i="10"/>
  <c r="E47" i="31" s="1"/>
  <c r="H23" i="10"/>
  <c r="F55" i="10"/>
  <c r="D129" i="10" s="1"/>
  <c r="F53" i="29"/>
  <c r="F59" i="29" s="1"/>
  <c r="B17" i="30"/>
  <c r="B30" i="30" s="1"/>
  <c r="E30" i="30" s="1"/>
  <c r="I97" i="1"/>
  <c r="E106" i="1" s="1"/>
  <c r="C35" i="17"/>
  <c r="J19" i="11"/>
  <c r="H19" i="11"/>
  <c r="D123" i="11" s="1"/>
  <c r="F19" i="11"/>
  <c r="D122" i="11" s="1"/>
  <c r="D19" i="11"/>
  <c r="D121" i="11" s="1"/>
  <c r="F146" i="10"/>
  <c r="B51" i="14"/>
  <c r="E49" i="15"/>
  <c r="F124" i="11"/>
  <c r="F123" i="11"/>
  <c r="F175" i="11" s="1"/>
  <c r="F212" i="11" s="1"/>
  <c r="F122" i="11"/>
  <c r="F152" i="11" s="1"/>
  <c r="F83" i="11"/>
  <c r="D100" i="11" s="1"/>
  <c r="F82" i="11"/>
  <c r="D99" i="11" s="1"/>
  <c r="F81" i="11"/>
  <c r="D98" i="11" s="1"/>
  <c r="D55" i="10"/>
  <c r="F226" i="10"/>
  <c r="D58" i="10"/>
  <c r="D258" i="10" s="1"/>
  <c r="D56" i="10"/>
  <c r="F142" i="10"/>
  <c r="J31" i="9" s="1"/>
  <c r="J73" i="9" s="1"/>
  <c r="F141" i="10"/>
  <c r="D175" i="10" s="1"/>
  <c r="F140" i="10"/>
  <c r="D174" i="10" s="1"/>
  <c r="C20" i="7"/>
  <c r="K53" i="29"/>
  <c r="D122" i="29"/>
  <c r="F62" i="29"/>
  <c r="C122" i="29" s="1"/>
  <c r="E46" i="15"/>
  <c r="F325" i="23"/>
  <c r="F326" i="23" s="1"/>
  <c r="F327" i="23" s="1"/>
  <c r="F328" i="23" s="1"/>
  <c r="F329" i="23" s="1"/>
  <c r="F330" i="23" s="1"/>
  <c r="F331" i="23" s="1"/>
  <c r="F332" i="23" s="1"/>
  <c r="F333" i="23" s="1"/>
  <c r="F334" i="23" s="1"/>
  <c r="F335" i="23" s="1"/>
  <c r="F54" i="29"/>
  <c r="F60" i="29" s="1"/>
  <c r="D31" i="29"/>
  <c r="H34" i="29"/>
  <c r="D10" i="14" s="1"/>
  <c r="F34" i="29"/>
  <c r="C10" i="14" s="1"/>
  <c r="F55" i="29"/>
  <c r="F61" i="29" s="1"/>
  <c r="D34" i="29"/>
  <c r="F242" i="11"/>
  <c r="E63" i="31" s="1"/>
  <c r="F20" i="16"/>
  <c r="D127" i="1"/>
  <c r="E136" i="1" s="1"/>
  <c r="G29" i="19"/>
  <c r="G28" i="19"/>
  <c r="G27" i="19"/>
  <c r="O27" i="19" s="1"/>
  <c r="G22" i="19"/>
  <c r="G21" i="19"/>
  <c r="G18" i="19"/>
  <c r="O18" i="19" s="1"/>
  <c r="G17" i="19"/>
  <c r="O17" i="19" s="1"/>
  <c r="G15" i="19"/>
  <c r="G20" i="19"/>
  <c r="G14" i="19"/>
  <c r="G12" i="19"/>
  <c r="O12" i="19" s="1"/>
  <c r="G11" i="19"/>
  <c r="G10" i="19"/>
  <c r="G9" i="19"/>
  <c r="O9" i="19" s="1"/>
  <c r="C46" i="4"/>
  <c r="G46" i="4" s="1"/>
  <c r="E23" i="4" s="1"/>
  <c r="E24" i="4" s="1"/>
  <c r="E27" i="4" s="1"/>
  <c r="G67" i="4" s="1"/>
  <c r="B15" i="30"/>
  <c r="K8" i="19"/>
  <c r="S7" i="18" s="1"/>
  <c r="T7" i="18" s="1"/>
  <c r="F56" i="10"/>
  <c r="F57" i="10"/>
  <c r="F58" i="10"/>
  <c r="F83" i="10" s="1"/>
  <c r="J56" i="10"/>
  <c r="J57" i="10"/>
  <c r="J58" i="10"/>
  <c r="F85" i="10" s="1"/>
  <c r="F95" i="10" s="1"/>
  <c r="J55" i="10"/>
  <c r="D131" i="10" s="1"/>
  <c r="H56" i="10"/>
  <c r="H57" i="10"/>
  <c r="D11" i="14" s="1"/>
  <c r="D13" i="14" s="1"/>
  <c r="D17" i="14" s="1"/>
  <c r="D19" i="14" s="1"/>
  <c r="H58" i="10"/>
  <c r="H55" i="10"/>
  <c r="D11" i="22"/>
  <c r="H11" i="22" s="1"/>
  <c r="D10" i="22"/>
  <c r="G28" i="22" s="1"/>
  <c r="D9" i="22"/>
  <c r="G27" i="22" s="1"/>
  <c r="D8" i="22"/>
  <c r="G26" i="22" s="1"/>
  <c r="H196" i="23"/>
  <c r="H198" i="23" s="1"/>
  <c r="F42" i="11"/>
  <c r="E66" i="4"/>
  <c r="E65" i="4"/>
  <c r="G97" i="1"/>
  <c r="F71" i="1"/>
  <c r="G16" i="1"/>
  <c r="E7" i="1"/>
  <c r="E8" i="1" s="1"/>
  <c r="M30" i="18"/>
  <c r="H41" i="10"/>
  <c r="H38" i="10" s="1"/>
  <c r="H31" i="10"/>
  <c r="H30" i="10" s="1"/>
  <c r="D13" i="17"/>
  <c r="C41" i="19"/>
  <c r="C40" i="19"/>
  <c r="C62" i="22"/>
  <c r="C61" i="22"/>
  <c r="J7" i="23"/>
  <c r="G77" i="6"/>
  <c r="K25" i="6" s="1"/>
  <c r="H123" i="23"/>
  <c r="I156" i="23"/>
  <c r="J13" i="23"/>
  <c r="H194" i="23"/>
  <c r="H315" i="23"/>
  <c r="H316" i="23" s="1"/>
  <c r="H317" i="23" s="1"/>
  <c r="H318" i="23" s="1"/>
  <c r="H319" i="23" s="1"/>
  <c r="H320" i="23" s="1"/>
  <c r="H321" i="23" s="1"/>
  <c r="H322" i="23" s="1"/>
  <c r="H323" i="23" s="1"/>
  <c r="H324" i="23" s="1"/>
  <c r="H325" i="23" s="1"/>
  <c r="D315" i="23"/>
  <c r="D316" i="23" s="1"/>
  <c r="D317" i="23" s="1"/>
  <c r="D318" i="23" s="1"/>
  <c r="D319" i="23" s="1"/>
  <c r="D320" i="23" s="1"/>
  <c r="D321" i="23" s="1"/>
  <c r="D322" i="23" s="1"/>
  <c r="D323" i="23" s="1"/>
  <c r="D324" i="23" s="1"/>
  <c r="D325" i="23" s="1"/>
  <c r="D326" i="23" s="1"/>
  <c r="D327" i="23" s="1"/>
  <c r="D328" i="23" s="1"/>
  <c r="D329" i="23" s="1"/>
  <c r="D330" i="23" s="1"/>
  <c r="D331" i="23" s="1"/>
  <c r="D332" i="23" s="1"/>
  <c r="D333" i="23" s="1"/>
  <c r="D334" i="23" s="1"/>
  <c r="D335" i="23" s="1"/>
  <c r="F352" i="23"/>
  <c r="F354" i="23" s="1"/>
  <c r="H185" i="23" s="1"/>
  <c r="B5" i="22"/>
  <c r="E5" i="22"/>
  <c r="F5" i="22"/>
  <c r="H8" i="22"/>
  <c r="F8" i="22"/>
  <c r="P13" i="21" s="1"/>
  <c r="Q13" i="21" s="1"/>
  <c r="F9" i="22"/>
  <c r="P14" i="21" s="1"/>
  <c r="F10" i="22"/>
  <c r="P15" i="21" s="1"/>
  <c r="F11" i="22"/>
  <c r="P16" i="21" s="1"/>
  <c r="H23" i="22"/>
  <c r="I23" i="22" s="1"/>
  <c r="B26" i="22"/>
  <c r="E26" i="22" s="1"/>
  <c r="H26" i="22"/>
  <c r="I26" i="22" s="1"/>
  <c r="B27" i="22"/>
  <c r="D27" i="22"/>
  <c r="H27" i="22"/>
  <c r="H44" i="22" s="1"/>
  <c r="I44" i="22" s="1"/>
  <c r="B28" i="22"/>
  <c r="D28" i="22"/>
  <c r="H28" i="22"/>
  <c r="I28" i="22" s="1"/>
  <c r="B29" i="22"/>
  <c r="D29" i="22"/>
  <c r="H29" i="22"/>
  <c r="H46" i="22" s="1"/>
  <c r="I46" i="22" s="1"/>
  <c r="B43" i="22"/>
  <c r="E43" i="22" s="1"/>
  <c r="B44" i="22"/>
  <c r="E44" i="22" s="1"/>
  <c r="D44" i="22"/>
  <c r="D45" i="22" s="1"/>
  <c r="D46" i="22" s="1"/>
  <c r="B45" i="22"/>
  <c r="B46" i="22"/>
  <c r="D7" i="21"/>
  <c r="I7" i="21"/>
  <c r="K7" i="21" s="1"/>
  <c r="D8" i="21"/>
  <c r="F8" i="21"/>
  <c r="I8" i="21"/>
  <c r="K8" i="21" s="1"/>
  <c r="M8" i="21" s="1"/>
  <c r="D9" i="21"/>
  <c r="F9" i="21"/>
  <c r="I9" i="21"/>
  <c r="N9" i="21" s="1"/>
  <c r="K9" i="21"/>
  <c r="D10" i="21"/>
  <c r="F10" i="21"/>
  <c r="I10" i="21"/>
  <c r="N10" i="21" s="1"/>
  <c r="D11" i="21"/>
  <c r="F11" i="21"/>
  <c r="I11" i="21"/>
  <c r="K11" i="21" s="1"/>
  <c r="D12" i="21"/>
  <c r="F12" i="21"/>
  <c r="I12" i="21"/>
  <c r="N12" i="21" s="1"/>
  <c r="D13" i="21"/>
  <c r="D14" i="21"/>
  <c r="D15" i="21"/>
  <c r="D16" i="21"/>
  <c r="D25" i="21"/>
  <c r="D26" i="21"/>
  <c r="D27" i="21"/>
  <c r="D28" i="21"/>
  <c r="D36" i="21"/>
  <c r="D37" i="21"/>
  <c r="D38" i="21"/>
  <c r="D39" i="21"/>
  <c r="O8" i="19"/>
  <c r="K9" i="19"/>
  <c r="S8" i="18" s="1"/>
  <c r="O10" i="19"/>
  <c r="K10" i="19"/>
  <c r="S9" i="18" s="1"/>
  <c r="O11" i="19"/>
  <c r="K11" i="19"/>
  <c r="K12" i="19"/>
  <c r="O14" i="19"/>
  <c r="K14" i="19"/>
  <c r="O15" i="19"/>
  <c r="K15" i="19"/>
  <c r="K17" i="19"/>
  <c r="K18" i="19"/>
  <c r="O20" i="19"/>
  <c r="K20" i="19"/>
  <c r="O21" i="19"/>
  <c r="K21" i="19"/>
  <c r="O22" i="19"/>
  <c r="K22" i="19"/>
  <c r="K27" i="19"/>
  <c r="K28" i="19"/>
  <c r="S22" i="18" s="1"/>
  <c r="O29" i="19"/>
  <c r="K29" i="19"/>
  <c r="S23" i="18" s="1"/>
  <c r="T23" i="18" s="1"/>
  <c r="G31" i="19"/>
  <c r="O31" i="19" s="1"/>
  <c r="K31" i="19"/>
  <c r="K32" i="19"/>
  <c r="G7" i="18"/>
  <c r="G8" i="18"/>
  <c r="G9" i="18"/>
  <c r="G11" i="18"/>
  <c r="G12" i="18"/>
  <c r="G13" i="18"/>
  <c r="G14" i="18"/>
  <c r="G15" i="18"/>
  <c r="G16" i="18"/>
  <c r="G17" i="18"/>
  <c r="G18" i="18"/>
  <c r="G21" i="18"/>
  <c r="G22" i="18"/>
  <c r="G23" i="18"/>
  <c r="G24" i="18"/>
  <c r="G25" i="18"/>
  <c r="G29" i="18"/>
  <c r="O29" i="18" s="1"/>
  <c r="Q29" i="18"/>
  <c r="G30" i="18"/>
  <c r="G31" i="18"/>
  <c r="Q31" i="18"/>
  <c r="G49" i="18"/>
  <c r="G50" i="18"/>
  <c r="G51" i="18"/>
  <c r="C24" i="17"/>
  <c r="F24" i="17"/>
  <c r="C39" i="17"/>
  <c r="C46" i="17" s="1"/>
  <c r="C58" i="17"/>
  <c r="C59" i="17"/>
  <c r="D59" i="17"/>
  <c r="B80" i="31" s="1"/>
  <c r="F36" i="16"/>
  <c r="C18" i="15"/>
  <c r="A3" i="14"/>
  <c r="B18" i="14"/>
  <c r="C18" i="14" s="1"/>
  <c r="D22" i="14"/>
  <c r="E22" i="14"/>
  <c r="B43" i="14"/>
  <c r="A1" i="13"/>
  <c r="B18" i="13"/>
  <c r="B20" i="13"/>
  <c r="B22" i="13"/>
  <c r="B24" i="13"/>
  <c r="A1" i="12"/>
  <c r="A3" i="12"/>
  <c r="F14" i="12"/>
  <c r="B18" i="12"/>
  <c r="B20" i="12"/>
  <c r="B22" i="12"/>
  <c r="B24" i="12"/>
  <c r="D239" i="11"/>
  <c r="D174" i="11"/>
  <c r="D175" i="11"/>
  <c r="D221" i="11" s="1"/>
  <c r="D176" i="11"/>
  <c r="D222" i="11" s="1"/>
  <c r="D240" i="11"/>
  <c r="D250" i="11"/>
  <c r="D69" i="11" s="1"/>
  <c r="D261" i="11"/>
  <c r="D70" i="11" s="1"/>
  <c r="D272" i="11"/>
  <c r="D160" i="11"/>
  <c r="D161" i="11"/>
  <c r="D262" i="11"/>
  <c r="D163" i="11"/>
  <c r="D242" i="11"/>
  <c r="F55" i="11" s="1"/>
  <c r="D253" i="11"/>
  <c r="D264" i="11"/>
  <c r="D275" i="11"/>
  <c r="F58" i="11" s="1"/>
  <c r="D80" i="11"/>
  <c r="H80" i="11" s="1"/>
  <c r="D81" i="11"/>
  <c r="H81" i="11" s="1"/>
  <c r="D110" i="11"/>
  <c r="D111" i="11"/>
  <c r="D244" i="11"/>
  <c r="D255" i="11"/>
  <c r="F34" i="11"/>
  <c r="F32" i="11"/>
  <c r="B42" i="11"/>
  <c r="B43" i="11"/>
  <c r="F43" i="11"/>
  <c r="B44" i="11"/>
  <c r="F44" i="11"/>
  <c r="F266" i="11" s="1"/>
  <c r="B71" i="31" s="1"/>
  <c r="B45" i="11"/>
  <c r="F45" i="11"/>
  <c r="F277" i="11" s="1"/>
  <c r="B75" i="31" s="1"/>
  <c r="B47" i="11"/>
  <c r="B55" i="11"/>
  <c r="B56" i="11"/>
  <c r="D56" i="11"/>
  <c r="D57" i="11" s="1"/>
  <c r="B57" i="11"/>
  <c r="B58" i="11"/>
  <c r="B60" i="11"/>
  <c r="B68" i="11"/>
  <c r="B80" i="11" s="1"/>
  <c r="B69" i="11"/>
  <c r="B81" i="11" s="1"/>
  <c r="B70" i="11"/>
  <c r="B82" i="11" s="1"/>
  <c r="B71" i="11"/>
  <c r="B83" i="11" s="1"/>
  <c r="B73" i="11"/>
  <c r="B97" i="11"/>
  <c r="D97" i="11"/>
  <c r="B98" i="11"/>
  <c r="B99" i="11"/>
  <c r="B100" i="11"/>
  <c r="B108" i="11"/>
  <c r="B109" i="11"/>
  <c r="B110" i="11"/>
  <c r="B111" i="11"/>
  <c r="B113" i="11"/>
  <c r="B121" i="11"/>
  <c r="B122" i="11"/>
  <c r="B123" i="11"/>
  <c r="B124" i="11"/>
  <c r="B126" i="11"/>
  <c r="B132" i="11"/>
  <c r="B133" i="11"/>
  <c r="B134" i="11"/>
  <c r="B135" i="11"/>
  <c r="B151" i="11"/>
  <c r="F151" i="11"/>
  <c r="J151" i="11"/>
  <c r="B152" i="11"/>
  <c r="B153" i="11"/>
  <c r="B154" i="11"/>
  <c r="F154" i="11"/>
  <c r="B160" i="11"/>
  <c r="B161" i="11"/>
  <c r="B162" i="11"/>
  <c r="B163" i="11"/>
  <c r="B165" i="11"/>
  <c r="B173" i="11"/>
  <c r="F173" i="11"/>
  <c r="F210" i="11" s="1"/>
  <c r="B174" i="11"/>
  <c r="B175" i="11"/>
  <c r="B176" i="11"/>
  <c r="F176" i="11"/>
  <c r="F213" i="11" s="1"/>
  <c r="B178" i="11"/>
  <c r="B137" i="11" s="1"/>
  <c r="B184" i="11"/>
  <c r="F184" i="11"/>
  <c r="J210" i="11" s="1"/>
  <c r="B185" i="11"/>
  <c r="B186" i="11"/>
  <c r="B187" i="11"/>
  <c r="B210" i="11"/>
  <c r="B211" i="11"/>
  <c r="B212" i="11"/>
  <c r="B213" i="11"/>
  <c r="B219" i="11"/>
  <c r="B220" i="11"/>
  <c r="B221" i="11"/>
  <c r="B222" i="11"/>
  <c r="B224" i="11"/>
  <c r="E260" i="11"/>
  <c r="E271" i="11" s="1"/>
  <c r="E265" i="11"/>
  <c r="E276" i="11" s="1"/>
  <c r="E266" i="11"/>
  <c r="E277" i="11" s="1"/>
  <c r="B15" i="10"/>
  <c r="B16" i="10"/>
  <c r="B17" i="10"/>
  <c r="B19" i="10"/>
  <c r="B23" i="10"/>
  <c r="B24" i="10"/>
  <c r="B25" i="10"/>
  <c r="B27" i="10"/>
  <c r="B30" i="10"/>
  <c r="B31" i="10"/>
  <c r="B32" i="10"/>
  <c r="B34" i="10"/>
  <c r="B37" i="10"/>
  <c r="B38" i="10"/>
  <c r="B39" i="10"/>
  <c r="B41" i="10"/>
  <c r="B44" i="10"/>
  <c r="B45" i="10"/>
  <c r="B46" i="10"/>
  <c r="H46" i="10"/>
  <c r="B48" i="10"/>
  <c r="F84" i="10"/>
  <c r="F94" i="10" s="1"/>
  <c r="B92" i="10"/>
  <c r="D92" i="10"/>
  <c r="B93" i="10"/>
  <c r="D93" i="10"/>
  <c r="B94" i="10"/>
  <c r="B95" i="10"/>
  <c r="B97" i="10"/>
  <c r="B106" i="10"/>
  <c r="B107" i="10"/>
  <c r="D107" i="10"/>
  <c r="F288" i="10" s="1"/>
  <c r="H288" i="10" s="1"/>
  <c r="B108" i="10"/>
  <c r="D108" i="10"/>
  <c r="F198" i="10" s="1"/>
  <c r="E45" i="31" s="1"/>
  <c r="B109" i="10"/>
  <c r="D109" i="10"/>
  <c r="F206" i="10" s="1"/>
  <c r="E46" i="31" s="1"/>
  <c r="B111" i="10"/>
  <c r="B120" i="10"/>
  <c r="B121" i="10"/>
  <c r="B122" i="10"/>
  <c r="B123" i="10"/>
  <c r="B128" i="10"/>
  <c r="D128" i="10"/>
  <c r="B129" i="10"/>
  <c r="B130" i="10"/>
  <c r="D130" i="10"/>
  <c r="B131" i="10"/>
  <c r="B133" i="10"/>
  <c r="B139" i="10"/>
  <c r="B140" i="10"/>
  <c r="B141" i="10"/>
  <c r="B142" i="10"/>
  <c r="B144" i="10"/>
  <c r="B150" i="10"/>
  <c r="B151" i="10"/>
  <c r="B152" i="10"/>
  <c r="B153" i="10"/>
  <c r="B155" i="10"/>
  <c r="B173" i="10"/>
  <c r="D173" i="10"/>
  <c r="B174" i="10"/>
  <c r="B175" i="10"/>
  <c r="B176" i="10"/>
  <c r="D176" i="10"/>
  <c r="E189" i="10"/>
  <c r="E197" i="10" s="1"/>
  <c r="E205" i="10" s="1"/>
  <c r="E191" i="10"/>
  <c r="E199" i="10" s="1"/>
  <c r="E207" i="10" s="1"/>
  <c r="E192" i="10"/>
  <c r="E200" i="10" s="1"/>
  <c r="E208" i="10" s="1"/>
  <c r="F108" i="10"/>
  <c r="H108" i="10" s="1"/>
  <c r="F273" i="10"/>
  <c r="F259" i="10" s="1"/>
  <c r="D15" i="9"/>
  <c r="D21" i="9" s="1"/>
  <c r="F15" i="9"/>
  <c r="F21" i="9" s="1"/>
  <c r="D19" i="9"/>
  <c r="F19" i="9"/>
  <c r="F30" i="9"/>
  <c r="F42" i="9" s="1"/>
  <c r="D31" i="9"/>
  <c r="D73" i="9" s="1"/>
  <c r="F35" i="9"/>
  <c r="H35" i="9" s="1"/>
  <c r="J35" i="9" s="1"/>
  <c r="D41" i="9"/>
  <c r="D53" i="9"/>
  <c r="D55" i="9"/>
  <c r="J68" i="9"/>
  <c r="E30" i="7"/>
  <c r="C41" i="7"/>
  <c r="C42" i="7"/>
  <c r="C53" i="7"/>
  <c r="C124" i="7"/>
  <c r="C125" i="7"/>
  <c r="E81" i="6"/>
  <c r="C45" i="6" s="1"/>
  <c r="E82" i="6"/>
  <c r="C46" i="6" s="1"/>
  <c r="E46" i="6" s="1"/>
  <c r="D137" i="1"/>
  <c r="D67" i="1"/>
  <c r="D71" i="1"/>
  <c r="D124" i="1"/>
  <c r="F125" i="1"/>
  <c r="B4" i="31" s="1"/>
  <c r="F56" i="1"/>
  <c r="D56" i="1"/>
  <c r="F107" i="10"/>
  <c r="H107" i="10" s="1"/>
  <c r="F33" i="11"/>
  <c r="H43" i="11" s="1"/>
  <c r="D251" i="11"/>
  <c r="D243" i="11"/>
  <c r="H42" i="11"/>
  <c r="J42" i="11" s="1"/>
  <c r="D241" i="11"/>
  <c r="D265" i="11"/>
  <c r="D173" i="11"/>
  <c r="D219" i="11" s="1"/>
  <c r="D82" i="11"/>
  <c r="D266" i="11"/>
  <c r="E27" i="22"/>
  <c r="D33" i="23"/>
  <c r="D220" i="11"/>
  <c r="D254" i="11"/>
  <c r="D249" i="11"/>
  <c r="C12" i="15" s="1"/>
  <c r="D109" i="11"/>
  <c r="F244" i="11"/>
  <c r="D273" i="11"/>
  <c r="F255" i="11"/>
  <c r="B67" i="31" s="1"/>
  <c r="D108" i="11"/>
  <c r="F192" i="10"/>
  <c r="H182" i="10"/>
  <c r="F106" i="10"/>
  <c r="D91" i="1"/>
  <c r="E137" i="1" s="1"/>
  <c r="H153" i="23"/>
  <c r="H155" i="23" s="1"/>
  <c r="G153" i="23"/>
  <c r="G155" i="23" s="1"/>
  <c r="I29" i="22"/>
  <c r="I27" i="22"/>
  <c r="G43" i="22"/>
  <c r="K43" i="22" s="1"/>
  <c r="H9" i="22"/>
  <c r="O28" i="19"/>
  <c r="G32" i="19"/>
  <c r="O32" i="19" s="1"/>
  <c r="Q30" i="18"/>
  <c r="D58" i="17"/>
  <c r="F58" i="17" s="1"/>
  <c r="D71" i="11"/>
  <c r="H44" i="11"/>
  <c r="D271" i="11"/>
  <c r="E12" i="15" s="1"/>
  <c r="D68" i="11"/>
  <c r="D73" i="11" s="1"/>
  <c r="F264" i="11"/>
  <c r="H264" i="11" s="1"/>
  <c r="B189" i="11"/>
  <c r="D276" i="11"/>
  <c r="D83" i="11"/>
  <c r="F57" i="11"/>
  <c r="H57" i="11" s="1"/>
  <c r="F56" i="11"/>
  <c r="H56" i="11" s="1"/>
  <c r="D186" i="11"/>
  <c r="D58" i="11"/>
  <c r="F253" i="11"/>
  <c r="H253" i="11" s="1"/>
  <c r="F35" i="11"/>
  <c r="H45" i="11" s="1"/>
  <c r="J45" i="11" s="1"/>
  <c r="D277" i="11"/>
  <c r="H277" i="11" s="1"/>
  <c r="D260" i="11"/>
  <c r="D12" i="15" s="1"/>
  <c r="D162" i="11"/>
  <c r="H106" i="10"/>
  <c r="H273" i="10"/>
  <c r="E139" i="7"/>
  <c r="G78" i="6" s="1"/>
  <c r="H173" i="11"/>
  <c r="E43" i="1"/>
  <c r="D124" i="11"/>
  <c r="H124" i="11" s="1"/>
  <c r="H58" i="11"/>
  <c r="F275" i="11"/>
  <c r="H275" i="11" s="1"/>
  <c r="F338" i="23" l="1"/>
  <c r="F153" i="11"/>
  <c r="H279" i="10"/>
  <c r="E29" i="22"/>
  <c r="E45" i="22"/>
  <c r="E28" i="22"/>
  <c r="H43" i="22"/>
  <c r="I43" i="22" s="1"/>
  <c r="M9" i="21"/>
  <c r="K12" i="21"/>
  <c r="M12" i="21" s="1"/>
  <c r="M11" i="21"/>
  <c r="K10" i="21"/>
  <c r="M10" i="21" s="1"/>
  <c r="M7" i="21"/>
  <c r="H122" i="23"/>
  <c r="H124" i="23" s="1"/>
  <c r="J11" i="23" s="1"/>
  <c r="F34" i="23"/>
  <c r="F32" i="23"/>
  <c r="H33" i="23" s="1"/>
  <c r="J17" i="23" s="1"/>
  <c r="F72" i="23"/>
  <c r="F88" i="23"/>
  <c r="H326" i="23"/>
  <c r="H327" i="23" s="1"/>
  <c r="H328" i="23" s="1"/>
  <c r="H329" i="23" s="1"/>
  <c r="H330" i="23" s="1"/>
  <c r="H331" i="23" s="1"/>
  <c r="H332" i="23" s="1"/>
  <c r="H333" i="23" s="1"/>
  <c r="H334" i="23" s="1"/>
  <c r="I155" i="23"/>
  <c r="I157" i="23" s="1"/>
  <c r="F97" i="23"/>
  <c r="B27" i="30"/>
  <c r="B14" i="30"/>
  <c r="B28" i="30" s="1"/>
  <c r="B43" i="15"/>
  <c r="C64" i="7"/>
  <c r="C70" i="7" s="1"/>
  <c r="E72" i="7" s="1"/>
  <c r="E90" i="7" s="1"/>
  <c r="F101" i="31"/>
  <c r="I78" i="6"/>
  <c r="E33" i="6" s="1"/>
  <c r="F59" i="17"/>
  <c r="J30" i="9"/>
  <c r="J42" i="9" s="1"/>
  <c r="J72" i="9" s="1"/>
  <c r="E11" i="14"/>
  <c r="E13" i="14" s="1"/>
  <c r="E17" i="14" s="1"/>
  <c r="D141" i="10"/>
  <c r="F258" i="10"/>
  <c r="H258" i="10" s="1"/>
  <c r="H30" i="9"/>
  <c r="H42" i="9" s="1"/>
  <c r="D140" i="10"/>
  <c r="D151" i="10" s="1"/>
  <c r="C11" i="14"/>
  <c r="C13" i="14" s="1"/>
  <c r="C17" i="14" s="1"/>
  <c r="C19" i="14" s="1"/>
  <c r="F82" i="10"/>
  <c r="F92" i="10" s="1"/>
  <c r="H92" i="10" s="1"/>
  <c r="F243" i="10" s="1"/>
  <c r="F190" i="10"/>
  <c r="H190" i="10" s="1"/>
  <c r="D75" i="10"/>
  <c r="C48" i="15"/>
  <c r="F289" i="10"/>
  <c r="H289" i="10" s="1"/>
  <c r="H176" i="11"/>
  <c r="F174" i="11"/>
  <c r="F211" i="11" s="1"/>
  <c r="G79" i="6"/>
  <c r="I79" i="6" s="1"/>
  <c r="E34" i="6" s="1"/>
  <c r="E82" i="7"/>
  <c r="G82" i="7" s="1"/>
  <c r="I41" i="7"/>
  <c r="C59" i="7" s="1"/>
  <c r="E81" i="7"/>
  <c r="G81" i="7" s="1"/>
  <c r="E125" i="7"/>
  <c r="B27" i="31" s="1"/>
  <c r="E124" i="7"/>
  <c r="G139" i="7"/>
  <c r="F122" i="29"/>
  <c r="C55" i="7"/>
  <c r="I42" i="7"/>
  <c r="I77" i="6"/>
  <c r="E32" i="6" s="1"/>
  <c r="D121" i="29"/>
  <c r="F121" i="29" s="1"/>
  <c r="G124" i="7"/>
  <c r="B42" i="14"/>
  <c r="E45" i="15"/>
  <c r="B44" i="14" s="1"/>
  <c r="F45" i="29"/>
  <c r="H45" i="29" s="1"/>
  <c r="H62" i="29"/>
  <c r="D59" i="29"/>
  <c r="H59" i="29" s="1"/>
  <c r="H56" i="1"/>
  <c r="C22" i="7"/>
  <c r="K17" i="7" s="1"/>
  <c r="H259" i="10"/>
  <c r="H141" i="10"/>
  <c r="H31" i="9"/>
  <c r="H73" i="9" s="1"/>
  <c r="J15" i="9"/>
  <c r="J21" i="9" s="1"/>
  <c r="D56" i="9"/>
  <c r="D152" i="10"/>
  <c r="H75" i="10"/>
  <c r="D54" i="9"/>
  <c r="D165" i="11"/>
  <c r="D187" i="11"/>
  <c r="D135" i="11"/>
  <c r="H242" i="11"/>
  <c r="B12" i="15"/>
  <c r="D85" i="11"/>
  <c r="D113" i="11"/>
  <c r="H122" i="11"/>
  <c r="D133" i="11"/>
  <c r="D126" i="11"/>
  <c r="D224" i="11"/>
  <c r="D60" i="29"/>
  <c r="H60" i="29" s="1"/>
  <c r="D125" i="1"/>
  <c r="E64" i="4"/>
  <c r="I64" i="4" s="1"/>
  <c r="E21" i="4" s="1"/>
  <c r="E30" i="1"/>
  <c r="E139" i="1"/>
  <c r="E44" i="1"/>
  <c r="D55" i="1" s="1"/>
  <c r="D133" i="10"/>
  <c r="H123" i="11"/>
  <c r="D134" i="11"/>
  <c r="D13" i="15"/>
  <c r="D17" i="15" s="1"/>
  <c r="D19" i="15" s="1"/>
  <c r="S14" i="18"/>
  <c r="T14" i="18" s="1"/>
  <c r="T9" i="18"/>
  <c r="P28" i="21"/>
  <c r="Q16" i="21"/>
  <c r="T22" i="18"/>
  <c r="S25" i="18"/>
  <c r="T25" i="18" s="1"/>
  <c r="D61" i="29"/>
  <c r="H61" i="29" s="1"/>
  <c r="E108" i="7"/>
  <c r="J43" i="11"/>
  <c r="H47" i="11"/>
  <c r="Q15" i="21"/>
  <c r="P27" i="21"/>
  <c r="S16" i="18"/>
  <c r="T16" i="18" s="1"/>
  <c r="S12" i="18"/>
  <c r="T12" i="18" s="1"/>
  <c r="C42" i="19"/>
  <c r="F71" i="23"/>
  <c r="S13" i="18"/>
  <c r="T13" i="18" s="1"/>
  <c r="T8" i="18"/>
  <c r="Q14" i="21"/>
  <c r="P26" i="21"/>
  <c r="K27" i="22"/>
  <c r="G44" i="22"/>
  <c r="K44" i="22" s="1"/>
  <c r="H55" i="11"/>
  <c r="H60" i="11" s="1"/>
  <c r="D194" i="11" s="1"/>
  <c r="F60" i="11"/>
  <c r="K28" i="22"/>
  <c r="G45" i="22"/>
  <c r="K45" i="22" s="1"/>
  <c r="F23" i="9"/>
  <c r="F67" i="9" s="1"/>
  <c r="B50" i="31"/>
  <c r="K26" i="22"/>
  <c r="H186" i="23"/>
  <c r="H83" i="11"/>
  <c r="J44" i="11"/>
  <c r="H255" i="11"/>
  <c r="D185" i="11"/>
  <c r="H121" i="11"/>
  <c r="N7" i="21"/>
  <c r="E46" i="22"/>
  <c r="G29" i="22"/>
  <c r="D12" i="17"/>
  <c r="O30" i="18"/>
  <c r="T11" i="18"/>
  <c r="S15" i="18"/>
  <c r="T15" i="18" s="1"/>
  <c r="S18" i="18"/>
  <c r="T18" i="18" s="1"/>
  <c r="E67" i="31"/>
  <c r="F37" i="11"/>
  <c r="D132" i="11"/>
  <c r="D142" i="10"/>
  <c r="D153" i="10" s="1"/>
  <c r="B45" i="14"/>
  <c r="E71" i="31"/>
  <c r="E109" i="7"/>
  <c r="H45" i="22"/>
  <c r="I45" i="22" s="1"/>
  <c r="G125" i="7"/>
  <c r="I24" i="17"/>
  <c r="C45" i="17" s="1"/>
  <c r="H244" i="11"/>
  <c r="H266" i="11"/>
  <c r="H10" i="22"/>
  <c r="S17" i="18"/>
  <c r="T17" i="18" s="1"/>
  <c r="S24" i="18"/>
  <c r="T24" i="18" s="1"/>
  <c r="C13" i="15"/>
  <c r="C17" i="15" s="1"/>
  <c r="E70" i="4"/>
  <c r="D184" i="11"/>
  <c r="D178" i="11"/>
  <c r="F184" i="10"/>
  <c r="N8" i="21"/>
  <c r="I16" i="1"/>
  <c r="E38" i="1" s="1"/>
  <c r="P25" i="21"/>
  <c r="E75" i="31"/>
  <c r="H175" i="11"/>
  <c r="H82" i="11"/>
  <c r="M31" i="18"/>
  <c r="O31" i="18" s="1"/>
  <c r="N11" i="21"/>
  <c r="J75" i="10"/>
  <c r="E13" i="15"/>
  <c r="E17" i="15" s="1"/>
  <c r="B63" i="31"/>
  <c r="D80" i="31"/>
  <c r="E56" i="31"/>
  <c r="E53" i="31"/>
  <c r="E50" i="31"/>
  <c r="H235" i="10"/>
  <c r="D257" i="10" s="1"/>
  <c r="B41" i="31"/>
  <c r="D30" i="9"/>
  <c r="D32" i="9" s="1"/>
  <c r="H15" i="9"/>
  <c r="H21" i="9" s="1"/>
  <c r="D139" i="10"/>
  <c r="H74" i="10"/>
  <c r="J74" i="10"/>
  <c r="D74" i="10"/>
  <c r="B44" i="31"/>
  <c r="B61" i="31" s="1"/>
  <c r="E40" i="31"/>
  <c r="F49" i="15"/>
  <c r="B11" i="15" s="1"/>
  <c r="D23" i="9"/>
  <c r="D67" i="9" s="1"/>
  <c r="F72" i="9"/>
  <c r="F79" i="9" s="1"/>
  <c r="B50" i="14"/>
  <c r="B53" i="14" s="1"/>
  <c r="B11" i="14" s="1"/>
  <c r="F109" i="10"/>
  <c r="H206" i="10"/>
  <c r="F93" i="10"/>
  <c r="F87" i="10"/>
  <c r="H198" i="10"/>
  <c r="H140" i="10"/>
  <c r="F31" i="9"/>
  <c r="F75" i="10"/>
  <c r="F74" i="10"/>
  <c r="F280" i="10"/>
  <c r="H142" i="10"/>
  <c r="H192" i="10"/>
  <c r="W23" i="25"/>
  <c r="I60" i="22"/>
  <c r="I67" i="22" s="1"/>
  <c r="I69" i="22" s="1"/>
  <c r="W24" i="25"/>
  <c r="O39" i="19" s="1"/>
  <c r="S11" i="25"/>
  <c r="S12" i="25"/>
  <c r="T9" i="25"/>
  <c r="S10" i="25"/>
  <c r="T10" i="25"/>
  <c r="T23" i="25" s="1"/>
  <c r="T12" i="25"/>
  <c r="T25" i="25" s="1"/>
  <c r="T11" i="25"/>
  <c r="T24" i="25" s="1"/>
  <c r="S9" i="25"/>
  <c r="X25" i="25"/>
  <c r="F14" i="17"/>
  <c r="C20" i="17" s="1"/>
  <c r="I20" i="17" s="1"/>
  <c r="X23" i="25"/>
  <c r="F13" i="17"/>
  <c r="L11" i="25"/>
  <c r="L24" i="25" s="1"/>
  <c r="J9" i="25"/>
  <c r="E12" i="25"/>
  <c r="H12" i="25" s="1"/>
  <c r="O10" i="25"/>
  <c r="P12" i="25"/>
  <c r="O12" i="25"/>
  <c r="F12" i="25"/>
  <c r="J12" i="25"/>
  <c r="K9" i="25"/>
  <c r="D11" i="25"/>
  <c r="B6" i="30" s="1"/>
  <c r="E10" i="25"/>
  <c r="L9" i="25"/>
  <c r="G12" i="25"/>
  <c r="K12" i="25"/>
  <c r="K11" i="25"/>
  <c r="K24" i="25" s="1"/>
  <c r="F11" i="25"/>
  <c r="G10" i="25"/>
  <c r="G23" i="25" s="1"/>
  <c r="J11" i="25"/>
  <c r="F9" i="25"/>
  <c r="D12" i="25"/>
  <c r="E11" i="25"/>
  <c r="D9" i="25"/>
  <c r="L12" i="25"/>
  <c r="G9" i="25"/>
  <c r="E9" i="25"/>
  <c r="G11" i="25"/>
  <c r="P9" i="25"/>
  <c r="P10" i="25"/>
  <c r="P23" i="25" s="1"/>
  <c r="P11" i="25"/>
  <c r="P24" i="25" s="1"/>
  <c r="O11" i="25"/>
  <c r="J21" i="23" l="1"/>
  <c r="H335" i="23"/>
  <c r="G338" i="23" s="1"/>
  <c r="H174" i="11"/>
  <c r="H178" i="11" s="1"/>
  <c r="D202" i="11" s="1"/>
  <c r="H72" i="9"/>
  <c r="G3" i="22"/>
  <c r="J21" i="22"/>
  <c r="E220" i="23"/>
  <c r="I225" i="23" s="1"/>
  <c r="F87" i="23"/>
  <c r="F96" i="23"/>
  <c r="F70" i="23"/>
  <c r="G99" i="7"/>
  <c r="C123" i="7" s="1"/>
  <c r="E60" i="31"/>
  <c r="H9" i="25"/>
  <c r="T18" i="25"/>
  <c r="T22" i="25" s="1"/>
  <c r="H11" i="25"/>
  <c r="B22" i="15"/>
  <c r="S25" i="25"/>
  <c r="U12" i="25"/>
  <c r="E23" i="25"/>
  <c r="S23" i="25"/>
  <c r="U23" i="25" s="1"/>
  <c r="U10" i="25"/>
  <c r="D18" i="25"/>
  <c r="D22" i="25"/>
  <c r="D7" i="1" s="1"/>
  <c r="F7" i="1" s="1"/>
  <c r="D17" i="25"/>
  <c r="M9" i="25"/>
  <c r="P18" i="25"/>
  <c r="P22" i="25" s="1"/>
  <c r="P17" i="25"/>
  <c r="P21" i="25" s="1"/>
  <c r="U9" i="25"/>
  <c r="S24" i="25"/>
  <c r="U24" i="25" s="1"/>
  <c r="U11" i="25"/>
  <c r="J24" i="25"/>
  <c r="M11" i="25"/>
  <c r="J25" i="25"/>
  <c r="F25" i="10" s="1"/>
  <c r="J25" i="10" s="1"/>
  <c r="M12" i="25"/>
  <c r="H19" i="10"/>
  <c r="H45" i="10" s="1"/>
  <c r="J32" i="9"/>
  <c r="E44" i="31"/>
  <c r="E61" i="31" s="1"/>
  <c r="H74" i="9"/>
  <c r="H32" i="9"/>
  <c r="O23" i="25"/>
  <c r="C60" i="7"/>
  <c r="C29" i="7"/>
  <c r="B30" i="31"/>
  <c r="H63" i="29"/>
  <c r="C87" i="29" s="1"/>
  <c r="B23" i="31"/>
  <c r="B47" i="14"/>
  <c r="B10" i="14" s="1"/>
  <c r="B13" i="14" s="1"/>
  <c r="B17" i="14" s="1"/>
  <c r="B13" i="15"/>
  <c r="B17" i="15" s="1"/>
  <c r="C19" i="15"/>
  <c r="D144" i="10"/>
  <c r="H79" i="9"/>
  <c r="H85" i="11"/>
  <c r="D89" i="11" s="1"/>
  <c r="H126" i="11"/>
  <c r="D144" i="11" s="1"/>
  <c r="D136" i="1"/>
  <c r="D139" i="1" s="1"/>
  <c r="H125" i="1"/>
  <c r="E45" i="1"/>
  <c r="D54" i="1" s="1"/>
  <c r="D58" i="1" s="1"/>
  <c r="E32" i="1"/>
  <c r="C39" i="19"/>
  <c r="C43" i="19" s="1"/>
  <c r="C45" i="19" s="1"/>
  <c r="P38" i="21"/>
  <c r="Q38" i="21" s="1"/>
  <c r="Q27" i="21"/>
  <c r="B40" i="31"/>
  <c r="B60" i="31" s="1"/>
  <c r="H184" i="10"/>
  <c r="K29" i="22"/>
  <c r="G46" i="22"/>
  <c r="K46" i="22" s="1"/>
  <c r="J47" i="11"/>
  <c r="D193" i="11" s="1"/>
  <c r="H184" i="11"/>
  <c r="D189" i="11"/>
  <c r="Q26" i="21"/>
  <c r="P37" i="21"/>
  <c r="Q37" i="21" s="1"/>
  <c r="C63" i="22"/>
  <c r="Q25" i="21"/>
  <c r="P36" i="21"/>
  <c r="Q36" i="21" s="1"/>
  <c r="I70" i="4"/>
  <c r="P39" i="21"/>
  <c r="Q39" i="21" s="1"/>
  <c r="Q28" i="21"/>
  <c r="H132" i="11"/>
  <c r="D137" i="11"/>
  <c r="D87" i="23"/>
  <c r="D95" i="23"/>
  <c r="D70" i="23"/>
  <c r="D86" i="23"/>
  <c r="D96" i="23"/>
  <c r="D71" i="23"/>
  <c r="D72" i="23"/>
  <c r="D97" i="23"/>
  <c r="D88" i="23"/>
  <c r="D42" i="9"/>
  <c r="D72" i="9" s="1"/>
  <c r="H139" i="10"/>
  <c r="H144" i="10" s="1"/>
  <c r="D165" i="10" s="1"/>
  <c r="D150" i="10"/>
  <c r="D155" i="10" s="1"/>
  <c r="F248" i="10"/>
  <c r="D256" i="10" s="1"/>
  <c r="J79" i="9"/>
  <c r="J74" i="9"/>
  <c r="H109" i="10"/>
  <c r="H111" i="10" s="1"/>
  <c r="D160" i="10" s="1"/>
  <c r="F111" i="10"/>
  <c r="F97" i="10"/>
  <c r="H93" i="10"/>
  <c r="H44" i="10"/>
  <c r="H48" i="10" s="1"/>
  <c r="F73" i="9"/>
  <c r="F74" i="9" s="1"/>
  <c r="F32" i="9"/>
  <c r="B47" i="31"/>
  <c r="H280" i="10"/>
  <c r="F244" i="10" s="1"/>
  <c r="S8" i="25"/>
  <c r="S18" i="25" s="1"/>
  <c r="S22" i="25" s="1"/>
  <c r="T8" i="25"/>
  <c r="L8" i="25"/>
  <c r="L18" i="25" s="1"/>
  <c r="L22" i="25" s="1"/>
  <c r="F38" i="10" s="1"/>
  <c r="J38" i="10" s="1"/>
  <c r="J6" i="9" s="1"/>
  <c r="J29" i="9" s="1"/>
  <c r="O40" i="19"/>
  <c r="D24" i="25"/>
  <c r="G11" i="4"/>
  <c r="J8" i="25"/>
  <c r="J18" i="25" s="1"/>
  <c r="J22" i="25" s="1"/>
  <c r="E8" i="25"/>
  <c r="D25" i="25"/>
  <c r="G8" i="25"/>
  <c r="O8" i="25"/>
  <c r="W25" i="25"/>
  <c r="G25" i="25"/>
  <c r="H8" i="29" s="1"/>
  <c r="H25" i="29" s="1"/>
  <c r="D55" i="29" s="1"/>
  <c r="H55" i="29" s="1"/>
  <c r="Q23" i="25"/>
  <c r="F8" i="25"/>
  <c r="F18" i="25" s="1"/>
  <c r="K8" i="25"/>
  <c r="J10" i="25"/>
  <c r="E12" i="4"/>
  <c r="O24" i="25"/>
  <c r="Q24" i="25"/>
  <c r="G24" i="25"/>
  <c r="L25" i="25"/>
  <c r="E24" i="25"/>
  <c r="F24" i="25"/>
  <c r="K25" i="25"/>
  <c r="I25" i="25"/>
  <c r="F25" i="25"/>
  <c r="O25" i="25"/>
  <c r="D33" i="11" s="1"/>
  <c r="P25" i="25"/>
  <c r="D34" i="11" s="1"/>
  <c r="H34" i="11" s="1"/>
  <c r="Q25" i="25"/>
  <c r="D35" i="11" s="1"/>
  <c r="E25" i="25"/>
  <c r="K32" i="9" l="1"/>
  <c r="U22" i="25"/>
  <c r="J49" i="22"/>
  <c r="J50" i="22"/>
  <c r="G17" i="22"/>
  <c r="I17" i="22" s="1"/>
  <c r="J37" i="22"/>
  <c r="J33" i="22"/>
  <c r="G15" i="22"/>
  <c r="I15" i="22" s="1"/>
  <c r="G18" i="22"/>
  <c r="I18" i="22" s="1"/>
  <c r="G14" i="22"/>
  <c r="I14" i="22" s="1"/>
  <c r="J32" i="22"/>
  <c r="J35" i="22"/>
  <c r="G13" i="22"/>
  <c r="I13" i="22" s="1"/>
  <c r="J36" i="22"/>
  <c r="J34" i="22"/>
  <c r="G16" i="22"/>
  <c r="I16" i="22" s="1"/>
  <c r="J29" i="22"/>
  <c r="J26" i="22"/>
  <c r="J28" i="22"/>
  <c r="J27" i="22"/>
  <c r="J43" i="22"/>
  <c r="J44" i="22"/>
  <c r="J46" i="22"/>
  <c r="G11" i="22"/>
  <c r="G9" i="22"/>
  <c r="G10" i="22"/>
  <c r="G8" i="22"/>
  <c r="J45" i="22"/>
  <c r="I261" i="23"/>
  <c r="I238" i="23"/>
  <c r="I229" i="23"/>
  <c r="I252" i="23"/>
  <c r="I241" i="23"/>
  <c r="I251" i="23"/>
  <c r="I248" i="23"/>
  <c r="I258" i="23"/>
  <c r="I249" i="23"/>
  <c r="I257" i="23"/>
  <c r="I228" i="23"/>
  <c r="I250" i="23"/>
  <c r="I253" i="23" s="1"/>
  <c r="K253" i="23" s="1"/>
  <c r="I237" i="23"/>
  <c r="I232" i="23"/>
  <c r="I260" i="23"/>
  <c r="I230" i="23"/>
  <c r="I259" i="23"/>
  <c r="I231" i="23"/>
  <c r="I239" i="23"/>
  <c r="I240" i="23"/>
  <c r="I242" i="23" s="1"/>
  <c r="K242" i="23" s="1"/>
  <c r="D81" i="23"/>
  <c r="F95" i="23"/>
  <c r="D99" i="23" s="1"/>
  <c r="F86" i="23"/>
  <c r="D90" i="23" s="1"/>
  <c r="E83" i="6"/>
  <c r="C47" i="6" s="1"/>
  <c r="E47" i="6" s="1"/>
  <c r="E36" i="6" s="1"/>
  <c r="E39" i="6"/>
  <c r="E84" i="6" s="1"/>
  <c r="I84" i="6" s="1"/>
  <c r="E113" i="7"/>
  <c r="C122" i="7" s="1"/>
  <c r="F22" i="25"/>
  <c r="F7" i="29" s="1"/>
  <c r="F24" i="29" s="1"/>
  <c r="F24" i="10"/>
  <c r="J24" i="10" s="1"/>
  <c r="F6" i="9" s="1"/>
  <c r="F29" i="9" s="1"/>
  <c r="F10" i="25"/>
  <c r="F8" i="29"/>
  <c r="F25" i="29" s="1"/>
  <c r="D54" i="29" s="1"/>
  <c r="H54" i="29" s="1"/>
  <c r="O46" i="19"/>
  <c r="O49" i="19" s="1"/>
  <c r="K17" i="25"/>
  <c r="K21" i="25" s="1"/>
  <c r="F30" i="10" s="1"/>
  <c r="K18" i="25"/>
  <c r="K22" i="25" s="1"/>
  <c r="F31" i="10" s="1"/>
  <c r="J31" i="10" s="1"/>
  <c r="H6" i="9" s="1"/>
  <c r="H29" i="9" s="1"/>
  <c r="D21" i="25"/>
  <c r="H33" i="11"/>
  <c r="U25" i="25"/>
  <c r="H35" i="11" s="1"/>
  <c r="D10" i="25"/>
  <c r="B5" i="30" s="1"/>
  <c r="D8" i="1"/>
  <c r="T13" i="25"/>
  <c r="T17" i="25"/>
  <c r="T21" i="25" s="1"/>
  <c r="H25" i="25"/>
  <c r="D8" i="29"/>
  <c r="C9" i="7" s="1"/>
  <c r="G17" i="25"/>
  <c r="G21" i="25" s="1"/>
  <c r="E17" i="25"/>
  <c r="E21" i="25" s="1"/>
  <c r="H8" i="25"/>
  <c r="F8" i="10"/>
  <c r="J8" i="10" s="1"/>
  <c r="D7" i="9" s="1"/>
  <c r="D14" i="9" s="1"/>
  <c r="D17" i="9" s="1"/>
  <c r="M25" i="25"/>
  <c r="J17" i="25"/>
  <c r="J21" i="25" s="1"/>
  <c r="L17" i="25"/>
  <c r="L21" i="25" s="1"/>
  <c r="F37" i="10" s="1"/>
  <c r="J37" i="10" s="1"/>
  <c r="F17" i="25"/>
  <c r="F21" i="25" s="1"/>
  <c r="H24" i="25"/>
  <c r="O17" i="25"/>
  <c r="O21" i="25" s="1"/>
  <c r="O18" i="25"/>
  <c r="O22" i="25" s="1"/>
  <c r="R22" i="25" s="1"/>
  <c r="S17" i="25"/>
  <c r="S21" i="25"/>
  <c r="U8" i="25"/>
  <c r="U13" i="25" s="1"/>
  <c r="G18" i="25"/>
  <c r="G22" i="25" s="1"/>
  <c r="H7" i="29" s="1"/>
  <c r="H24" i="29" s="1"/>
  <c r="E18" i="25"/>
  <c r="E22" i="25" s="1"/>
  <c r="J23" i="25"/>
  <c r="K10" i="25"/>
  <c r="K13" i="25" s="1"/>
  <c r="F32" i="10"/>
  <c r="J32" i="10" s="1"/>
  <c r="L10" i="25"/>
  <c r="L23" i="25" s="1"/>
  <c r="F39" i="10"/>
  <c r="J39" i="10" s="1"/>
  <c r="M8" i="25"/>
  <c r="C8" i="25"/>
  <c r="R8" i="25"/>
  <c r="B19" i="14"/>
  <c r="D24" i="14" s="1"/>
  <c r="D26" i="14" s="1"/>
  <c r="D34" i="14" s="1"/>
  <c r="B19" i="15"/>
  <c r="D24" i="15" s="1"/>
  <c r="D26" i="15" s="1"/>
  <c r="E12" i="12" s="1"/>
  <c r="E16" i="12" s="1"/>
  <c r="E24" i="15"/>
  <c r="F24" i="15" s="1"/>
  <c r="R9" i="25"/>
  <c r="C9" i="25"/>
  <c r="C22" i="25" s="1"/>
  <c r="N24" i="25"/>
  <c r="R24" i="25" s="1"/>
  <c r="R11" i="25"/>
  <c r="N25" i="25"/>
  <c r="R12" i="25"/>
  <c r="C11" i="25"/>
  <c r="C24" i="25" s="1"/>
  <c r="C12" i="25"/>
  <c r="C25" i="25" s="1"/>
  <c r="B24" i="15"/>
  <c r="E9" i="19"/>
  <c r="E22" i="19"/>
  <c r="E15" i="19"/>
  <c r="K51" i="18"/>
  <c r="E29" i="19"/>
  <c r="E21" i="19"/>
  <c r="E20" i="19"/>
  <c r="E10" i="19"/>
  <c r="E12" i="19"/>
  <c r="E32" i="19"/>
  <c r="K50" i="18"/>
  <c r="E28" i="19"/>
  <c r="E17" i="19"/>
  <c r="E11" i="19"/>
  <c r="E8" i="19"/>
  <c r="E31" i="19"/>
  <c r="E14" i="19"/>
  <c r="E18" i="19"/>
  <c r="D79" i="9"/>
  <c r="D74" i="9"/>
  <c r="K74" i="9" s="1"/>
  <c r="W26" i="25"/>
  <c r="M59" i="18" s="1"/>
  <c r="S13" i="25"/>
  <c r="P26" i="25"/>
  <c r="X13" i="25"/>
  <c r="L13" i="25"/>
  <c r="O13" i="25"/>
  <c r="P13" i="25"/>
  <c r="E13" i="25"/>
  <c r="G13" i="25"/>
  <c r="Q26" i="25"/>
  <c r="W13" i="25"/>
  <c r="J13" i="25"/>
  <c r="I12" i="4"/>
  <c r="G14" i="4"/>
  <c r="C15" i="17"/>
  <c r="F12" i="17"/>
  <c r="X26" i="25"/>
  <c r="K52" i="21" s="1"/>
  <c r="B8" i="30"/>
  <c r="E21" i="1"/>
  <c r="E24" i="1" s="1"/>
  <c r="E27" i="1" s="1"/>
  <c r="B21" i="30" s="1"/>
  <c r="D83" i="10"/>
  <c r="H83" i="10" s="1"/>
  <c r="F7" i="9"/>
  <c r="F14" i="9" s="1"/>
  <c r="F17" i="9" s="1"/>
  <c r="F7" i="10"/>
  <c r="F23" i="25"/>
  <c r="F13" i="25"/>
  <c r="I24" i="25"/>
  <c r="M24" i="25" s="1"/>
  <c r="H7" i="9"/>
  <c r="H14" i="9" s="1"/>
  <c r="H17" i="9" s="1"/>
  <c r="D84" i="10"/>
  <c r="H84" i="10" s="1"/>
  <c r="I233" i="23" l="1"/>
  <c r="K233" i="23" s="1"/>
  <c r="F26" i="25"/>
  <c r="R25" i="25"/>
  <c r="D32" i="11"/>
  <c r="D37" i="11" s="1"/>
  <c r="C28" i="30"/>
  <c r="E28" i="30" s="1"/>
  <c r="C173" i="31"/>
  <c r="M2" i="19"/>
  <c r="M8" i="19"/>
  <c r="I262" i="23"/>
  <c r="K262" i="23" s="1"/>
  <c r="F102" i="23"/>
  <c r="F105" i="23" s="1"/>
  <c r="O26" i="25"/>
  <c r="D6" i="29"/>
  <c r="G11" i="6"/>
  <c r="G14" i="6" s="1"/>
  <c r="E26" i="25"/>
  <c r="M21" i="25"/>
  <c r="F23" i="10"/>
  <c r="J23" i="10" s="1"/>
  <c r="T26" i="25"/>
  <c r="L26" i="25"/>
  <c r="H6" i="29"/>
  <c r="H13" i="29" s="1"/>
  <c r="G26" i="25"/>
  <c r="F6" i="29"/>
  <c r="F23" i="29" s="1"/>
  <c r="F26" i="29" s="1"/>
  <c r="D23" i="25"/>
  <c r="D26" i="25" s="1"/>
  <c r="D13" i="25"/>
  <c r="H23" i="25"/>
  <c r="U26" i="25"/>
  <c r="S26" i="25"/>
  <c r="H22" i="25"/>
  <c r="D7" i="29"/>
  <c r="C8" i="7" s="1"/>
  <c r="M22" i="25"/>
  <c r="F8" i="1"/>
  <c r="B9" i="30" s="1"/>
  <c r="B22" i="30" s="1"/>
  <c r="E13" i="4"/>
  <c r="I13" i="4" s="1"/>
  <c r="H10" i="25"/>
  <c r="C22" i="15"/>
  <c r="J26" i="25"/>
  <c r="J7" i="9"/>
  <c r="J14" i="9" s="1"/>
  <c r="J17" i="9" s="1"/>
  <c r="D85" i="10"/>
  <c r="H85" i="10" s="1"/>
  <c r="M10" i="25"/>
  <c r="K23" i="25"/>
  <c r="K26" i="25" s="1"/>
  <c r="M13" i="25"/>
  <c r="J7" i="10"/>
  <c r="E24" i="14"/>
  <c r="E26" i="14" s="1"/>
  <c r="J8" i="11"/>
  <c r="J7" i="11"/>
  <c r="D88" i="11" s="1"/>
  <c r="B24" i="14"/>
  <c r="C24" i="14" s="1"/>
  <c r="C24" i="15"/>
  <c r="F15" i="16" s="1"/>
  <c r="B26" i="15"/>
  <c r="B32" i="15" s="1"/>
  <c r="D34" i="15"/>
  <c r="Q49" i="18"/>
  <c r="R10" i="25"/>
  <c r="C10" i="25"/>
  <c r="C23" i="25" s="1"/>
  <c r="V13" i="25"/>
  <c r="E26" i="15"/>
  <c r="F12" i="12" s="1"/>
  <c r="F16" i="12" s="1"/>
  <c r="F24" i="12" s="1"/>
  <c r="C60" i="22"/>
  <c r="F126" i="31"/>
  <c r="Q50" i="18"/>
  <c r="M50" i="18"/>
  <c r="O50" i="18" s="1"/>
  <c r="Q51" i="18"/>
  <c r="F127" i="31"/>
  <c r="M51" i="18"/>
  <c r="O51" i="18" s="1"/>
  <c r="E22" i="12"/>
  <c r="E20" i="12"/>
  <c r="E18" i="12"/>
  <c r="F41" i="10"/>
  <c r="Q13" i="25"/>
  <c r="C29" i="17"/>
  <c r="C31" i="17" s="1"/>
  <c r="F15" i="17"/>
  <c r="M21" i="19"/>
  <c r="Q21" i="19" s="1"/>
  <c r="I17" i="18" s="1"/>
  <c r="K17" i="18" s="1"/>
  <c r="M28" i="19"/>
  <c r="Q28" i="19" s="1"/>
  <c r="I22" i="18" s="1"/>
  <c r="K22" i="18" s="1"/>
  <c r="M9" i="19"/>
  <c r="Q9" i="19" s="1"/>
  <c r="I8" i="18" s="1"/>
  <c r="K8" i="18" s="1"/>
  <c r="M31" i="19"/>
  <c r="Q31" i="19" s="1"/>
  <c r="I24" i="18" s="1"/>
  <c r="K24" i="18" s="1"/>
  <c r="U24" i="18" s="1"/>
  <c r="M15" i="19"/>
  <c r="Q15" i="19" s="1"/>
  <c r="I13" i="18" s="1"/>
  <c r="K13" i="18" s="1"/>
  <c r="M29" i="19"/>
  <c r="Q29" i="19" s="1"/>
  <c r="I23" i="18" s="1"/>
  <c r="K23" i="18" s="1"/>
  <c r="M14" i="19"/>
  <c r="Q14" i="19" s="1"/>
  <c r="I12" i="18" s="1"/>
  <c r="K12" i="18" s="1"/>
  <c r="M18" i="19"/>
  <c r="Q18" i="19" s="1"/>
  <c r="I15" i="18" s="1"/>
  <c r="K15" i="18" s="1"/>
  <c r="U15" i="18" s="1"/>
  <c r="M27" i="19"/>
  <c r="Q27" i="19" s="1"/>
  <c r="I21" i="18" s="1"/>
  <c r="K21" i="18" s="1"/>
  <c r="M17" i="19"/>
  <c r="Q17" i="19" s="1"/>
  <c r="I14" i="18" s="1"/>
  <c r="K14" i="18" s="1"/>
  <c r="U14" i="18" s="1"/>
  <c r="M11" i="19"/>
  <c r="Q11" i="19" s="1"/>
  <c r="I10" i="18" s="1"/>
  <c r="K10" i="18" s="1"/>
  <c r="U10" i="18" s="1"/>
  <c r="M22" i="19"/>
  <c r="Q22" i="19" s="1"/>
  <c r="I18" i="18" s="1"/>
  <c r="K18" i="18" s="1"/>
  <c r="U18" i="18" s="1"/>
  <c r="M10" i="19"/>
  <c r="Q10" i="19" s="1"/>
  <c r="I9" i="18" s="1"/>
  <c r="K9" i="18" s="1"/>
  <c r="U9" i="18" s="1"/>
  <c r="M32" i="19"/>
  <c r="Q32" i="19" s="1"/>
  <c r="I25" i="18" s="1"/>
  <c r="K25" i="18" s="1"/>
  <c r="U25" i="18" s="1"/>
  <c r="M20" i="19"/>
  <c r="Q20" i="19" s="1"/>
  <c r="I16" i="18" s="1"/>
  <c r="K16" i="18" s="1"/>
  <c r="U16" i="18" s="1"/>
  <c r="M12" i="19"/>
  <c r="Q12" i="19" s="1"/>
  <c r="I11" i="18" s="1"/>
  <c r="K11" i="18" s="1"/>
  <c r="G32" i="1"/>
  <c r="I32" i="1"/>
  <c r="E39" i="1" s="1"/>
  <c r="F87" i="1"/>
  <c r="F55" i="1"/>
  <c r="J5" i="9"/>
  <c r="J41" i="10"/>
  <c r="B22" i="14"/>
  <c r="I23" i="25"/>
  <c r="N23" i="25"/>
  <c r="N13" i="25"/>
  <c r="D94" i="10"/>
  <c r="H19" i="9"/>
  <c r="J30" i="10"/>
  <c r="F34" i="10"/>
  <c r="F27" i="10" l="1"/>
  <c r="H32" i="11"/>
  <c r="B26" i="14"/>
  <c r="B32" i="14" s="1"/>
  <c r="E32" i="14" s="1"/>
  <c r="F32" i="14" s="1"/>
  <c r="F151" i="10" s="1"/>
  <c r="D6" i="1"/>
  <c r="G34" i="18"/>
  <c r="K34" i="18" s="1"/>
  <c r="U34" i="18" s="1"/>
  <c r="F157" i="31" s="1"/>
  <c r="G37" i="18"/>
  <c r="K37" i="18" s="1"/>
  <c r="U37" i="18" s="1"/>
  <c r="F160" i="31" s="1"/>
  <c r="G41" i="18"/>
  <c r="K41" i="18" s="1"/>
  <c r="U41" i="18" s="1"/>
  <c r="F164" i="31" s="1"/>
  <c r="G45" i="18"/>
  <c r="K45" i="18" s="1"/>
  <c r="U45" i="18" s="1"/>
  <c r="F168" i="31" s="1"/>
  <c r="G38" i="18"/>
  <c r="K38" i="18" s="1"/>
  <c r="U38" i="18" s="1"/>
  <c r="F161" i="31" s="1"/>
  <c r="G42" i="18"/>
  <c r="K42" i="18" s="1"/>
  <c r="U42" i="18" s="1"/>
  <c r="F165" i="31" s="1"/>
  <c r="G46" i="18"/>
  <c r="K46" i="18" s="1"/>
  <c r="U46" i="18" s="1"/>
  <c r="F169" i="31" s="1"/>
  <c r="G40" i="18"/>
  <c r="K40" i="18" s="1"/>
  <c r="U40" i="18" s="1"/>
  <c r="F163" i="31" s="1"/>
  <c r="G35" i="18"/>
  <c r="K35" i="18" s="1"/>
  <c r="U35" i="18" s="1"/>
  <c r="F158" i="31" s="1"/>
  <c r="G39" i="18"/>
  <c r="K39" i="18" s="1"/>
  <c r="U39" i="18" s="1"/>
  <c r="F162" i="31" s="1"/>
  <c r="G43" i="18"/>
  <c r="K43" i="18" s="1"/>
  <c r="U43" i="18" s="1"/>
  <c r="F166" i="31" s="1"/>
  <c r="G36" i="18"/>
  <c r="K36" i="18" s="1"/>
  <c r="U36" i="18" s="1"/>
  <c r="F159" i="31" s="1"/>
  <c r="G44" i="18"/>
  <c r="K44" i="18" s="1"/>
  <c r="U44" i="18" s="1"/>
  <c r="F167" i="31" s="1"/>
  <c r="D9" i="29"/>
  <c r="D91" i="11"/>
  <c r="C97" i="11" s="1"/>
  <c r="C64" i="22"/>
  <c r="C66" i="22" s="1"/>
  <c r="C29" i="30"/>
  <c r="E29" i="30" s="1"/>
  <c r="D174" i="31"/>
  <c r="U13" i="18"/>
  <c r="U11" i="18"/>
  <c r="U12" i="18"/>
  <c r="U8" i="18"/>
  <c r="U21" i="18"/>
  <c r="U17" i="18"/>
  <c r="U23" i="18"/>
  <c r="U22" i="18"/>
  <c r="F125" i="31"/>
  <c r="M49" i="18"/>
  <c r="O49" i="18" s="1"/>
  <c r="I26" i="25"/>
  <c r="M23" i="25"/>
  <c r="F22" i="15"/>
  <c r="F26" i="15" s="1"/>
  <c r="H26" i="25"/>
  <c r="N26" i="25"/>
  <c r="R23" i="25"/>
  <c r="J6" i="11" s="1"/>
  <c r="E11" i="4"/>
  <c r="E14" i="4" s="1"/>
  <c r="K71" i="4" s="1"/>
  <c r="J9" i="9"/>
  <c r="J66" i="9" s="1"/>
  <c r="H13" i="25"/>
  <c r="C7" i="7"/>
  <c r="D13" i="29"/>
  <c r="F24" i="14"/>
  <c r="M26" i="25"/>
  <c r="F6" i="10"/>
  <c r="Q8" i="19"/>
  <c r="I7" i="18" s="1"/>
  <c r="K7" i="18" s="1"/>
  <c r="U7" i="18" s="1"/>
  <c r="D6" i="9"/>
  <c r="D29" i="9" s="1"/>
  <c r="K29" i="9" s="1"/>
  <c r="K34" i="9" s="1"/>
  <c r="D226" i="10"/>
  <c r="H226" i="10" s="1"/>
  <c r="H230" i="10" s="1"/>
  <c r="H232" i="10" s="1"/>
  <c r="R13" i="25"/>
  <c r="F18" i="12"/>
  <c r="F22" i="12"/>
  <c r="F20" i="12"/>
  <c r="H23" i="9"/>
  <c r="H67" i="9" s="1"/>
  <c r="B53" i="31"/>
  <c r="C21" i="25"/>
  <c r="C26" i="25" s="1"/>
  <c r="C13" i="25"/>
  <c r="H23" i="29"/>
  <c r="H26" i="29" s="1"/>
  <c r="F9" i="29"/>
  <c r="F13" i="29"/>
  <c r="H9" i="29"/>
  <c r="H61" i="17"/>
  <c r="C44" i="17"/>
  <c r="C47" i="17" s="1"/>
  <c r="Q25" i="18"/>
  <c r="F120" i="31"/>
  <c r="M25" i="18"/>
  <c r="O25" i="18" s="1"/>
  <c r="M10" i="18"/>
  <c r="O10" i="18" s="1"/>
  <c r="Q10" i="18"/>
  <c r="F88" i="31"/>
  <c r="M12" i="18"/>
  <c r="O12" i="18" s="1"/>
  <c r="F97" i="31"/>
  <c r="Q12" i="18"/>
  <c r="M8" i="18"/>
  <c r="O8" i="18" s="1"/>
  <c r="Q8" i="18"/>
  <c r="F86" i="31"/>
  <c r="M9" i="18"/>
  <c r="O9" i="18" s="1"/>
  <c r="Q9" i="18"/>
  <c r="F87" i="31"/>
  <c r="M14" i="18"/>
  <c r="O14" i="18" s="1"/>
  <c r="F110" i="31"/>
  <c r="Q14" i="18"/>
  <c r="M23" i="18"/>
  <c r="O23" i="18" s="1"/>
  <c r="Q23" i="18"/>
  <c r="F116" i="31"/>
  <c r="F115" i="31"/>
  <c r="M22" i="18"/>
  <c r="O22" i="18" s="1"/>
  <c r="Q22" i="18"/>
  <c r="G102" i="1"/>
  <c r="F124" i="1" s="1"/>
  <c r="H55" i="1"/>
  <c r="F89" i="31"/>
  <c r="M11" i="18"/>
  <c r="O11" i="18" s="1"/>
  <c r="Q11" i="18"/>
  <c r="Q21" i="18"/>
  <c r="M21" i="18"/>
  <c r="O21" i="18" s="1"/>
  <c r="F114" i="31"/>
  <c r="F98" i="31"/>
  <c r="Q13" i="18"/>
  <c r="M13" i="18"/>
  <c r="O13" i="18" s="1"/>
  <c r="M17" i="18"/>
  <c r="O17" i="18" s="1"/>
  <c r="F105" i="31"/>
  <c r="Q17" i="18"/>
  <c r="H87" i="1"/>
  <c r="C9" i="31"/>
  <c r="C13" i="31" s="1"/>
  <c r="F104" i="31"/>
  <c r="Q16" i="18"/>
  <c r="M16" i="18"/>
  <c r="O16" i="18" s="1"/>
  <c r="Q18" i="18"/>
  <c r="F106" i="31"/>
  <c r="M18" i="18"/>
  <c r="O18" i="18" s="1"/>
  <c r="F111" i="31"/>
  <c r="Q15" i="18"/>
  <c r="M15" i="18"/>
  <c r="O15" i="18" s="1"/>
  <c r="F119" i="31"/>
  <c r="M24" i="18"/>
  <c r="O24" i="18" s="1"/>
  <c r="Q24" i="18"/>
  <c r="J34" i="10"/>
  <c r="H5" i="9"/>
  <c r="H9" i="9" s="1"/>
  <c r="H66" i="9" s="1"/>
  <c r="F200" i="10"/>
  <c r="H94" i="10"/>
  <c r="C12" i="12"/>
  <c r="C16" i="12" s="1"/>
  <c r="C18" i="12" s="1"/>
  <c r="J27" i="10"/>
  <c r="F5" i="9"/>
  <c r="F9" i="9" s="1"/>
  <c r="F66" i="9" s="1"/>
  <c r="D95" i="10"/>
  <c r="J19" i="9"/>
  <c r="C22" i="14"/>
  <c r="C26" i="14" s="1"/>
  <c r="C33" i="14" s="1"/>
  <c r="C34" i="14" s="1"/>
  <c r="C26" i="15"/>
  <c r="C33" i="15" s="1"/>
  <c r="F13" i="16"/>
  <c r="F17" i="16" s="1"/>
  <c r="F23" i="16" s="1"/>
  <c r="D185" i="31" s="1"/>
  <c r="B33" i="14" l="1"/>
  <c r="B34" i="14"/>
  <c r="F49" i="22"/>
  <c r="L49" i="22" s="1"/>
  <c r="F52" i="22"/>
  <c r="F50" i="22"/>
  <c r="F51" i="22"/>
  <c r="F54" i="22"/>
  <c r="F53" i="22"/>
  <c r="F6" i="1"/>
  <c r="D9" i="1"/>
  <c r="C99" i="11"/>
  <c r="F99" i="11" s="1"/>
  <c r="C98" i="11"/>
  <c r="F98" i="11" s="1"/>
  <c r="F97" i="11"/>
  <c r="C100" i="11"/>
  <c r="F100" i="11" s="1"/>
  <c r="F111" i="11" s="1"/>
  <c r="F22" i="14"/>
  <c r="F34" i="22"/>
  <c r="F26" i="22"/>
  <c r="L26" i="22" s="1"/>
  <c r="G25" i="21" s="1"/>
  <c r="F36" i="22"/>
  <c r="L36" i="22" s="1"/>
  <c r="F32" i="22"/>
  <c r="F35" i="22"/>
  <c r="F37" i="22"/>
  <c r="L37" i="22" s="1"/>
  <c r="L50" i="22"/>
  <c r="F33" i="22"/>
  <c r="C10" i="22"/>
  <c r="I10" i="22" s="1"/>
  <c r="F15" i="21" s="1"/>
  <c r="F38" i="21" s="1"/>
  <c r="F43" i="22"/>
  <c r="L43" i="22" s="1"/>
  <c r="G36" i="21" s="1"/>
  <c r="I36" i="21" s="1"/>
  <c r="R36" i="21" s="1"/>
  <c r="F29" i="22"/>
  <c r="L29" i="22" s="1"/>
  <c r="G28" i="21" s="1"/>
  <c r="F27" i="22"/>
  <c r="L27" i="22" s="1"/>
  <c r="G26" i="21" s="1"/>
  <c r="F28" i="22"/>
  <c r="L28" i="22" s="1"/>
  <c r="G27" i="21" s="1"/>
  <c r="F46" i="22"/>
  <c r="L46" i="22" s="1"/>
  <c r="G39" i="21" s="1"/>
  <c r="C9" i="22"/>
  <c r="I9" i="22" s="1"/>
  <c r="F14" i="21" s="1"/>
  <c r="F26" i="21" s="1"/>
  <c r="F44" i="22"/>
  <c r="L44" i="22" s="1"/>
  <c r="G37" i="21" s="1"/>
  <c r="I37" i="21" s="1"/>
  <c r="R37" i="21" s="1"/>
  <c r="C8" i="22"/>
  <c r="C11" i="22"/>
  <c r="I11" i="22" s="1"/>
  <c r="F16" i="21" s="1"/>
  <c r="F39" i="21" s="1"/>
  <c r="F45" i="22"/>
  <c r="L45" i="22" s="1"/>
  <c r="G38" i="21" s="1"/>
  <c r="F26" i="14"/>
  <c r="E19" i="4"/>
  <c r="I11" i="4"/>
  <c r="I14" i="4" s="1"/>
  <c r="F10" i="10"/>
  <c r="J6" i="10"/>
  <c r="F85" i="31"/>
  <c r="M7" i="18"/>
  <c r="M55" i="18" s="1"/>
  <c r="Q7" i="18"/>
  <c r="C51" i="17"/>
  <c r="D57" i="17" s="1"/>
  <c r="F257" i="10"/>
  <c r="H237" i="10"/>
  <c r="F245" i="10" s="1"/>
  <c r="H34" i="9"/>
  <c r="H37" i="9" s="1"/>
  <c r="H39" i="9" s="1"/>
  <c r="H43" i="9" s="1"/>
  <c r="J34" i="9"/>
  <c r="J37" i="9" s="1"/>
  <c r="J39" i="9" s="1"/>
  <c r="J43" i="9" s="1"/>
  <c r="F34" i="9"/>
  <c r="F37" i="9" s="1"/>
  <c r="F39" i="9" s="1"/>
  <c r="F43" i="9" s="1"/>
  <c r="F286" i="10" s="1"/>
  <c r="H286" i="10" s="1"/>
  <c r="D34" i="9"/>
  <c r="D37" i="9" s="1"/>
  <c r="D39" i="9" s="1"/>
  <c r="D43" i="9" s="1"/>
  <c r="K13" i="29"/>
  <c r="C85" i="29"/>
  <c r="R26" i="25"/>
  <c r="J23" i="9"/>
  <c r="J67" i="9" s="1"/>
  <c r="B56" i="31"/>
  <c r="K9" i="29"/>
  <c r="C28" i="25"/>
  <c r="C12" i="13"/>
  <c r="C16" i="13" s="1"/>
  <c r="G12" i="12"/>
  <c r="G16" i="12" s="1"/>
  <c r="E34" i="14"/>
  <c r="F34" i="14" s="1"/>
  <c r="F153" i="10" s="1"/>
  <c r="H176" i="10" s="1"/>
  <c r="E33" i="14"/>
  <c r="F33" i="14" s="1"/>
  <c r="F152" i="10" s="1"/>
  <c r="H152" i="10" s="1"/>
  <c r="I102" i="1"/>
  <c r="E107" i="1" s="1"/>
  <c r="B33" i="15"/>
  <c r="B34" i="15"/>
  <c r="E32" i="15"/>
  <c r="F32" i="15" s="1"/>
  <c r="D104" i="29" s="1"/>
  <c r="H174" i="10"/>
  <c r="H151" i="10"/>
  <c r="D12" i="12"/>
  <c r="D16" i="12" s="1"/>
  <c r="C34" i="15"/>
  <c r="F208" i="10"/>
  <c r="H95" i="10"/>
  <c r="H97" i="10" s="1"/>
  <c r="D159" i="10" s="1"/>
  <c r="B45" i="31"/>
  <c r="H200" i="10"/>
  <c r="N37" i="21" l="1"/>
  <c r="F147" i="31"/>
  <c r="K37" i="21"/>
  <c r="M37" i="21" s="1"/>
  <c r="C52" i="31"/>
  <c r="B7" i="30"/>
  <c r="B10" i="30" s="1"/>
  <c r="B20" i="30" s="1"/>
  <c r="F9" i="1"/>
  <c r="F110" i="11"/>
  <c r="F109" i="11" s="1"/>
  <c r="F108" i="11" s="1"/>
  <c r="F243" i="11" s="1"/>
  <c r="H243" i="11" s="1"/>
  <c r="F276" i="11"/>
  <c r="H276" i="11" s="1"/>
  <c r="F28" i="21"/>
  <c r="I54" i="22"/>
  <c r="J54" i="22" s="1"/>
  <c r="L54" i="22" s="1"/>
  <c r="L35" i="22"/>
  <c r="I51" i="22"/>
  <c r="J51" i="22" s="1"/>
  <c r="L51" i="22" s="1"/>
  <c r="L32" i="22"/>
  <c r="F148" i="31"/>
  <c r="L33" i="22"/>
  <c r="I52" i="22"/>
  <c r="J52" i="22" s="1"/>
  <c r="L52" i="22" s="1"/>
  <c r="I53" i="22"/>
  <c r="J53" i="22" s="1"/>
  <c r="L53" i="22" s="1"/>
  <c r="L34" i="22"/>
  <c r="F27" i="21"/>
  <c r="N36" i="21"/>
  <c r="I8" i="22"/>
  <c r="F13" i="21" s="1"/>
  <c r="K36" i="21"/>
  <c r="M36" i="21" s="1"/>
  <c r="F37" i="21"/>
  <c r="H111" i="29"/>
  <c r="F104" i="29"/>
  <c r="M57" i="18"/>
  <c r="O7" i="18"/>
  <c r="O55" i="18" s="1"/>
  <c r="H111" i="11"/>
  <c r="D5" i="9"/>
  <c r="D9" i="9" s="1"/>
  <c r="D66" i="9" s="1"/>
  <c r="J10" i="10"/>
  <c r="C80" i="31"/>
  <c r="F57" i="17"/>
  <c r="F61" i="17" s="1"/>
  <c r="I61" i="17" s="1"/>
  <c r="H45" i="9"/>
  <c r="H69" i="9" s="1"/>
  <c r="C55" i="31"/>
  <c r="D45" i="9"/>
  <c r="D69" i="9" s="1"/>
  <c r="F277" i="10"/>
  <c r="F272" i="10"/>
  <c r="H257" i="10"/>
  <c r="F45" i="9"/>
  <c r="F69" i="9" s="1"/>
  <c r="J45" i="9"/>
  <c r="J69" i="9" s="1"/>
  <c r="J71" i="9" s="1"/>
  <c r="C58" i="31"/>
  <c r="G25" i="6"/>
  <c r="I25" i="6" s="1"/>
  <c r="M25" i="6" s="1"/>
  <c r="H153" i="10"/>
  <c r="H155" i="10" s="1"/>
  <c r="D162" i="10" s="1"/>
  <c r="G20" i="12"/>
  <c r="G22" i="12"/>
  <c r="I22" i="12" s="1"/>
  <c r="F55" i="9" s="1"/>
  <c r="G24" i="12"/>
  <c r="I24" i="12" s="1"/>
  <c r="F56" i="9" s="1"/>
  <c r="G18" i="12"/>
  <c r="C18" i="13"/>
  <c r="E18" i="13" s="1"/>
  <c r="F68" i="11" s="1"/>
  <c r="C20" i="13"/>
  <c r="E20" i="13" s="1"/>
  <c r="F69" i="11" s="1"/>
  <c r="C22" i="13"/>
  <c r="E22" i="13" s="1"/>
  <c r="C24" i="13"/>
  <c r="E24" i="13" s="1"/>
  <c r="H175" i="10"/>
  <c r="H124" i="1"/>
  <c r="C6" i="31"/>
  <c r="H208" i="10"/>
  <c r="B46" i="31"/>
  <c r="D20" i="12"/>
  <c r="D18" i="12"/>
  <c r="E34" i="15"/>
  <c r="F133" i="11"/>
  <c r="E33" i="15"/>
  <c r="F33" i="15" s="1"/>
  <c r="D105" i="29" s="1"/>
  <c r="H112" i="29" s="1"/>
  <c r="H110" i="11" l="1"/>
  <c r="C63" i="31"/>
  <c r="F254" i="11"/>
  <c r="H108" i="11"/>
  <c r="F265" i="11"/>
  <c r="H109" i="11"/>
  <c r="E37" i="1"/>
  <c r="E40" i="1" s="1"/>
  <c r="E48" i="1" s="1"/>
  <c r="E104" i="1"/>
  <c r="C27" i="30"/>
  <c r="E27" i="30" s="1"/>
  <c r="E31" i="30" s="1"/>
  <c r="E32" i="30" s="1"/>
  <c r="C172" i="31"/>
  <c r="I13" i="21"/>
  <c r="R13" i="21" s="1"/>
  <c r="F25" i="21"/>
  <c r="F36" i="21"/>
  <c r="F105" i="29"/>
  <c r="F106" i="29" s="1"/>
  <c r="C89" i="29" s="1"/>
  <c r="M61" i="18"/>
  <c r="F70" i="11"/>
  <c r="F261" i="11" s="1"/>
  <c r="F71" i="11"/>
  <c r="H71" i="11" s="1"/>
  <c r="I18" i="12"/>
  <c r="F53" i="9" s="1"/>
  <c r="F278" i="10" s="1"/>
  <c r="C75" i="31"/>
  <c r="F242" i="10"/>
  <c r="F247" i="10" s="1"/>
  <c r="F250" i="10" s="1"/>
  <c r="F256" i="10" s="1"/>
  <c r="H277" i="10"/>
  <c r="C49" i="31"/>
  <c r="C43" i="31"/>
  <c r="H272" i="10"/>
  <c r="J10" i="11"/>
  <c r="D140" i="11"/>
  <c r="H56" i="9"/>
  <c r="D56" i="31"/>
  <c r="H55" i="9"/>
  <c r="H68" i="9" s="1"/>
  <c r="H71" i="9" s="1"/>
  <c r="D53" i="31"/>
  <c r="G80" i="6"/>
  <c r="I80" i="6" s="1"/>
  <c r="G96" i="6"/>
  <c r="F73" i="1"/>
  <c r="F75" i="1" s="1"/>
  <c r="F77" i="1" s="1"/>
  <c r="F80" i="1" s="1"/>
  <c r="D75" i="1"/>
  <c r="D77" i="1" s="1"/>
  <c r="I20" i="12"/>
  <c r="F54" i="9" s="1"/>
  <c r="H69" i="11"/>
  <c r="F250" i="11"/>
  <c r="F240" i="11"/>
  <c r="H68" i="11"/>
  <c r="F134" i="11"/>
  <c r="J152" i="11"/>
  <c r="H133" i="11"/>
  <c r="F185" i="11"/>
  <c r="F34" i="15"/>
  <c r="H113" i="11" l="1"/>
  <c r="D197" i="11" s="1"/>
  <c r="C71" i="31"/>
  <c r="H265" i="11"/>
  <c r="C67" i="31"/>
  <c r="H254" i="11"/>
  <c r="F54" i="1"/>
  <c r="H54" i="1" s="1"/>
  <c r="H58" i="1" s="1"/>
  <c r="I58" i="1" s="1"/>
  <c r="F86" i="1"/>
  <c r="F135" i="11"/>
  <c r="F187" i="11" s="1"/>
  <c r="H113" i="29"/>
  <c r="H70" i="11"/>
  <c r="H73" i="11" s="1"/>
  <c r="D195" i="11" s="1"/>
  <c r="F287" i="10"/>
  <c r="H287" i="10" s="1"/>
  <c r="F272" i="11"/>
  <c r="D77" i="31" s="1"/>
  <c r="H256" i="10"/>
  <c r="H261" i="10" s="1"/>
  <c r="J261" i="10" s="1"/>
  <c r="F271" i="10"/>
  <c r="F89" i="1"/>
  <c r="G66" i="4"/>
  <c r="I66" i="4" s="1"/>
  <c r="H286" i="11"/>
  <c r="D192" i="11"/>
  <c r="I96" i="6"/>
  <c r="E35" i="6" s="1"/>
  <c r="B15" i="31"/>
  <c r="H54" i="9"/>
  <c r="F68" i="9" s="1"/>
  <c r="F71" i="9" s="1"/>
  <c r="D50" i="31"/>
  <c r="F88" i="1"/>
  <c r="G65" i="4"/>
  <c r="I65" i="4" s="1"/>
  <c r="H53" i="9"/>
  <c r="D68" i="9" s="1"/>
  <c r="D71" i="9" s="1"/>
  <c r="D69" i="31"/>
  <c r="H250" i="11"/>
  <c r="D73" i="31"/>
  <c r="H261" i="11"/>
  <c r="D65" i="31"/>
  <c r="H240" i="11"/>
  <c r="H278" i="10"/>
  <c r="D47" i="31"/>
  <c r="H185" i="11"/>
  <c r="J211" i="11"/>
  <c r="F186" i="11"/>
  <c r="J153" i="11"/>
  <c r="H134" i="11"/>
  <c r="H135" i="11" l="1"/>
  <c r="H137" i="11" s="1"/>
  <c r="D141" i="11" s="1"/>
  <c r="D143" i="11" s="1"/>
  <c r="D146" i="11" s="1"/>
  <c r="D151" i="11" s="1"/>
  <c r="J154" i="11"/>
  <c r="H272" i="11"/>
  <c r="C8" i="31"/>
  <c r="C12" i="31" s="1"/>
  <c r="H86" i="1"/>
  <c r="C42" i="31"/>
  <c r="H271" i="10"/>
  <c r="H274" i="10" s="1"/>
  <c r="H89" i="1"/>
  <c r="B10" i="31"/>
  <c r="K71" i="9"/>
  <c r="K76" i="9" s="1"/>
  <c r="E22" i="4"/>
  <c r="H88" i="1"/>
  <c r="B11" i="31"/>
  <c r="H58" i="9"/>
  <c r="H186" i="11"/>
  <c r="J212" i="11"/>
  <c r="H187" i="11"/>
  <c r="J213" i="11"/>
  <c r="H91" i="1" l="1"/>
  <c r="D76" i="9"/>
  <c r="D78" i="9" s="1"/>
  <c r="F276" i="10" s="1"/>
  <c r="F76" i="9"/>
  <c r="F78" i="9" s="1"/>
  <c r="E105" i="1"/>
  <c r="H128" i="1"/>
  <c r="H76" i="9"/>
  <c r="H78" i="9" s="1"/>
  <c r="J76" i="9"/>
  <c r="J78" i="9" s="1"/>
  <c r="E110" i="1"/>
  <c r="G137" i="1"/>
  <c r="H189" i="11"/>
  <c r="D199" i="11" s="1"/>
  <c r="D152" i="11"/>
  <c r="H151" i="11"/>
  <c r="L151" i="11" s="1"/>
  <c r="F160" i="11" s="1"/>
  <c r="E29" i="4" l="1"/>
  <c r="G69" i="4" s="1"/>
  <c r="C181" i="31" s="1"/>
  <c r="E28" i="4"/>
  <c r="G68" i="4" s="1"/>
  <c r="C180" i="31" s="1"/>
  <c r="C179" i="31"/>
  <c r="C54" i="31"/>
  <c r="J81" i="9"/>
  <c r="F81" i="9"/>
  <c r="D81" i="9"/>
  <c r="E113" i="1"/>
  <c r="F122" i="1" s="1"/>
  <c r="H81" i="9"/>
  <c r="C51" i="31"/>
  <c r="F285" i="10"/>
  <c r="H285" i="10" s="1"/>
  <c r="H290" i="10" s="1"/>
  <c r="C57" i="31"/>
  <c r="F241" i="11"/>
  <c r="H160" i="11"/>
  <c r="H152" i="11"/>
  <c r="L152" i="11" s="1"/>
  <c r="F161" i="11" s="1"/>
  <c r="D153" i="11"/>
  <c r="H276" i="10"/>
  <c r="H281" i="10" s="1"/>
  <c r="C48" i="31"/>
  <c r="I69" i="4" l="1"/>
  <c r="I67" i="4"/>
  <c r="I68" i="4"/>
  <c r="K81" i="9"/>
  <c r="F123" i="1"/>
  <c r="H293" i="10"/>
  <c r="F12" i="10" s="1"/>
  <c r="H122" i="1"/>
  <c r="C4" i="31"/>
  <c r="D154" i="11"/>
  <c r="H154" i="11" s="1"/>
  <c r="L154" i="11" s="1"/>
  <c r="F163" i="11" s="1"/>
  <c r="F273" i="11" s="1"/>
  <c r="H153" i="11"/>
  <c r="L153" i="11" s="1"/>
  <c r="F162" i="11" s="1"/>
  <c r="H161" i="11"/>
  <c r="F251" i="11"/>
  <c r="H241" i="11"/>
  <c r="D66" i="31"/>
  <c r="I71" i="4" l="1"/>
  <c r="M71" i="4" s="1"/>
  <c r="H123" i="1"/>
  <c r="H127" i="1" s="1"/>
  <c r="C5" i="31"/>
  <c r="F19" i="10"/>
  <c r="F16" i="10" s="1"/>
  <c r="F45" i="10" s="1"/>
  <c r="J12" i="10"/>
  <c r="H251" i="11"/>
  <c r="D70" i="31"/>
  <c r="H162" i="11"/>
  <c r="F262" i="11"/>
  <c r="H163" i="11"/>
  <c r="H129" i="1" l="1"/>
  <c r="G136" i="1"/>
  <c r="G139" i="1" s="1"/>
  <c r="H139" i="1" s="1"/>
  <c r="F17" i="10"/>
  <c r="J17" i="10" s="1"/>
  <c r="H165" i="11"/>
  <c r="D198" i="11" s="1"/>
  <c r="D201" i="11" s="1"/>
  <c r="D204" i="11" s="1"/>
  <c r="D205" i="11" s="1"/>
  <c r="D210" i="11" s="1"/>
  <c r="D211" i="11" s="1"/>
  <c r="D74" i="31"/>
  <c r="H262" i="11"/>
  <c r="D78" i="31"/>
  <c r="H273" i="11"/>
  <c r="J45" i="10"/>
  <c r="J16" i="10"/>
  <c r="F15" i="10" l="1"/>
  <c r="F44" i="10" s="1"/>
  <c r="D82" i="10"/>
  <c r="D87" i="10" s="1"/>
  <c r="F46" i="10"/>
  <c r="J46" i="10" s="1"/>
  <c r="H210" i="11"/>
  <c r="L210" i="11" s="1"/>
  <c r="F219" i="11" s="1"/>
  <c r="H219" i="11" s="1"/>
  <c r="H211" i="11"/>
  <c r="L211" i="11" s="1"/>
  <c r="F249" i="11" s="1"/>
  <c r="D212" i="11"/>
  <c r="H212" i="11" s="1"/>
  <c r="F48" i="10" l="1"/>
  <c r="J15" i="10"/>
  <c r="J19" i="10" s="1"/>
  <c r="J44" i="10"/>
  <c r="J48" i="10" s="1"/>
  <c r="H82" i="10"/>
  <c r="F239" i="11"/>
  <c r="L212" i="11"/>
  <c r="F260" i="11" s="1"/>
  <c r="D213" i="11"/>
  <c r="H213" i="11" s="1"/>
  <c r="L213" i="11" s="1"/>
  <c r="F271" i="11" s="1"/>
  <c r="F220" i="11"/>
  <c r="H220" i="11" s="1"/>
  <c r="D64" i="31" l="1"/>
  <c r="D158" i="10"/>
  <c r="H216" i="10"/>
  <c r="H239" i="11"/>
  <c r="H246" i="11" s="1"/>
  <c r="F222" i="11"/>
  <c r="H222" i="11" s="1"/>
  <c r="F221" i="11"/>
  <c r="H221" i="11" s="1"/>
  <c r="H249" i="11"/>
  <c r="H257" i="11" s="1"/>
  <c r="D68" i="31"/>
  <c r="H224" i="11" l="1"/>
  <c r="D72" i="31"/>
  <c r="H260" i="11"/>
  <c r="H268" i="11" s="1"/>
  <c r="H271" i="11"/>
  <c r="H279" i="11" s="1"/>
  <c r="D76" i="31"/>
  <c r="H281" i="11" l="1"/>
  <c r="J286" i="11" s="1"/>
  <c r="H283" i="11" l="1"/>
  <c r="F189" i="10" l="1"/>
  <c r="H129" i="10"/>
  <c r="D44" i="31" l="1"/>
  <c r="D61" i="31" s="1"/>
  <c r="H189" i="10"/>
  <c r="F181" i="10" l="1"/>
  <c r="H128" i="10"/>
  <c r="H181" i="10" l="1"/>
  <c r="D40" i="31"/>
  <c r="D60" i="31" s="1"/>
  <c r="C29" i="31" l="1"/>
  <c r="C28" i="31"/>
  <c r="G7" i="7" l="1"/>
  <c r="K7" i="7" s="1"/>
  <c r="E11" i="6"/>
  <c r="I11" i="6" l="1"/>
  <c r="G8" i="7"/>
  <c r="K8" i="7"/>
  <c r="C90" i="7" s="1"/>
  <c r="G90" i="7" s="1"/>
  <c r="G94" i="7" s="1"/>
  <c r="G96" i="7" s="1"/>
  <c r="G101" i="7" s="1"/>
  <c r="G9" i="7"/>
  <c r="K9" i="7" s="1"/>
  <c r="C10" i="7"/>
  <c r="E12" i="6"/>
  <c r="I12" i="6" s="1"/>
  <c r="E13" i="6"/>
  <c r="I13" i="6" s="1"/>
  <c r="I14" i="6" l="1"/>
  <c r="E14" i="6"/>
  <c r="E110" i="7"/>
  <c r="E123" i="7"/>
  <c r="C28" i="7"/>
  <c r="C30" i="7" s="1"/>
  <c r="I30" i="7" s="1"/>
  <c r="K10" i="7"/>
  <c r="G10" i="7"/>
  <c r="K16" i="7"/>
  <c r="K20" i="7" s="1"/>
  <c r="K22" i="7" s="1"/>
  <c r="K85" i="6" l="1"/>
  <c r="E30" i="6"/>
  <c r="E37" i="6" s="1"/>
  <c r="E40" i="6" s="1"/>
  <c r="E42" i="6" s="1"/>
  <c r="E138" i="7"/>
  <c r="G123" i="7"/>
  <c r="E107" i="7"/>
  <c r="E112" i="7" s="1"/>
  <c r="E115" i="7" s="1"/>
  <c r="E122" i="7" s="1"/>
  <c r="C58" i="7"/>
  <c r="C62" i="7" s="1"/>
  <c r="C72" i="7" s="1"/>
  <c r="G72" i="7" s="1"/>
  <c r="F46" i="29" s="1"/>
  <c r="G83" i="6" l="1"/>
  <c r="G95" i="6" s="1"/>
  <c r="I95" i="6" s="1"/>
  <c r="G81" i="6"/>
  <c r="G93" i="6" s="1"/>
  <c r="E41" i="6"/>
  <c r="G82" i="6" s="1"/>
  <c r="G94" i="6" s="1"/>
  <c r="G138" i="7"/>
  <c r="H40" i="29"/>
  <c r="D40" i="29" s="1"/>
  <c r="E145" i="7"/>
  <c r="E80" i="7"/>
  <c r="G80" i="7" s="1"/>
  <c r="G84" i="7" s="1"/>
  <c r="I84" i="7" s="1"/>
  <c r="E137" i="7"/>
  <c r="G122" i="7"/>
  <c r="G127" i="7" s="1"/>
  <c r="I127" i="7" s="1"/>
  <c r="I83" i="6" l="1"/>
  <c r="C18" i="31"/>
  <c r="G145" i="7"/>
  <c r="C32" i="31"/>
  <c r="C16" i="31"/>
  <c r="I93" i="6"/>
  <c r="I81" i="6"/>
  <c r="I82" i="6"/>
  <c r="C23" i="31"/>
  <c r="H46" i="29"/>
  <c r="H47" i="29" s="1"/>
  <c r="D19" i="29" s="1"/>
  <c r="G137" i="7"/>
  <c r="G140" i="7" s="1"/>
  <c r="D18" i="29" s="1"/>
  <c r="H39" i="29"/>
  <c r="D39" i="29" s="1"/>
  <c r="E144" i="7"/>
  <c r="I85" i="6" l="1"/>
  <c r="G144" i="7"/>
  <c r="G147" i="7" s="1"/>
  <c r="D17" i="29" s="1"/>
  <c r="C31" i="31"/>
  <c r="C17" i="31"/>
  <c r="I94" i="6"/>
  <c r="D16" i="29" s="1"/>
  <c r="D20" i="29" l="1"/>
  <c r="D23" i="29" s="1"/>
  <c r="C86" i="29" l="1"/>
  <c r="C90" i="29" s="1"/>
  <c r="C92" i="29" s="1"/>
  <c r="C110" i="29" s="1"/>
  <c r="D25" i="29"/>
  <c r="D53" i="29" s="1"/>
  <c r="H53" i="29" s="1"/>
  <c r="D24" i="29"/>
  <c r="D26" i="29" s="1"/>
  <c r="H134" i="29" s="1"/>
  <c r="F110" i="29"/>
  <c r="C111" i="29"/>
  <c r="J110" i="29" l="1"/>
  <c r="D120" i="29" s="1"/>
  <c r="D20" i="31"/>
  <c r="C112" i="29"/>
  <c r="F111" i="29"/>
  <c r="J111" i="29" s="1"/>
  <c r="D126" i="29" s="1"/>
  <c r="K110" i="29" l="1"/>
  <c r="D33" i="31"/>
  <c r="F120" i="29"/>
  <c r="H123" i="29" s="1"/>
  <c r="H120" i="10"/>
  <c r="K111" i="29"/>
  <c r="C113" i="29"/>
  <c r="F113" i="29" s="1"/>
  <c r="F112" i="29"/>
  <c r="J112" i="29" s="1"/>
  <c r="J113" i="29" l="1"/>
  <c r="H123" i="10" s="1"/>
  <c r="M123" i="10" s="1"/>
  <c r="F131" i="10" s="1"/>
  <c r="F205" i="10" s="1"/>
  <c r="F126" i="29"/>
  <c r="H128" i="29" s="1"/>
  <c r="H121" i="10"/>
  <c r="D131" i="29"/>
  <c r="K112" i="29"/>
  <c r="K114" i="29" s="1"/>
  <c r="H131" i="10" l="1"/>
  <c r="D36" i="31"/>
  <c r="F131" i="29"/>
  <c r="H122" i="10"/>
  <c r="D46" i="31"/>
  <c r="H205" i="10"/>
  <c r="F134" i="29" l="1"/>
  <c r="J134" i="29" s="1"/>
  <c r="H133" i="29"/>
  <c r="M122" i="10"/>
  <c r="F130" i="10" s="1"/>
  <c r="H130" i="10" l="1"/>
  <c r="H133" i="10" s="1"/>
  <c r="D161" i="10" s="1"/>
  <c r="D164" i="10" s="1"/>
  <c r="D167" i="10" s="1"/>
  <c r="C173" i="10" s="1"/>
  <c r="C174" i="10" s="1"/>
  <c r="F174" i="10" s="1"/>
  <c r="J174" i="10" s="1"/>
  <c r="F191" i="10" s="1"/>
  <c r="F197" i="10"/>
  <c r="H197" i="10" l="1"/>
  <c r="C61" i="31"/>
  <c r="C175" i="10"/>
  <c r="F175" i="10" s="1"/>
  <c r="J175" i="10" s="1"/>
  <c r="F199" i="10" s="1"/>
  <c r="C176" i="10"/>
  <c r="F176" i="10" s="1"/>
  <c r="J176" i="10" s="1"/>
  <c r="F207" i="10" s="1"/>
  <c r="F173" i="10"/>
  <c r="J173" i="10" s="1"/>
  <c r="F183" i="10" s="1"/>
  <c r="D45" i="31"/>
  <c r="C44" i="31"/>
  <c r="H191" i="10"/>
  <c r="H194" i="10" s="1"/>
  <c r="H207" i="10" l="1"/>
  <c r="H210" i="10" s="1"/>
  <c r="C45" i="31"/>
  <c r="H183" i="10"/>
  <c r="H186" i="10" s="1"/>
  <c r="C60" i="31"/>
  <c r="H199" i="10"/>
  <c r="H202" i="10" s="1"/>
  <c r="C46" i="31"/>
  <c r="C40" i="31"/>
  <c r="F133" i="31"/>
  <c r="I14" i="21"/>
  <c r="K14" i="21" s="1"/>
  <c r="M14" i="21" s="1"/>
  <c r="I15" i="21"/>
  <c r="K15" i="21" s="1"/>
  <c r="M15" i="21" s="1"/>
  <c r="I16" i="21"/>
  <c r="K16" i="21" s="1"/>
  <c r="M16" i="21" s="1"/>
  <c r="I25" i="21"/>
  <c r="F140" i="31" s="1"/>
  <c r="I26" i="21"/>
  <c r="K26" i="21" s="1"/>
  <c r="M26" i="21" s="1"/>
  <c r="I27" i="21"/>
  <c r="K27" i="21" s="1"/>
  <c r="M27" i="21" s="1"/>
  <c r="I28" i="21"/>
  <c r="F143" i="31" s="1"/>
  <c r="I38" i="21"/>
  <c r="F149" i="31" s="1"/>
  <c r="I39" i="21"/>
  <c r="K39" i="21" s="1"/>
  <c r="M39" i="21" s="1"/>
  <c r="R28" i="21" l="1"/>
  <c r="K28" i="21"/>
  <c r="M28" i="21" s="1"/>
  <c r="H214" i="10"/>
  <c r="H218" i="10" s="1"/>
  <c r="N15" i="21"/>
  <c r="F142" i="31"/>
  <c r="N16" i="21"/>
  <c r="R15" i="21"/>
  <c r="K13" i="21"/>
  <c r="M13" i="21" s="1"/>
  <c r="F136" i="31"/>
  <c r="R16" i="21"/>
  <c r="N28" i="21"/>
  <c r="R27" i="21"/>
  <c r="K25" i="21"/>
  <c r="M25" i="21" s="1"/>
  <c r="F135" i="31"/>
  <c r="K38" i="21"/>
  <c r="M38" i="21" s="1"/>
  <c r="N27" i="21"/>
  <c r="R26" i="21"/>
  <c r="N39" i="21"/>
  <c r="R38" i="21"/>
  <c r="N26" i="21"/>
  <c r="R25" i="21"/>
  <c r="N38" i="21"/>
  <c r="N25" i="21"/>
  <c r="N13" i="21"/>
  <c r="F150" i="31"/>
  <c r="F141" i="31"/>
  <c r="F134" i="31"/>
  <c r="R39" i="21"/>
  <c r="R14" i="21"/>
  <c r="N14" i="21"/>
  <c r="M46" i="21" l="1"/>
  <c r="K46" i="21"/>
  <c r="K50" i="21" s="1"/>
  <c r="K54" i="21" s="1"/>
  <c r="D41" i="29" l="1"/>
  <c r="H41" i="29"/>
  <c r="D42" i="29"/>
</calcChain>
</file>

<file path=xl/sharedStrings.xml><?xml version="1.0" encoding="utf-8"?>
<sst xmlns="http://schemas.openxmlformats.org/spreadsheetml/2006/main" count="2379" uniqueCount="1052">
  <si>
    <t xml:space="preserve"> I.</t>
  </si>
  <si>
    <t>Revenue</t>
  </si>
  <si>
    <t>Billed &amp;</t>
  </si>
  <si>
    <t>Accrued</t>
  </si>
  <si>
    <t xml:space="preserve">      Revenue</t>
  </si>
  <si>
    <t>Total RS Revenue Requirement</t>
  </si>
  <si>
    <t>Demand</t>
  </si>
  <si>
    <t>Energy</t>
  </si>
  <si>
    <t>Customer</t>
  </si>
  <si>
    <t>Total</t>
  </si>
  <si>
    <t xml:space="preserve">  Base</t>
  </si>
  <si>
    <t xml:space="preserve">  Revenue</t>
  </si>
  <si>
    <t>II.</t>
  </si>
  <si>
    <t>Customer Charge</t>
  </si>
  <si>
    <t>/mo.</t>
  </si>
  <si>
    <t>=</t>
  </si>
  <si>
    <t>Proposed Customer Charge</t>
  </si>
  <si>
    <t>Customer Revenue</t>
  </si>
  <si>
    <t>III.</t>
  </si>
  <si>
    <t>Off-Peak Energy Charge</t>
  </si>
  <si>
    <t>Energy Revenue Requirement</t>
  </si>
  <si>
    <t>Total Energy (kWh)</t>
  </si>
  <si>
    <t>Total Secondary Energy Charge</t>
  </si>
  <si>
    <t>/kWh</t>
  </si>
  <si>
    <t>Fixed Cost Adder</t>
  </si>
  <si>
    <t>Proposed Off-Peak Energy Charge</t>
  </si>
  <si>
    <t>Off-Peak % Usage</t>
  </si>
  <si>
    <t>Off-Peak kWh Energy</t>
  </si>
  <si>
    <t>Off-Peak Revenue</t>
  </si>
  <si>
    <t>IV.</t>
  </si>
  <si>
    <t>On-Peak Energy Charge</t>
  </si>
  <si>
    <t>Total RS Base Revenue</t>
  </si>
  <si>
    <t>Less:  Customer Revenue</t>
  </si>
  <si>
    <t>Less:  Off-Peak Energy Revenue</t>
  </si>
  <si>
    <t>On-Peak Revenue</t>
  </si>
  <si>
    <t>Total RS Energy</t>
  </si>
  <si>
    <t>Less:  Off-Peak kWh Energy</t>
  </si>
  <si>
    <t>On-Peak kWh Energy</t>
  </si>
  <si>
    <t>Proposed On-Peak Energy Charge</t>
  </si>
  <si>
    <t>Revenue Verification</t>
  </si>
  <si>
    <t>Units</t>
  </si>
  <si>
    <t xml:space="preserve">        Rate</t>
  </si>
  <si>
    <t>Difference</t>
  </si>
  <si>
    <t>On-Peak</t>
  </si>
  <si>
    <t>kWh</t>
  </si>
  <si>
    <t>Off-Peak</t>
  </si>
  <si>
    <t>Bills</t>
  </si>
  <si>
    <t>/Mo.</t>
  </si>
  <si>
    <t>Time-of-Day Customer Charges</t>
  </si>
  <si>
    <t xml:space="preserve">    Units</t>
  </si>
  <si>
    <t xml:space="preserve">    Revenue</t>
  </si>
  <si>
    <t xml:space="preserve">  On-Peak</t>
  </si>
  <si>
    <t xml:space="preserve">  Off-Peak</t>
  </si>
  <si>
    <t xml:space="preserve">  Customer</t>
  </si>
  <si>
    <t xml:space="preserve">  Total</t>
  </si>
  <si>
    <t>Customer Charge Revenue</t>
  </si>
  <si>
    <t>Standard Energy Rates</t>
  </si>
  <si>
    <t>Storage Water Heating Revenue</t>
  </si>
  <si>
    <t>Energy Charge Revenue - All Blocks</t>
  </si>
  <si>
    <t>All kWh</t>
  </si>
  <si>
    <t>RS Revenue Verification</t>
  </si>
  <si>
    <t xml:space="preserve">        Units</t>
  </si>
  <si>
    <t xml:space="preserve">         Rate</t>
  </si>
  <si>
    <t xml:space="preserve">  Difference</t>
  </si>
  <si>
    <t xml:space="preserve">  Storage Water Heating</t>
  </si>
  <si>
    <t>Residential Summary</t>
  </si>
  <si>
    <t>Schedule</t>
  </si>
  <si>
    <t xml:space="preserve">        Bills</t>
  </si>
  <si>
    <t xml:space="preserve">   kWh</t>
  </si>
  <si>
    <t xml:space="preserve">    Difference</t>
  </si>
  <si>
    <t>RS</t>
  </si>
  <si>
    <t>Total Billed</t>
  </si>
  <si>
    <t xml:space="preserve"> </t>
  </si>
  <si>
    <t>*Revised after revenue verification</t>
  </si>
  <si>
    <t>Fuel</t>
  </si>
  <si>
    <t>Base</t>
  </si>
  <si>
    <t>On-Peak kWh</t>
  </si>
  <si>
    <t>Off-Peak kWh</t>
  </si>
  <si>
    <t>+</t>
  </si>
  <si>
    <t>V.</t>
  </si>
  <si>
    <t>VI.</t>
  </si>
  <si>
    <t>VII.</t>
  </si>
  <si>
    <t>VIII.</t>
  </si>
  <si>
    <t>IX.</t>
  </si>
  <si>
    <t>X.</t>
  </si>
  <si>
    <t>XIV.</t>
  </si>
  <si>
    <t>Proposed Revenue</t>
  </si>
  <si>
    <t>Proposed Standard Charge</t>
  </si>
  <si>
    <t>x</t>
  </si>
  <si>
    <t xml:space="preserve">  kWh     x</t>
  </si>
  <si>
    <t xml:space="preserve">  Bills      x</t>
  </si>
  <si>
    <t>Less:  Storage Water Htg Revenue</t>
  </si>
  <si>
    <t>Standard Energy Rate - All kWh</t>
  </si>
  <si>
    <t xml:space="preserve">  All Standard kWh</t>
  </si>
  <si>
    <t>Separate Meter Customer Charge:</t>
  </si>
  <si>
    <t>Current</t>
  </si>
  <si>
    <t xml:space="preserve">  Customer - Std TOD</t>
  </si>
  <si>
    <t xml:space="preserve">  Customer - Sep Meter</t>
  </si>
  <si>
    <t>Actual Differential:</t>
  </si>
  <si>
    <t xml:space="preserve">    TOD Meter Cost</t>
  </si>
  <si>
    <t xml:space="preserve">    Standard Meter Cost</t>
  </si>
  <si>
    <t xml:space="preserve">    Cost Differential</t>
  </si>
  <si>
    <t xml:space="preserve">    Over 12 Months</t>
  </si>
  <si>
    <t xml:space="preserve">    Differential</t>
  </si>
  <si>
    <t>Less RS-TOD/RS-LM-TOD Revenue</t>
  </si>
  <si>
    <t xml:space="preserve">    Carrying Cost</t>
  </si>
  <si>
    <t>Current TOD Charge</t>
  </si>
  <si>
    <t xml:space="preserve">Use: </t>
  </si>
  <si>
    <t>RS-TOD / RS-LM-TOD Proposed Revenue</t>
  </si>
  <si>
    <t>Proposed Customer Charge Revenue</t>
  </si>
  <si>
    <t>Charge</t>
  </si>
  <si>
    <t>Proposed</t>
  </si>
  <si>
    <t>Separate Meter</t>
  </si>
  <si>
    <t>Adjusted Base Revenue</t>
  </si>
  <si>
    <t>RS-TOD / RS LMTOD</t>
  </si>
  <si>
    <t>I.</t>
  </si>
  <si>
    <t>Production</t>
  </si>
  <si>
    <t>All Other</t>
  </si>
  <si>
    <t>(1)</t>
  </si>
  <si>
    <t>(2)</t>
  </si>
  <si>
    <t>(3) = (1) - (2)</t>
  </si>
  <si>
    <t>All Other Revenue</t>
  </si>
  <si>
    <t>Less: Customer Charge Revenue - STD</t>
  </si>
  <si>
    <t xml:space="preserve">         Customer Charge Revenue - TOD</t>
  </si>
  <si>
    <t>Basic Energy Revenue</t>
  </si>
  <si>
    <t>Total kWh</t>
  </si>
  <si>
    <t>Basic Energy Charge</t>
  </si>
  <si>
    <t>Variable Energy Charge Rate Design</t>
  </si>
  <si>
    <t>(5)</t>
  </si>
  <si>
    <t>Summer</t>
  </si>
  <si>
    <t>Winter</t>
  </si>
  <si>
    <t>Other</t>
  </si>
  <si>
    <t>Subtotal</t>
  </si>
  <si>
    <t>Base Rate</t>
  </si>
  <si>
    <t>(4)</t>
  </si>
  <si>
    <t xml:space="preserve">Winter </t>
  </si>
  <si>
    <t>Rate</t>
  </si>
  <si>
    <t xml:space="preserve">(3) = (1) x (2) </t>
  </si>
  <si>
    <t>Customer Charge - STD</t>
  </si>
  <si>
    <t>Customer Charge - TOD</t>
  </si>
  <si>
    <t>Customer Charge - TOD - Sep Meter</t>
  </si>
  <si>
    <t>* Revised after revenue verification</t>
  </si>
  <si>
    <t>*</t>
  </si>
  <si>
    <t>Average</t>
  </si>
  <si>
    <t>kW</t>
  </si>
  <si>
    <t>Proposed RS-TOD/RS-LM-TOD/ RS TOD 2</t>
  </si>
  <si>
    <t>SGS-TOD</t>
  </si>
  <si>
    <t>Billing</t>
  </si>
  <si>
    <t>Revenue From Exisiting SGS-TOD Customers</t>
  </si>
  <si>
    <t>Customer Charge - NM</t>
  </si>
  <si>
    <t xml:space="preserve">         Customer Charge Revenue - NM</t>
  </si>
  <si>
    <t>/</t>
  </si>
  <si>
    <r>
      <t xml:space="preserve">Proposed Customer </t>
    </r>
    <r>
      <rPr>
        <u/>
        <sz val="12"/>
        <rFont val="Arial"/>
        <family val="2"/>
      </rPr>
      <t>Charge</t>
    </r>
  </si>
  <si>
    <r>
      <t xml:space="preserve">Plus </t>
    </r>
    <r>
      <rPr>
        <u/>
        <sz val="12"/>
        <rFont val="Arial"/>
        <family val="2"/>
      </rPr>
      <t>Standard</t>
    </r>
  </si>
  <si>
    <r>
      <t xml:space="preserve">Incremental </t>
    </r>
    <r>
      <rPr>
        <u/>
        <sz val="12"/>
        <rFont val="Arial"/>
        <family val="2"/>
      </rPr>
      <t>Customer Charge</t>
    </r>
  </si>
  <si>
    <t>Carrying Charge</t>
  </si>
  <si>
    <t>Months</t>
  </si>
  <si>
    <r>
      <t>Annual Incremental</t>
    </r>
    <r>
      <rPr>
        <u/>
        <sz val="12"/>
        <rFont val="Arial"/>
        <family val="2"/>
      </rPr>
      <t xml:space="preserve"> Meter Charge</t>
    </r>
  </si>
  <si>
    <t>Incremental Meter Charge Rate Design</t>
  </si>
  <si>
    <t xml:space="preserve">    Total</t>
  </si>
  <si>
    <t xml:space="preserve">        Customer</t>
  </si>
  <si>
    <t xml:space="preserve">        Off-Peak Energy</t>
  </si>
  <si>
    <t xml:space="preserve">        On-Peak Energy</t>
  </si>
  <si>
    <t>Revenue From Existing TOD Customers</t>
  </si>
  <si>
    <t xml:space="preserve">  IX.</t>
  </si>
  <si>
    <t>*Revised after revenue verification.</t>
  </si>
  <si>
    <t>Total Base Revenue</t>
  </si>
  <si>
    <t>Non-Metered Customer</t>
  </si>
  <si>
    <t>Standard Customer</t>
  </si>
  <si>
    <t xml:space="preserve">          Time-of-Day Off-Peak Revenue</t>
  </si>
  <si>
    <t xml:space="preserve">           Non-Metered Customer Revenue</t>
  </si>
  <si>
    <t>Less:  Standard Customer Revenue</t>
  </si>
  <si>
    <t xml:space="preserve"> VII.</t>
  </si>
  <si>
    <t xml:space="preserve">  Off-Peak Revenue</t>
  </si>
  <si>
    <t xml:space="preserve">  Off-Peak kWh</t>
  </si>
  <si>
    <t xml:space="preserve">  Off-Peak % Usage</t>
  </si>
  <si>
    <t xml:space="preserve">  Calculated Off-Peak Energy Charge</t>
  </si>
  <si>
    <t xml:space="preserve">  Fixed Cost Adder</t>
  </si>
  <si>
    <t>kwh    =</t>
  </si>
  <si>
    <t xml:space="preserve">  Energy Revenue Requirement</t>
  </si>
  <si>
    <t xml:space="preserve">  VI.</t>
  </si>
  <si>
    <t xml:space="preserve">   Total Base Revenue</t>
  </si>
  <si>
    <t>/mo</t>
  </si>
  <si>
    <t xml:space="preserve">   Non-Metered Customer</t>
  </si>
  <si>
    <t xml:space="preserve">   Standard Customer</t>
  </si>
  <si>
    <t xml:space="preserve">               - Over 500 kWh</t>
  </si>
  <si>
    <t xml:space="preserve">   Energy - First 500 kWh</t>
  </si>
  <si>
    <t xml:space="preserve">  V.</t>
  </si>
  <si>
    <t>Block Differential</t>
  </si>
  <si>
    <t xml:space="preserve">   Less: Non-Metered Customer Revenue</t>
  </si>
  <si>
    <t xml:space="preserve">   Less: Standard Customer Revenue</t>
  </si>
  <si>
    <t xml:space="preserve">   Revenue Requirement</t>
  </si>
  <si>
    <t>Block Differential Revenue</t>
  </si>
  <si>
    <t>Proposed Differential</t>
  </si>
  <si>
    <t>Less Customer Charge Increase</t>
  </si>
  <si>
    <t>Energy Charges</t>
  </si>
  <si>
    <t xml:space="preserve">  IV.</t>
  </si>
  <si>
    <t xml:space="preserve"> Bills</t>
  </si>
  <si>
    <t xml:space="preserve">    Standard</t>
  </si>
  <si>
    <t>Use:</t>
  </si>
  <si>
    <t xml:space="preserve">  /</t>
  </si>
  <si>
    <t>Residual Customer Revenue</t>
  </si>
  <si>
    <t>Less:  Non-Metered Customer Rev.</t>
  </si>
  <si>
    <t>Standard Customer Charge</t>
  </si>
  <si>
    <t xml:space="preserve">  III.</t>
  </si>
  <si>
    <t xml:space="preserve">        Use:</t>
  </si>
  <si>
    <t>Meter Plant Revenue</t>
  </si>
  <si>
    <t>/ Bills</t>
  </si>
  <si>
    <t>GRCF</t>
  </si>
  <si>
    <t>Adj. Customer Revenue</t>
  </si>
  <si>
    <t>Income</t>
  </si>
  <si>
    <t xml:space="preserve">           Meter Reading Expense (902)</t>
  </si>
  <si>
    <t xml:space="preserve">           Meter O&amp;M Expense (586 &amp; 597)</t>
  </si>
  <si>
    <t>Depreciated Meter Plant</t>
  </si>
  <si>
    <t>Less:  Meter Plant Revenue</t>
  </si>
  <si>
    <t>Net Plant/Gross Plant Percentage</t>
  </si>
  <si>
    <t>Customer Base Revenue</t>
  </si>
  <si>
    <t>Meter Plant  (370)</t>
  </si>
  <si>
    <t>Non-Metered Customer Charge</t>
  </si>
  <si>
    <t xml:space="preserve"> II.</t>
  </si>
  <si>
    <t xml:space="preserve">  Energy</t>
  </si>
  <si>
    <t xml:space="preserve">  Demand</t>
  </si>
  <si>
    <t>Revenue Excld Fuel</t>
  </si>
  <si>
    <t xml:space="preserve">   I.</t>
  </si>
  <si>
    <t xml:space="preserve">   Customer</t>
  </si>
  <si>
    <t xml:space="preserve">   Energy</t>
  </si>
  <si>
    <t>Recreational Lighting</t>
  </si>
  <si>
    <t xml:space="preserve">      Total</t>
  </si>
  <si>
    <t xml:space="preserve">      Customer</t>
  </si>
  <si>
    <t xml:space="preserve">      Off-Peak Energy</t>
  </si>
  <si>
    <t xml:space="preserve">      On-Peak Energy</t>
  </si>
  <si>
    <t xml:space="preserve">  MGS-TOD</t>
  </si>
  <si>
    <t xml:space="preserve">  XI.</t>
  </si>
  <si>
    <t xml:space="preserve">  X.</t>
  </si>
  <si>
    <t xml:space="preserve"> IX.</t>
  </si>
  <si>
    <t xml:space="preserve">          Off-Peak Energy Revenue</t>
  </si>
  <si>
    <t xml:space="preserve"> VIII.</t>
  </si>
  <si>
    <t xml:space="preserve">  Off-Peak % Usage  -  secondary</t>
  </si>
  <si>
    <t>bills</t>
  </si>
  <si>
    <t>/kW</t>
  </si>
  <si>
    <t>Subtransmission</t>
  </si>
  <si>
    <t>Primary</t>
  </si>
  <si>
    <t>Secondary</t>
  </si>
  <si>
    <t>Target</t>
  </si>
  <si>
    <t xml:space="preserve">     Total Energy Revenue</t>
  </si>
  <si>
    <t>Charges</t>
  </si>
  <si>
    <t xml:space="preserve">  Proposed Energy Charges</t>
  </si>
  <si>
    <t xml:space="preserve">             Demand Revenue</t>
  </si>
  <si>
    <t xml:space="preserve">  Less:  Customer Revenue</t>
  </si>
  <si>
    <t>Proposed Energy Charges and Revenue</t>
  </si>
  <si>
    <t xml:space="preserve">    Subtransmission</t>
  </si>
  <si>
    <t xml:space="preserve">    Primary</t>
  </si>
  <si>
    <t xml:space="preserve">    Secondary</t>
  </si>
  <si>
    <t>Factor</t>
  </si>
  <si>
    <t>Loss</t>
  </si>
  <si>
    <t>Increase</t>
  </si>
  <si>
    <t>Proposed Demand Charges and Revenue</t>
  </si>
  <si>
    <t>Full Cost</t>
  </si>
  <si>
    <t>Billing Determinant Summary</t>
  </si>
  <si>
    <t>Calculated On-Peak Energy Charge</t>
  </si>
  <si>
    <t>Loss Adjusted Energy</t>
  </si>
  <si>
    <t>Loss Factor</t>
  </si>
  <si>
    <t xml:space="preserve">          Demand Revenue</t>
  </si>
  <si>
    <t>Less: Customer Revenue</t>
  </si>
  <si>
    <t>Total Revenue</t>
  </si>
  <si>
    <t>Trans</t>
  </si>
  <si>
    <t>Subtran</t>
  </si>
  <si>
    <t xml:space="preserve">Full cost off-peak rates </t>
  </si>
  <si>
    <t xml:space="preserve">         - Transmission</t>
  </si>
  <si>
    <t xml:space="preserve">         - Subtransmission</t>
  </si>
  <si>
    <t xml:space="preserve">         - Primary</t>
  </si>
  <si>
    <t>LGS - Secondary</t>
  </si>
  <si>
    <t>Rate *</t>
  </si>
  <si>
    <t xml:space="preserve">Demand </t>
  </si>
  <si>
    <t xml:space="preserve">Proposed </t>
  </si>
  <si>
    <t xml:space="preserve">Billing </t>
  </si>
  <si>
    <t>Demand Charge</t>
  </si>
  <si>
    <t>Proposed Off-Peak Charge</t>
  </si>
  <si>
    <t>Calculated Off-Peak Energy Charge</t>
  </si>
  <si>
    <t>Total Energy Charge</t>
  </si>
  <si>
    <t>Total Billing kWh</t>
  </si>
  <si>
    <t>Proposed Customer Revenue</t>
  </si>
  <si>
    <t>All Bills</t>
  </si>
  <si>
    <t>Calculated Customer Charge</t>
  </si>
  <si>
    <t>Full Cost Customer Revenue</t>
  </si>
  <si>
    <t>Proposed Base Revenue</t>
  </si>
  <si>
    <t>*Use same as standard</t>
  </si>
  <si>
    <t>/Mo *</t>
  </si>
  <si>
    <t xml:space="preserve">  LGS-LM-TOD</t>
  </si>
  <si>
    <t>/Mo</t>
  </si>
  <si>
    <t xml:space="preserve">                 - Time-of-Day</t>
  </si>
  <si>
    <t>Customer - Standard</t>
  </si>
  <si>
    <t xml:space="preserve">/kWh </t>
  </si>
  <si>
    <t xml:space="preserve">             Off-Peak Energy Revenue</t>
  </si>
  <si>
    <t xml:space="preserve">            Time-of-Day Customer Revenue</t>
  </si>
  <si>
    <t>Total LGS Secondary Base Revenue</t>
  </si>
  <si>
    <t xml:space="preserve">  Use: </t>
  </si>
  <si>
    <t xml:space="preserve">  Secondary Energy Revenue Reqt</t>
  </si>
  <si>
    <t>Off-Peak Energy Charge For LM-TOD</t>
  </si>
  <si>
    <t>Total Tariff LGS</t>
  </si>
  <si>
    <t>/KVA</t>
  </si>
  <si>
    <t>KVA</t>
  </si>
  <si>
    <t>Excess KVA</t>
  </si>
  <si>
    <t>Tran</t>
  </si>
  <si>
    <t>Credit</t>
  </si>
  <si>
    <t xml:space="preserve">Equipment </t>
  </si>
  <si>
    <t xml:space="preserve">  Secondary Energy Charge</t>
  </si>
  <si>
    <t xml:space="preserve">  Loss Adjusted Billing Energy</t>
  </si>
  <si>
    <t xml:space="preserve">  Energy Revenue</t>
  </si>
  <si>
    <t xml:space="preserve">             Equipment Credit Revenue</t>
  </si>
  <si>
    <t xml:space="preserve">             Excess KVA Revenue</t>
  </si>
  <si>
    <t xml:space="preserve">  Total Revenue</t>
  </si>
  <si>
    <t>--</t>
  </si>
  <si>
    <t>Equipment Credit Revenue</t>
  </si>
  <si>
    <t>Equipment</t>
  </si>
  <si>
    <t>Loss Adj</t>
  </si>
  <si>
    <t>Proposed Demand Revenue</t>
  </si>
  <si>
    <t>Demand Charges</t>
  </si>
  <si>
    <t>Proposed KVA Revenue</t>
  </si>
  <si>
    <t>Excess</t>
  </si>
  <si>
    <t>Proposed/Current</t>
  </si>
  <si>
    <t>Proposed Excess KVA Charges &amp; Revenue</t>
  </si>
  <si>
    <t>*** Equal to Subtrans</t>
  </si>
  <si>
    <t>** Full cost.</t>
  </si>
  <si>
    <t>* Use Current.</t>
  </si>
  <si>
    <t xml:space="preserve">  Transmission</t>
  </si>
  <si>
    <t xml:space="preserve">  Subtransmission</t>
  </si>
  <si>
    <t xml:space="preserve">  Primary</t>
  </si>
  <si>
    <t xml:space="preserve">  Secondary</t>
  </si>
  <si>
    <t>Proposed Customer Charges &amp; Revenue</t>
  </si>
  <si>
    <t>Billing kWh</t>
  </si>
  <si>
    <t>Billing Reactive</t>
  </si>
  <si>
    <t>Billing Demand</t>
  </si>
  <si>
    <t>Transmission</t>
  </si>
  <si>
    <t>Total LGS Excld LMTOD</t>
  </si>
  <si>
    <t xml:space="preserve">Primary </t>
  </si>
  <si>
    <t>Secondary Excl. LM-TOD</t>
  </si>
  <si>
    <t xml:space="preserve">   Demand</t>
  </si>
  <si>
    <t xml:space="preserve">Secondary </t>
  </si>
  <si>
    <t>Billed and</t>
  </si>
  <si>
    <t>Total Tariff IGS</t>
  </si>
  <si>
    <t>/KVAR</t>
  </si>
  <si>
    <t>KVAR</t>
  </si>
  <si>
    <t>Excess KVAR</t>
  </si>
  <si>
    <t>Minimum Demand</t>
  </si>
  <si>
    <t>Off-peak Demand</t>
  </si>
  <si>
    <t>On-Peak Demand</t>
  </si>
  <si>
    <t>Proposed On-Peak Demand Revenue</t>
  </si>
  <si>
    <t>% of Full Cost</t>
  </si>
  <si>
    <t xml:space="preserve">  Full Cost Demand Charge</t>
  </si>
  <si>
    <t xml:space="preserve">  Loss Adjusted Billing Demand</t>
  </si>
  <si>
    <t xml:space="preserve">  Demand Revenue</t>
  </si>
  <si>
    <t xml:space="preserve">              Equipment Credit Revenue</t>
  </si>
  <si>
    <t xml:space="preserve">              Minimum Demand Revenue</t>
  </si>
  <si>
    <t xml:space="preserve">              Energy Revenue</t>
  </si>
  <si>
    <t xml:space="preserve">              Off-peak Revenue</t>
  </si>
  <si>
    <t xml:space="preserve">              Excess KVAR Revenue</t>
  </si>
  <si>
    <t xml:space="preserve">  Less: Customer Revenue</t>
  </si>
  <si>
    <t xml:space="preserve">  Total Required Base Revenue</t>
  </si>
  <si>
    <t>Full Cost Demand Charge</t>
  </si>
  <si>
    <t>Calculation of Loss Adj Demand</t>
  </si>
  <si>
    <t>Proposed On-Peak Demand Charges and Revenue</t>
  </si>
  <si>
    <t>Minimum</t>
  </si>
  <si>
    <t>Proposed Minimum Demand Revenue</t>
  </si>
  <si>
    <t xml:space="preserve">  Loss Adjusted Maximum Demand</t>
  </si>
  <si>
    <t xml:space="preserve">   Less: Equipment Credit Revenue</t>
  </si>
  <si>
    <t xml:space="preserve">  Total Required Demand Revenue</t>
  </si>
  <si>
    <t>Maximum</t>
  </si>
  <si>
    <t>Proposed Minimum Demand Charges and Revenue</t>
  </si>
  <si>
    <t>Proposed Energy Revenue</t>
  </si>
  <si>
    <t>Off-peak</t>
  </si>
  <si>
    <t>Proposed Off-Peak Demand Charges and Revenue</t>
  </si>
  <si>
    <t>Excess KVAR Rate</t>
  </si>
  <si>
    <t>Proposed KVAR Revenue</t>
  </si>
  <si>
    <t>Use: Current</t>
  </si>
  <si>
    <t>Proposed Excess KVAR Charges &amp; Revenue</t>
  </si>
  <si>
    <t>Maximum Monthly Demand kW</t>
  </si>
  <si>
    <t>Off-Peak Billing Demand</t>
  </si>
  <si>
    <t>On-Peak Billing Demand</t>
  </si>
  <si>
    <t xml:space="preserve">  Transmission Charge</t>
  </si>
  <si>
    <t xml:space="preserve">  Subtran Charge</t>
  </si>
  <si>
    <t xml:space="preserve">  Primary Charge</t>
  </si>
  <si>
    <t xml:space="preserve">  Secondary Charge</t>
  </si>
  <si>
    <t xml:space="preserve">  Off Peak Demand Cost</t>
  </si>
  <si>
    <t xml:space="preserve">  Off-Peak Recovery %</t>
  </si>
  <si>
    <t xml:space="preserve">  Functional Demand Cost</t>
  </si>
  <si>
    <t>Factors</t>
  </si>
  <si>
    <t>Cost</t>
  </si>
  <si>
    <t>Bulk</t>
  </si>
  <si>
    <t>Distribution</t>
  </si>
  <si>
    <t>Full</t>
  </si>
  <si>
    <t>Full Cost Off-Peak Demand Charges</t>
  </si>
  <si>
    <t>Total LGS-Sec</t>
  </si>
  <si>
    <t>LGS-Sec</t>
  </si>
  <si>
    <t>Total MGS-Sec</t>
  </si>
  <si>
    <t>Metered</t>
  </si>
  <si>
    <t>TOD and AF Energy</t>
  </si>
  <si>
    <t>Full Cost Equipment Credits</t>
  </si>
  <si>
    <t xml:space="preserve">  Functional Cost</t>
  </si>
  <si>
    <t xml:space="preserve">  Functional Energy</t>
  </si>
  <si>
    <t xml:space="preserve">  Functional Demand Rev</t>
  </si>
  <si>
    <t xml:space="preserve">  Energy Served by Subtran System</t>
  </si>
  <si>
    <t xml:space="preserve">  Loss Adj Energy</t>
  </si>
  <si>
    <t xml:space="preserve">  Relative Loss Factor</t>
  </si>
  <si>
    <t xml:space="preserve">  LGS</t>
  </si>
  <si>
    <t>Current Metered Energy Summary</t>
  </si>
  <si>
    <t>Equipment Credits Relative to Secondary</t>
  </si>
  <si>
    <t>KENTUCKY POWER COMPANY</t>
  </si>
  <si>
    <t>Standard</t>
  </si>
  <si>
    <t>TOD and AF Demands</t>
  </si>
  <si>
    <t>Full Cost Equipment Credits (Relative to Secondary)</t>
  </si>
  <si>
    <t xml:space="preserve">  Functional Demand</t>
  </si>
  <si>
    <t xml:space="preserve">  Demand Served by Subtran System</t>
  </si>
  <si>
    <t xml:space="preserve">  Loss Adj Demand</t>
  </si>
  <si>
    <t>Current Billing Demand Summary</t>
  </si>
  <si>
    <t xml:space="preserve"> =</t>
  </si>
  <si>
    <t xml:space="preserve">Total Monthly AFS Transfer Switch Testing Rate </t>
  </si>
  <si>
    <t xml:space="preserve"> /</t>
  </si>
  <si>
    <t>Divided by 12</t>
  </si>
  <si>
    <t>Total Annual AFS Transfer Switch Testing Cost</t>
  </si>
  <si>
    <t>AFS Transfer Switch Monthly Testing Rate</t>
  </si>
  <si>
    <t>AFS Monthly Cost @ Primary</t>
  </si>
  <si>
    <t xml:space="preserve"> x</t>
  </si>
  <si>
    <t>Loss Factor Secondary to Primary</t>
  </si>
  <si>
    <t>Monthly Cost @ Secondary</t>
  </si>
  <si>
    <t>Functional Demand kW @ Secondary</t>
  </si>
  <si>
    <t>Primary Demand Revenue Requirement</t>
  </si>
  <si>
    <t xml:space="preserve">     </t>
  </si>
  <si>
    <t>AFS Monthly Cost / Reservation Demand Charge</t>
  </si>
  <si>
    <t>Alternate Feed Service (AFS) Rate Design</t>
  </si>
  <si>
    <t>Total MW Verified Revenues</t>
  </si>
  <si>
    <t xml:space="preserve">Target </t>
  </si>
  <si>
    <t>Proposed Energy Charge</t>
  </si>
  <si>
    <t xml:space="preserve">Billing kWh </t>
  </si>
  <si>
    <t>Energy Charge Revenue</t>
  </si>
  <si>
    <t>Less:  Minimum Demand Revenue</t>
  </si>
  <si>
    <t>Total MW Revenue Requirement</t>
  </si>
  <si>
    <t>Energy Charge</t>
  </si>
  <si>
    <t xml:space="preserve"> IV.</t>
  </si>
  <si>
    <t>Minimum Demand Charge Revenue</t>
  </si>
  <si>
    <t>Minimum kW</t>
  </si>
  <si>
    <t>Current Minimum Demand Charges</t>
  </si>
  <si>
    <t>Monthly Demand (SNCP)</t>
  </si>
  <si>
    <t>Demand Revenue Requirement</t>
  </si>
  <si>
    <t>Bills           X</t>
  </si>
  <si>
    <t>Use current:</t>
  </si>
  <si>
    <t>Full Cost Customer Charge</t>
  </si>
  <si>
    <t xml:space="preserve">Base </t>
  </si>
  <si>
    <t xml:space="preserve">  I.</t>
  </si>
  <si>
    <t>MW Rate Design</t>
  </si>
  <si>
    <t>Kentucky Power Company</t>
  </si>
  <si>
    <t>Scale Factor</t>
  </si>
  <si>
    <t>Revenue Target</t>
  </si>
  <si>
    <t xml:space="preserve">Base Revenue </t>
  </si>
  <si>
    <t xml:space="preserve">  Lateral</t>
  </si>
  <si>
    <t xml:space="preserve">  Span</t>
  </si>
  <si>
    <t xml:space="preserve">  Pole</t>
  </si>
  <si>
    <t>Facilities Charge</t>
  </si>
  <si>
    <t>175 Post Top</t>
  </si>
  <si>
    <t>400 Watt</t>
  </si>
  <si>
    <t>175 Watt</t>
  </si>
  <si>
    <t>Mercury Vapor *</t>
  </si>
  <si>
    <t>400 Watt Mongoose</t>
  </si>
  <si>
    <t>250 Watt Mongoose</t>
  </si>
  <si>
    <t>1000 Watt Floodlight</t>
  </si>
  <si>
    <t>400 Watt Floodlight</t>
  </si>
  <si>
    <t>250 Watt Floodlight</t>
  </si>
  <si>
    <t>Metal Halide</t>
  </si>
  <si>
    <t>400 Watt Shoebox</t>
  </si>
  <si>
    <t>250 Watt Shoebox</t>
  </si>
  <si>
    <t>100 Watt Shoebox</t>
  </si>
  <si>
    <t>200 Watt Floodlight</t>
  </si>
  <si>
    <t>150 Watt Post Top</t>
  </si>
  <si>
    <t>100 Watt Post Top</t>
  </si>
  <si>
    <t>250 Watt</t>
  </si>
  <si>
    <t>200 Watt</t>
  </si>
  <si>
    <t>150 Watt</t>
  </si>
  <si>
    <t>100 Watt</t>
  </si>
  <si>
    <t>High Pressure Sodium</t>
  </si>
  <si>
    <t>Tariff #</t>
  </si>
  <si>
    <t>(9)=(8/4)</t>
  </si>
  <si>
    <t>(8)</t>
  </si>
  <si>
    <t>(7)=(2*6)</t>
  </si>
  <si>
    <t>(6)</t>
  </si>
  <si>
    <t xml:space="preserve">  (5)</t>
  </si>
  <si>
    <t>(4)=(2*3)</t>
  </si>
  <si>
    <t>(3)</t>
  </si>
  <si>
    <t>Lamps</t>
  </si>
  <si>
    <t>Type &amp; Size</t>
  </si>
  <si>
    <t>Percent</t>
  </si>
  <si>
    <t>Annual</t>
  </si>
  <si>
    <t>Based</t>
  </si>
  <si>
    <t>Present</t>
  </si>
  <si>
    <t>Number of</t>
  </si>
  <si>
    <t>Lamp</t>
  </si>
  <si>
    <t>Energy Rate ($/kWh)</t>
  </si>
  <si>
    <t>Class Metered Energy</t>
  </si>
  <si>
    <t>B&amp;A Rev Excl Direct Ltg Costs</t>
  </si>
  <si>
    <t xml:space="preserve">  Less: Acct. 598</t>
  </si>
  <si>
    <t>Monthly Total FCCRR</t>
  </si>
  <si>
    <t xml:space="preserve">  State Income Tax</t>
  </si>
  <si>
    <t xml:space="preserve">  Taxes Other</t>
  </si>
  <si>
    <t>Annual Total</t>
  </si>
  <si>
    <t>Prop Taxes, Adm &amp; Gen'l</t>
  </si>
  <si>
    <t>Cust. Related Revenue Reqt.</t>
  </si>
  <si>
    <t>F.I.T.</t>
  </si>
  <si>
    <t>Depreciation</t>
  </si>
  <si>
    <t>Return</t>
  </si>
  <si>
    <t>Using 10-Yr Inv Life</t>
  </si>
  <si>
    <t xml:space="preserve">Outdoor Lighting (OL) Cost of Service </t>
  </si>
  <si>
    <t>Fixed Cost CC Rate</t>
  </si>
  <si>
    <t>High Pressure Sodium (HPS)</t>
  </si>
  <si>
    <t>(9)=(3+7+8)</t>
  </si>
  <si>
    <t>(7)=(6)*EC</t>
  </si>
  <si>
    <t>(3)=(2)*FCCR</t>
  </si>
  <si>
    <t>Estimate</t>
  </si>
  <si>
    <t>Maintenance</t>
  </si>
  <si>
    <t>per kWh</t>
  </si>
  <si>
    <t>Monthly</t>
  </si>
  <si>
    <t>Consumption in kWh</t>
  </si>
  <si>
    <t>Facility</t>
  </si>
  <si>
    <t>Installed</t>
  </si>
  <si>
    <t>Lighting</t>
  </si>
  <si>
    <t>Estimated</t>
  </si>
  <si>
    <t>Energy Cost @</t>
  </si>
  <si>
    <t>50,000 Lumen HPS</t>
  </si>
  <si>
    <t>22,000 Lumen HPS</t>
  </si>
  <si>
    <t>16,000 Lumen HPS</t>
  </si>
  <si>
    <t>9,500 Lumen HPS</t>
  </si>
  <si>
    <t>Service on New Metal or Concrete Poles</t>
  </si>
  <si>
    <t>Service on New Wood Poles</t>
  </si>
  <si>
    <t>n.a.</t>
  </si>
  <si>
    <t>5,800 Lumen HPS</t>
  </si>
  <si>
    <t>58,000 Lumen MV</t>
  </si>
  <si>
    <t>21,000 Lumen MV</t>
  </si>
  <si>
    <t>11,000 Lumen MV</t>
  </si>
  <si>
    <t>7,000 Lumen MV</t>
  </si>
  <si>
    <t>3,500 Lumen MV</t>
  </si>
  <si>
    <t>Service on Existing Wood Poles</t>
  </si>
  <si>
    <t>(10)=(8/4)</t>
  </si>
  <si>
    <t>(9)</t>
  </si>
  <si>
    <t>(7)</t>
  </si>
  <si>
    <t>w/pole</t>
  </si>
  <si>
    <t>Cost Based</t>
  </si>
  <si>
    <t>B&amp;A Rev Excl Direct Ltg Cost</t>
  </si>
  <si>
    <t xml:space="preserve">            Account 596</t>
  </si>
  <si>
    <t xml:space="preserve">  Less: Account 585</t>
  </si>
  <si>
    <t>Customer-Related Revenue Requirement</t>
  </si>
  <si>
    <t>Energy-Related Revenue Reqmt</t>
  </si>
  <si>
    <t>Demand-Related Revenue Reqmt</t>
  </si>
  <si>
    <t>20-Yr Inv Life</t>
  </si>
  <si>
    <t>FCCRR</t>
  </si>
  <si>
    <t>Street Lighting (SL) Cost of Service</t>
  </si>
  <si>
    <t>50,000 Lumen</t>
  </si>
  <si>
    <t>22,000 Lumen</t>
  </si>
  <si>
    <t>16,000 Lumen</t>
  </si>
  <si>
    <t>9,500 Lumen</t>
  </si>
  <si>
    <t>(12)=(5+10+11)</t>
  </si>
  <si>
    <t>(10)=(6)*EC</t>
  </si>
  <si>
    <t>(6)=(5)*FCCRR</t>
  </si>
  <si>
    <t xml:space="preserve"> (5)</t>
  </si>
  <si>
    <t xml:space="preserve"> (4)</t>
  </si>
  <si>
    <t xml:space="preserve"> (3)</t>
  </si>
  <si>
    <t xml:space="preserve"> (2)</t>
  </si>
  <si>
    <t>Type</t>
  </si>
  <si>
    <t>Pole</t>
  </si>
  <si>
    <t xml:space="preserve">Lamp </t>
  </si>
  <si>
    <t>(3)=(2)*FCCRR</t>
  </si>
  <si>
    <t>O&amp;M Percentage</t>
  </si>
  <si>
    <t>Account 370 - Meter Plant</t>
  </si>
  <si>
    <t>Total O&amp;M</t>
  </si>
  <si>
    <t>Account 597 - Maintenance</t>
  </si>
  <si>
    <t>Account 586 - Operation</t>
  </si>
  <si>
    <t>Number of Years</t>
  </si>
  <si>
    <t>Compound Escalation Rate:</t>
  </si>
  <si>
    <t>Rates</t>
  </si>
  <si>
    <t>Year</t>
  </si>
  <si>
    <t>Escalation</t>
  </si>
  <si>
    <t>Cumulative</t>
  </si>
  <si>
    <t>Calculation of Cost Escalation Rates *</t>
  </si>
  <si>
    <t>/    5    =</t>
  </si>
  <si>
    <t>Option 3 - Secondary - Self Contained</t>
  </si>
  <si>
    <t>Option 3 - Secondary - Transformer Rated</t>
  </si>
  <si>
    <t>Option 3 - Primary - Transformer Rated</t>
  </si>
  <si>
    <t>Option 2 - Secondary - Self-Contained</t>
  </si>
  <si>
    <t>Option 2 - Primary - Transformer Rated</t>
  </si>
  <si>
    <t>Polyphase</t>
  </si>
  <si>
    <t xml:space="preserve">Option 3 - Secondary - Self Contained </t>
  </si>
  <si>
    <t xml:space="preserve">Option 3 - Secondary - Transformer Rated </t>
  </si>
  <si>
    <t>Single Phase</t>
  </si>
  <si>
    <t>Time-of-Day Measurement</t>
  </si>
  <si>
    <t>Option 3 - Secondary - Self Contained (Below 200 Amps)</t>
  </si>
  <si>
    <t>Option 3 - Secondary - Transformer Rated (Below 200 Amps)</t>
  </si>
  <si>
    <t>Option 3 - Primary - Transformer Rated (or Sec. &gt;200 Amps)</t>
  </si>
  <si>
    <t>Standard Measurement</t>
  </si>
  <si>
    <t>Material (IM)</t>
  </si>
  <si>
    <t>Incremental</t>
  </si>
  <si>
    <t>Monthly Meter Charges</t>
  </si>
  <si>
    <t>of Incremental Material Cost</t>
  </si>
  <si>
    <t>Monthly Charge on IM =</t>
  </si>
  <si>
    <t>OR:</t>
  </si>
  <si>
    <t>Incremental Labor Cost (50% of Material) = 0.5 x IM</t>
  </si>
  <si>
    <t>IL =</t>
  </si>
  <si>
    <t>Incremental Material Cost</t>
  </si>
  <si>
    <t xml:space="preserve">IM = </t>
  </si>
  <si>
    <t>Monthly Charge on Incremental Material</t>
  </si>
  <si>
    <t>OC</t>
  </si>
  <si>
    <t>Company Construction Overheads</t>
  </si>
  <si>
    <t>Overheads</t>
  </si>
  <si>
    <t>LC</t>
  </si>
  <si>
    <t>Total Charges on Labor</t>
  </si>
  <si>
    <t>Transportation Expense</t>
  </si>
  <si>
    <t>Labor</t>
  </si>
  <si>
    <t>MC</t>
  </si>
  <si>
    <t>Total Charges on Material</t>
  </si>
  <si>
    <t>Stores Expense</t>
  </si>
  <si>
    <t>Contingencies</t>
  </si>
  <si>
    <t>CC</t>
  </si>
  <si>
    <t>Carrying Costs</t>
  </si>
  <si>
    <t>O&amp;M</t>
  </si>
  <si>
    <t>Fixed Costs</t>
  </si>
  <si>
    <t>Value</t>
  </si>
  <si>
    <t>Variable</t>
  </si>
  <si>
    <t>Annual Carrying Charge Rates</t>
  </si>
  <si>
    <t>** Assuming COGEN/SPP Service at Primary</t>
  </si>
  <si>
    <t>Compound Loss Factor</t>
  </si>
  <si>
    <t>System</t>
  </si>
  <si>
    <t>Demand and Energy Loss Calculations **</t>
  </si>
  <si>
    <t xml:space="preserve">   Off-Peak Period is all other hours</t>
  </si>
  <si>
    <t>* On-Peak Period is 7am - 9pm, Monday through Friday</t>
  </si>
  <si>
    <t>¢/kWh</t>
  </si>
  <si>
    <t>Non-Time-of-Day Energy Payment</t>
  </si>
  <si>
    <t>Hours Per Year</t>
  </si>
  <si>
    <t>Weighted Average of Hourly TOD Payments</t>
  </si>
  <si>
    <t>hours</t>
  </si>
  <si>
    <t>Hours per Year</t>
  </si>
  <si>
    <t>Time-of-Day Energy Payments</t>
  </si>
  <si>
    <t>Non-TOD</t>
  </si>
  <si>
    <t>Energy Payment Calculation *</t>
  </si>
  <si>
    <t>b</t>
  </si>
  <si>
    <t>d</t>
  </si>
  <si>
    <t>a</t>
  </si>
  <si>
    <t>R</t>
  </si>
  <si>
    <t>Per Unit Variable O&amp;M Cost</t>
  </si>
  <si>
    <t>Unit Size</t>
  </si>
  <si>
    <t>/year</t>
  </si>
  <si>
    <t>Total Variable O&amp;M Cost</t>
  </si>
  <si>
    <t>Planned Outage Rate</t>
  </si>
  <si>
    <t>mills/kWh</t>
  </si>
  <si>
    <t>Cost Calculations (Support Page 1, Assumptions A &amp; D)</t>
  </si>
  <si>
    <t xml:space="preserve">  Standard Measurement</t>
  </si>
  <si>
    <t xml:space="preserve">Three Year Average Avoided Cost of Capacity = </t>
  </si>
  <si>
    <t xml:space="preserve"> TOD Measurement</t>
  </si>
  <si>
    <t>C =</t>
  </si>
  <si>
    <t>S6 =</t>
  </si>
  <si>
    <t>S3 =</t>
  </si>
  <si>
    <t>S5 =</t>
  </si>
  <si>
    <t>S2 =</t>
  </si>
  <si>
    <t>S4 =</t>
  </si>
  <si>
    <t>S1 =</t>
  </si>
  <si>
    <t>T =</t>
  </si>
  <si>
    <t>Calculation for Third Year</t>
  </si>
  <si>
    <t>Calculation for Second Year</t>
  </si>
  <si>
    <t>Calculation for First Year</t>
  </si>
  <si>
    <t>Where:</t>
  </si>
  <si>
    <t>Calculation of Unadjusted Monthly Avoided Cost of Capacity</t>
  </si>
  <si>
    <t>-----------</t>
  </si>
  <si>
    <t>D =</t>
  </si>
  <si>
    <t>Calculation of Present Value of Carrying Charge</t>
  </si>
  <si>
    <t>IP</t>
  </si>
  <si>
    <t>Construction Cost Escalation Rate</t>
  </si>
  <si>
    <t>I)</t>
  </si>
  <si>
    <t>IO</t>
  </si>
  <si>
    <t>Fixed Operation and Maintenance Cost Escalation Rate</t>
  </si>
  <si>
    <t>H)</t>
  </si>
  <si>
    <t>D</t>
  </si>
  <si>
    <t>Present Value of Carrying Charge for $1 Investment for N years</t>
  </si>
  <si>
    <t>G)</t>
  </si>
  <si>
    <t>years</t>
  </si>
  <si>
    <t>N</t>
  </si>
  <si>
    <t>Estimated Unit Life</t>
  </si>
  <si>
    <t>F)</t>
  </si>
  <si>
    <t>L</t>
  </si>
  <si>
    <t>Line Losses</t>
  </si>
  <si>
    <t>E)</t>
  </si>
  <si>
    <t>O</t>
  </si>
  <si>
    <t>Operation &amp; Maintenance Cost per Year (Fixed &amp; Variable)</t>
  </si>
  <si>
    <t>D)</t>
  </si>
  <si>
    <t>CCR</t>
  </si>
  <si>
    <t>Carrying Charge Rate</t>
  </si>
  <si>
    <t>C)</t>
  </si>
  <si>
    <t>Weighted Cost of Capital (Workpaper S-2)</t>
  </si>
  <si>
    <t>B)</t>
  </si>
  <si>
    <t>V</t>
  </si>
  <si>
    <t>Capital Cost per kW of Capacity</t>
  </si>
  <si>
    <t>A)</t>
  </si>
  <si>
    <t>Assumptions</t>
  </si>
  <si>
    <t>/kWh (Off-Pk)  =</t>
  </si>
  <si>
    <t>/mo.                 =</t>
  </si>
  <si>
    <t>LGS</t>
  </si>
  <si>
    <t>OL</t>
  </si>
  <si>
    <t>SL</t>
  </si>
  <si>
    <t>Check</t>
  </si>
  <si>
    <t>o=sum j-n</t>
  </si>
  <si>
    <t>n=e-h</t>
  </si>
  <si>
    <t>Dist Secondary</t>
  </si>
  <si>
    <t>m=d</t>
  </si>
  <si>
    <t>Dist Primary</t>
  </si>
  <si>
    <t>l=c-i</t>
  </si>
  <si>
    <t>k=b-g</t>
  </si>
  <si>
    <t>j=a</t>
  </si>
  <si>
    <t>Base Rate Revenue Targets</t>
  </si>
  <si>
    <t>g</t>
  </si>
  <si>
    <t>Adjustments</t>
  </si>
  <si>
    <t>TOTAL</t>
  </si>
  <si>
    <t>f= sum a-e</t>
  </si>
  <si>
    <t>e</t>
  </si>
  <si>
    <t>c</t>
  </si>
  <si>
    <t>MW</t>
  </si>
  <si>
    <t>LGS-TRA</t>
  </si>
  <si>
    <t>LGS-SUB</t>
  </si>
  <si>
    <t>LGS-PRI</t>
  </si>
  <si>
    <t>LGS-SEC</t>
  </si>
  <si>
    <t>Retail</t>
  </si>
  <si>
    <t>From CCOS</t>
  </si>
  <si>
    <t>Base Rate Revenue Target Summary</t>
  </si>
  <si>
    <t>KPCo Kentucky Retail Jurisdiction</t>
  </si>
  <si>
    <t>(3) Assuming MACRS Tax Depreciation</t>
  </si>
  <si>
    <t>(2) Sinking Fund annuity with R1 Dispersion of Retirements</t>
  </si>
  <si>
    <t>Property Taxes,  General  &amp; Admin Expenses</t>
  </si>
  <si>
    <t>FIT (3) (4)</t>
  </si>
  <si>
    <t>Depreciation (2)</t>
  </si>
  <si>
    <t>Return (1)</t>
  </si>
  <si>
    <t>Investment Life (Years)</t>
  </si>
  <si>
    <t>For Economic Analyses</t>
  </si>
  <si>
    <t>Annual Investment Carrying Charges</t>
  </si>
  <si>
    <t>Kentucky Power</t>
  </si>
  <si>
    <t>Schools</t>
  </si>
  <si>
    <t xml:space="preserve">/kW </t>
  </si>
  <si>
    <t>Minimum Billing Demand</t>
  </si>
  <si>
    <t>IGS</t>
  </si>
  <si>
    <t>PS</t>
  </si>
  <si>
    <t xml:space="preserve">  IGS</t>
  </si>
  <si>
    <t>Fuel Revenue</t>
  </si>
  <si>
    <t>Less</t>
  </si>
  <si>
    <t>SGS TOD</t>
  </si>
  <si>
    <t>MGS TOD</t>
  </si>
  <si>
    <t xml:space="preserve">Less </t>
  </si>
  <si>
    <t>GS LMTOD</t>
  </si>
  <si>
    <t>Rec Lighting</t>
  </si>
  <si>
    <t>General Service (GS)</t>
  </si>
  <si>
    <t>Secondary Tariff Provisions Base Rev</t>
  </si>
  <si>
    <t>Standard GS  Base Revenue Targets</t>
  </si>
  <si>
    <t>First 4450 kWh</t>
  </si>
  <si>
    <t>Over 4450 kWh</t>
  </si>
  <si>
    <t>Billing Demand Greater Than 10 kW</t>
  </si>
  <si>
    <t>Standard Service Charge</t>
  </si>
  <si>
    <t>Non-Metered Service Charge</t>
  </si>
  <si>
    <t xml:space="preserve">On Peak </t>
  </si>
  <si>
    <t>Off Peak</t>
  </si>
  <si>
    <t>Service Charge Revenue</t>
  </si>
  <si>
    <t>Billing Data</t>
  </si>
  <si>
    <t>Service Charge</t>
  </si>
  <si>
    <t>Non-Metered</t>
  </si>
  <si>
    <t>less Service Charge Revenue</t>
  </si>
  <si>
    <t>less Energy Charge Revenue</t>
  </si>
  <si>
    <t>less Secondary Tariff Provisions (TODs)</t>
  </si>
  <si>
    <t>Loss Adjusted Demand</t>
  </si>
  <si>
    <t>Equipment Credit</t>
  </si>
  <si>
    <t>Demand Rates</t>
  </si>
  <si>
    <t>less Equipment Credit Revenue</t>
  </si>
  <si>
    <t>Residual Demand Charge</t>
  </si>
  <si>
    <t>Loss Adjusted Billing Demand</t>
  </si>
  <si>
    <t>PRODUCTION</t>
  </si>
  <si>
    <t>BULKTRAN</t>
  </si>
  <si>
    <t>SUBTRAN</t>
  </si>
  <si>
    <t>DISTPRI</t>
  </si>
  <si>
    <t>DISTSEC</t>
  </si>
  <si>
    <t>ENERGY</t>
  </si>
  <si>
    <t>CUSTOMER</t>
  </si>
  <si>
    <t>Current Rates</t>
  </si>
  <si>
    <t>current rates</t>
  </si>
  <si>
    <t>Includes Schools again</t>
  </si>
  <si>
    <t>Standard LGS</t>
  </si>
  <si>
    <t>Total LGS with Schools</t>
  </si>
  <si>
    <t xml:space="preserve">      Billing demand</t>
  </si>
  <si>
    <t xml:space="preserve">      Excess kVa</t>
  </si>
  <si>
    <t>kVa</t>
  </si>
  <si>
    <t>Secondary LM-TOD &amp; TOD</t>
  </si>
  <si>
    <t>Return on Rate Base - Class Proposed</t>
  </si>
  <si>
    <t>Proposed GS</t>
  </si>
  <si>
    <t>Proposed Minimum Demand Charge</t>
  </si>
  <si>
    <t xml:space="preserve">GS LMTOD </t>
  </si>
  <si>
    <t>avg kWh</t>
  </si>
  <si>
    <t>avg kW</t>
  </si>
  <si>
    <t xml:space="preserve">  O&amp;M Expenses</t>
  </si>
  <si>
    <t>(1) Company Proposed Rate of Return</t>
  </si>
  <si>
    <t>CS-IRP Demand Credit</t>
  </si>
  <si>
    <t xml:space="preserve">              CS-IRP Credit Revenue</t>
  </si>
  <si>
    <t>Monthly kWh</t>
  </si>
  <si>
    <t xml:space="preserve"> Revenue</t>
  </si>
  <si>
    <t>Base Fuel</t>
  </si>
  <si>
    <t xml:space="preserve">Non-Fuel  </t>
  </si>
  <si>
    <t>Revenue Check</t>
  </si>
  <si>
    <t>check</t>
  </si>
  <si>
    <t>Total On-Peak Billing Demand</t>
  </si>
  <si>
    <t>Total Bills</t>
  </si>
  <si>
    <t>RS-D Rates</t>
  </si>
  <si>
    <t xml:space="preserve">On-Peak Demand Charge </t>
  </si>
  <si>
    <t>Revenue Targets</t>
  </si>
  <si>
    <t>Distribution Primary</t>
  </si>
  <si>
    <t>Distribution Secondary</t>
  </si>
  <si>
    <t>Prod and Trans Demand</t>
  </si>
  <si>
    <t>On-Peak Demand Charge  per kW</t>
  </si>
  <si>
    <t>Optional Residential Demand Rate</t>
  </si>
  <si>
    <t>On Peak kWh</t>
  </si>
  <si>
    <t>Off Peak Energy</t>
  </si>
  <si>
    <t>On Peak Energy Charge</t>
  </si>
  <si>
    <t>Off Peak Energy Charge</t>
  </si>
  <si>
    <t>$/kWh</t>
  </si>
  <si>
    <t xml:space="preserve">$/kW </t>
  </si>
  <si>
    <t>$/customer/month</t>
  </si>
  <si>
    <t>RS-D Billing Units</t>
  </si>
  <si>
    <t>PS-SEC</t>
  </si>
  <si>
    <t>PS-PRI</t>
  </si>
  <si>
    <t>IGS-SEC</t>
  </si>
  <si>
    <t>IGS-PRI</t>
  </si>
  <si>
    <t>IGS-SUB</t>
  </si>
  <si>
    <t>IGS-TRA</t>
  </si>
  <si>
    <t>Calculated Non-Metered Customer Charge</t>
  </si>
  <si>
    <t>Customer Charge - LM-TOD</t>
  </si>
  <si>
    <t xml:space="preserve">         Customer Charge Revenue - LM-TOD</t>
  </si>
  <si>
    <t xml:space="preserve">  LGS-TOD</t>
  </si>
  <si>
    <t xml:space="preserve">  LGS TOD</t>
  </si>
  <si>
    <t xml:space="preserve">Full Cost Off-Peak Excess </t>
  </si>
  <si>
    <t>* Limited after Revenue Verification</t>
  </si>
  <si>
    <t>Customer - Non-Metered</t>
  </si>
  <si>
    <t>Class Increase</t>
  </si>
  <si>
    <t>Calculation of Meter O&amp;M Expense as a % of Original Cost (Per Books Total Company Values)</t>
  </si>
  <si>
    <t>Maximum Increase (1.5 x class increase)</t>
  </si>
  <si>
    <t>(8)=(2*7)</t>
  </si>
  <si>
    <t>kW Demand</t>
  </si>
  <si>
    <t>Reactive Demand</t>
  </si>
  <si>
    <t>Lamp Charge</t>
  </si>
  <si>
    <t>Storage Water Heating</t>
  </si>
  <si>
    <t>on peak</t>
  </si>
  <si>
    <t>off peak</t>
  </si>
  <si>
    <t>Sep Meter Charge</t>
  </si>
  <si>
    <t xml:space="preserve">  First 4,450 kWh</t>
  </si>
  <si>
    <t xml:space="preserve">  Over 4,450 kWh</t>
  </si>
  <si>
    <t xml:space="preserve">  On-Peak - Summer</t>
  </si>
  <si>
    <t xml:space="preserve">  On-Peak - Winter</t>
  </si>
  <si>
    <t>IGS Sec (356)</t>
  </si>
  <si>
    <t>IGS Pri (358)</t>
  </si>
  <si>
    <t>IGS Sub Total (359,371)</t>
  </si>
  <si>
    <t>IGS Tran Total (360,372)</t>
  </si>
  <si>
    <t>OL Total</t>
  </si>
  <si>
    <t>Overhead Lighting Service</t>
  </si>
  <si>
    <t xml:space="preserve">  100 watts, 9,500 Lumens (094)</t>
  </si>
  <si>
    <t xml:space="preserve">  150 watts, 16,000 Lumens (113)</t>
  </si>
  <si>
    <t xml:space="preserve">  200 watts, 22,000 Lumens (097)</t>
  </si>
  <si>
    <t xml:space="preserve">  250 watts, 28,000 Lumens (103)</t>
  </si>
  <si>
    <t xml:space="preserve">  400 watts, 50,000 Lumens (098)</t>
  </si>
  <si>
    <t>Mercury Vapor</t>
  </si>
  <si>
    <t xml:space="preserve">  175 watts, 7,000 Lumens (093)</t>
  </si>
  <si>
    <t xml:space="preserve">  400 watts, 20,000 Lumens (095)</t>
  </si>
  <si>
    <t>Post Top Lighting Service</t>
  </si>
  <si>
    <t>High Pressure Sodium - PT - UG Circuit</t>
  </si>
  <si>
    <t xml:space="preserve">  100 watts, 9,500 Lumens (111)</t>
  </si>
  <si>
    <t xml:space="preserve">  150 watts, 16,000 Lumens (122)</t>
  </si>
  <si>
    <t>Mercury Vapor - PT - UG Circuit</t>
  </si>
  <si>
    <t xml:space="preserve">  175 watts, 7,000 Lumens (099)</t>
  </si>
  <si>
    <t>High Pressure Sodium - Shoebox with Decorative Pole</t>
  </si>
  <si>
    <t xml:space="preserve">  100 watts, 9,500 Lumens (121)</t>
  </si>
  <si>
    <t xml:space="preserve">  250 watts, 28,000 Lumens (120)</t>
  </si>
  <si>
    <t xml:space="preserve">  400 watts, 50,000 Lumens (126)</t>
  </si>
  <si>
    <t>Flood Lighting Service</t>
  </si>
  <si>
    <t>High Pressure Sodium - Floodlight, existing pole</t>
  </si>
  <si>
    <t xml:space="preserve">  200 watts, 22,000 Lumens (107)</t>
  </si>
  <si>
    <t xml:space="preserve">  400 watts, 50,000 Lumens (109)</t>
  </si>
  <si>
    <t>Metal Halide - Floodlight, existing pole</t>
  </si>
  <si>
    <t xml:space="preserve">  250 watts, 20,500 Lumens (110)</t>
  </si>
  <si>
    <t xml:space="preserve">  400 watts, 36,000 Lumens (116)</t>
  </si>
  <si>
    <t xml:space="preserve">  1000 watts, 110,000 Lumens (131)</t>
  </si>
  <si>
    <t>Metal Halide - Mongoose Light, existing pole</t>
  </si>
  <si>
    <t xml:space="preserve">  250 watts, 20,500 Lumens (130)</t>
  </si>
  <si>
    <t xml:space="preserve">  400 watts, 36,000 Lumens (136)</t>
  </si>
  <si>
    <t>Metered kWh</t>
  </si>
  <si>
    <t>SL (528)</t>
  </si>
  <si>
    <t>OH Service on Distribution Poles</t>
  </si>
  <si>
    <t xml:space="preserve">  100 watts, 9,500 Lumens </t>
  </si>
  <si>
    <t xml:space="preserve">  150 watts, 16,000 Lumens </t>
  </si>
  <si>
    <t xml:space="preserve">  200 watts, 22,000 Lumens </t>
  </si>
  <si>
    <t xml:space="preserve">  400 watts, 50,000 Lumens </t>
  </si>
  <si>
    <t>Service on New Wood Distribution Poles</t>
  </si>
  <si>
    <t>From CCOS:</t>
  </si>
  <si>
    <t>RS TOD2</t>
  </si>
  <si>
    <t>tot</t>
  </si>
  <si>
    <t>RESIDENTIAL SERVICE (011, 012, 013, 014, 015, 017, 022, 054)</t>
  </si>
  <si>
    <t>RESIDENTIAL LOAD MANAGEMENT TIME-OF-DAY SERVICE (028, 030, 032, 034)</t>
  </si>
  <si>
    <t>RESIDENTIAL TIME-OF-DAY SERVICE (036)</t>
  </si>
  <si>
    <t>SMALL GENERAL SERVICE TIME-OF-DAY (227)</t>
  </si>
  <si>
    <t>MEDIUM GENERAL SERVICE TIME-OF-DAY (229)</t>
  </si>
  <si>
    <t>LARGE GENERAL SERVICE - SECONDARY (240, 242)</t>
  </si>
  <si>
    <t>LARGE GENERAL SERVICE SECONDARY TIME-OF-DAY (256)</t>
  </si>
  <si>
    <t>LARGE GENERAL SERVICE  TIME-OF-DAY Primary</t>
  </si>
  <si>
    <t>LARGE GENERAL SERVICE  TIME-OF-DAY Sub</t>
  </si>
  <si>
    <t>LARGE GENERAL SERVICE  TIME-OF-DAY Tran</t>
  </si>
  <si>
    <t>LARGE GENERAL SERVICE - PRIMARY (244, 246)</t>
  </si>
  <si>
    <t>LARGE GENERAL SERVICE - SUBTRANSMISSION (248)</t>
  </si>
  <si>
    <t>LARGE GENERAL SERVICE - TRANSMISSION (250)</t>
  </si>
  <si>
    <t>Public Schools Sec (260)</t>
  </si>
  <si>
    <t>Public Schools Pri (264)</t>
  </si>
  <si>
    <t>note</t>
  </si>
  <si>
    <t xml:space="preserve"> q</t>
  </si>
  <si>
    <t>LGS TOD SEC</t>
  </si>
  <si>
    <t>LGS TOD Primary</t>
  </si>
  <si>
    <t>GENERAL SERVICE - SUBTRANSMISSION (236)</t>
  </si>
  <si>
    <t xml:space="preserve"> GENERAL SERVICE - PRIMARY (217, 220)</t>
  </si>
  <si>
    <t xml:space="preserve"> GENERAL SERVICE LOAD MANAGEMENT TIME-OF-DAY (223, 225)</t>
  </si>
  <si>
    <t xml:space="preserve"> GENERAL SERVICE - RECREATIONAL LIGHTING (214)</t>
  </si>
  <si>
    <t>GENERAL SERVICE - SECONDARY (215, 216, 218)</t>
  </si>
  <si>
    <t xml:space="preserve"> GENERAL SERVICE - NON METERED (204, 213)</t>
  </si>
  <si>
    <t xml:space="preserve">    GS-LM TOD</t>
  </si>
  <si>
    <t>winter tail block</t>
  </si>
  <si>
    <t>GS-SEC</t>
  </si>
  <si>
    <t>GS-PRI</t>
  </si>
  <si>
    <t>GS-SUB</t>
  </si>
  <si>
    <t>GS</t>
  </si>
  <si>
    <t>(4) @ 21% Federal Income Tax Rate</t>
  </si>
  <si>
    <t>15 Year Annual Investment CC</t>
  </si>
  <si>
    <t>GS-Sec</t>
  </si>
  <si>
    <t xml:space="preserve">  GS-LM-TOD</t>
  </si>
  <si>
    <t xml:space="preserve">  GS-REC Lights</t>
  </si>
  <si>
    <t xml:space="preserve"> MGS-TOD</t>
  </si>
  <si>
    <t>Unbilled</t>
  </si>
  <si>
    <t>Twelve Months Ended March 31, 2020</t>
  </si>
  <si>
    <t>GS-LM-TOD</t>
  </si>
  <si>
    <t>GS-AF</t>
  </si>
  <si>
    <t>current</t>
  </si>
  <si>
    <t>class avg inc</t>
  </si>
  <si>
    <t>GS Secondary for TOD/LMTOD/AF Calcs</t>
  </si>
  <si>
    <t>GS Sec</t>
  </si>
  <si>
    <t>GS AF</t>
  </si>
  <si>
    <t>GS  Non-Metered</t>
  </si>
  <si>
    <t xml:space="preserve">  First 4450 kWh Charge</t>
  </si>
  <si>
    <t xml:space="preserve">   Over 4450 kWh Charge</t>
  </si>
  <si>
    <t>GS Sec Standard Energy</t>
  </si>
  <si>
    <t>GS NM</t>
  </si>
  <si>
    <t>Total GS Sec Energy</t>
  </si>
  <si>
    <t>Avg Secondary Rate</t>
  </si>
  <si>
    <t>Use</t>
  </si>
  <si>
    <t>Total GS Sec Base Revenue</t>
  </si>
  <si>
    <t>Secondary Revenue Verification</t>
  </si>
  <si>
    <t xml:space="preserve">Current </t>
  </si>
  <si>
    <t xml:space="preserve">Winter Tail block </t>
  </si>
  <si>
    <t>&gt;1100 kWh Dec-Feb</t>
  </si>
  <si>
    <t>Block Discount</t>
  </si>
  <si>
    <t>Discount</t>
  </si>
  <si>
    <t>Add Winter Tail Block Discount</t>
  </si>
  <si>
    <t>Winter Heating Block</t>
  </si>
  <si>
    <t>Proof</t>
  </si>
  <si>
    <t>Standard Target</t>
  </si>
  <si>
    <t>LGS Dem</t>
  </si>
  <si>
    <t>USE</t>
  </si>
  <si>
    <t>THIS</t>
  </si>
  <si>
    <t>ONE</t>
  </si>
  <si>
    <t>55W LED OH</t>
  </si>
  <si>
    <t>55W LED UG</t>
  </si>
  <si>
    <t>100W LED OH</t>
  </si>
  <si>
    <t>100W LED UG</t>
  </si>
  <si>
    <t>175W LED OH</t>
  </si>
  <si>
    <t>175W LED UG</t>
  </si>
  <si>
    <t>300W LED OH</t>
  </si>
  <si>
    <t>300W LED UG</t>
  </si>
  <si>
    <t>65W LED Postop UG</t>
  </si>
  <si>
    <t>175W LED Flood OH</t>
  </si>
  <si>
    <t>175W LED Flood UG</t>
  </si>
  <si>
    <t>265W LED Flood OH</t>
  </si>
  <si>
    <t>265W LED Flood UG</t>
  </si>
  <si>
    <t>Light Emitting Diode (LED)</t>
  </si>
  <si>
    <t>E</t>
  </si>
  <si>
    <t>summer</t>
  </si>
  <si>
    <t>winter</t>
  </si>
  <si>
    <t>other</t>
  </si>
  <si>
    <t>Summer Energy</t>
  </si>
  <si>
    <t>Add Block Diff</t>
  </si>
  <si>
    <t>LARGE GENERAL SERVICE LOAD MANAGEMENT TIME-OF-DAY SEC (251)</t>
  </si>
  <si>
    <t>Energy Cost  no Fuel @</t>
  </si>
  <si>
    <t>Energy Cost No Fuel @</t>
  </si>
  <si>
    <t>average</t>
  </si>
  <si>
    <t>Conversion Charge</t>
  </si>
  <si>
    <t>Avoided Energy Costs (2020-2022 Average)</t>
  </si>
  <si>
    <t>$/kW</t>
  </si>
  <si>
    <t>$/bill</t>
  </si>
  <si>
    <t>Outdoor Lighting - Light Emitting Diode (LED)</t>
  </si>
  <si>
    <t>Residential Demand</t>
  </si>
  <si>
    <t>Residential TOD 2</t>
  </si>
  <si>
    <t>Alternate Feed Service</t>
  </si>
  <si>
    <t>AFS Transfer Switch Test Charge (monthly)</t>
  </si>
  <si>
    <t>AFS Demand Charge (Primary AFS)</t>
  </si>
  <si>
    <t>A</t>
  </si>
  <si>
    <t>B</t>
  </si>
  <si>
    <t>Capacity Factor</t>
  </si>
  <si>
    <t>LGS Total Revenue Verification</t>
  </si>
  <si>
    <t xml:space="preserve">current </t>
  </si>
  <si>
    <t xml:space="preserve">Fixed &amp; Variable Operations &amp; Maintenance Cost </t>
  </si>
  <si>
    <t>Operations &amp; Maintenance Cost per kW (2020 Dollars)</t>
  </si>
  <si>
    <t>Potential Loss Savings</t>
  </si>
  <si>
    <t>Primary Losses</t>
  </si>
  <si>
    <t>Divided by 2</t>
  </si>
  <si>
    <t>Loss Adjustment (Potential Loss Savings)</t>
  </si>
  <si>
    <t>Divided by (1 - Loss Savings)</t>
  </si>
  <si>
    <t>C</t>
  </si>
  <si>
    <t>LED</t>
  </si>
  <si>
    <t>Lumens</t>
  </si>
  <si>
    <t>55 Watt OH</t>
  </si>
  <si>
    <t>100 Watt OH</t>
  </si>
  <si>
    <t>175 Watt OH</t>
  </si>
  <si>
    <t>65 Watt Post Top</t>
  </si>
  <si>
    <t>90 Watt Dec Post Top</t>
  </si>
  <si>
    <t>175 Watt Flood</t>
  </si>
  <si>
    <t>OATT</t>
  </si>
  <si>
    <t>prod dem</t>
  </si>
  <si>
    <t>Generation 59%</t>
  </si>
  <si>
    <t>Transmission 17%</t>
  </si>
  <si>
    <t>Distribution 24%</t>
  </si>
  <si>
    <t>Large General Service Rate Design</t>
  </si>
  <si>
    <t>SGS TOD Rate Design</t>
  </si>
  <si>
    <t>LGS TOD Rate Design</t>
  </si>
  <si>
    <t>IGS Rate Design</t>
  </si>
  <si>
    <t>TBD</t>
  </si>
  <si>
    <t xml:space="preserve">65W LED Postop </t>
  </si>
  <si>
    <t xml:space="preserve">55W LED </t>
  </si>
  <si>
    <t xml:space="preserve">100W LED </t>
  </si>
  <si>
    <t xml:space="preserve">175W LED </t>
  </si>
  <si>
    <t xml:space="preserve">300W LED </t>
  </si>
  <si>
    <t xml:space="preserve">175W LED Flood </t>
  </si>
  <si>
    <t xml:space="preserve">265W LED Flood </t>
  </si>
  <si>
    <t>Street Lighting Rate Design Continued</t>
  </si>
  <si>
    <t>OL Rate Design</t>
  </si>
  <si>
    <t>OL Continued</t>
  </si>
  <si>
    <t>Conversion Charge Calculation for Changing Non-LED Luminaire to LED Luminaire</t>
  </si>
  <si>
    <t>B&amp;A Number of Lamps</t>
  </si>
  <si>
    <t>Net Book Value</t>
  </si>
  <si>
    <t>Ratio of Lamp Count</t>
  </si>
  <si>
    <t>Ratioed Net Book Value</t>
  </si>
  <si>
    <t>Exhibit AEV -1</t>
  </si>
  <si>
    <t>add block differential</t>
  </si>
  <si>
    <t xml:space="preserve"> block differential</t>
  </si>
  <si>
    <t xml:space="preserve"> Energy Charge Rate Design</t>
  </si>
  <si>
    <t>Average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</si>
</sst>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"/>
    <numFmt numFmtId="166" formatCode="0.0%"/>
    <numFmt numFmtId="167" formatCode="#,##0.000"/>
    <numFmt numFmtId="168" formatCode="#,##0.0000"/>
    <numFmt numFmtId="169" formatCode="#,##0.00000"/>
    <numFmt numFmtId="170" formatCode="&quot;$&quot;#,##0.00"/>
    <numFmt numFmtId="171" formatCode="&quot;$&quot;#,##0.00000"/>
    <numFmt numFmtId="172" formatCode="0.000"/>
    <numFmt numFmtId="173" formatCode="#,##0.00000_);\(#,##0.00000\)"/>
    <numFmt numFmtId="174" formatCode="0.0000"/>
    <numFmt numFmtId="175" formatCode="0.0"/>
    <numFmt numFmtId="176" formatCode="#,##0.0"/>
    <numFmt numFmtId="177" formatCode="_(&quot;$&quot;* #,##0_);_(&quot;$&quot;* \(#,##0\);_(&quot;$&quot;* &quot;-&quot;??_);_(@_)"/>
    <numFmt numFmtId="178" formatCode="&quot;$&quot;#,##0.000000"/>
    <numFmt numFmtId="179" formatCode="&quot;$&quot;#,##0.0000000"/>
    <numFmt numFmtId="180" formatCode="_(* #,##0_);_(* \(#,##0\);_(* &quot;-&quot;??_);_(@_)"/>
    <numFmt numFmtId="181" formatCode="&quot;$&quot;#,##0.000"/>
    <numFmt numFmtId="182" formatCode="_(* #,##0.0000_);_(* \(#,##0.0000\);_(* &quot;-&quot;??_);_(@_)"/>
    <numFmt numFmtId="183" formatCode="#,##0.000000"/>
    <numFmt numFmtId="184" formatCode="_(&quot;$&quot;* #,##0_);_(&quot;$&quot;* \(#,##0\);_(&quot;$&quot;* &quot;-&quot;?????_);_(@_)"/>
    <numFmt numFmtId="185" formatCode="0.00000"/>
    <numFmt numFmtId="186" formatCode="&quot;$&quot;#,##0.00000_);\(&quot;$&quot;#,##0.00000\)"/>
    <numFmt numFmtId="187" formatCode="&quot;$&quot;#,##0.00;[Red]&quot;$&quot;#,##0.00"/>
    <numFmt numFmtId="188" formatCode="#,##0;[Red]#,##0"/>
    <numFmt numFmtId="189" formatCode="_(* #,##0.00000_);_(* \(#,##0.00000\);_(* &quot;-&quot;??_);_(@_)"/>
    <numFmt numFmtId="190" formatCode="0.0000%"/>
    <numFmt numFmtId="191" formatCode="0.000000"/>
    <numFmt numFmtId="192" formatCode="hh:mm\ AM/PM"/>
    <numFmt numFmtId="193" formatCode="0;[Red]0"/>
    <numFmt numFmtId="194" formatCode="0.00_);[Red]\(0.00\)"/>
    <numFmt numFmtId="195" formatCode="_(* #,##0.0_);_(* \(#,##0.0\);&quot;&quot;;_(@_)"/>
    <numFmt numFmtId="196" formatCode="[Blue]#,##0,_);[Red]\(#,##0,\)"/>
    <numFmt numFmtId="197" formatCode="0%\ &quot;of&quot;"/>
    <numFmt numFmtId="198" formatCode="&quot;$&quot;#,##0.00000_);[Red]\(&quot;$&quot;#,##0.00000\)"/>
    <numFmt numFmtId="199" formatCode="_(* #,##0.000_);_(* \(#,##0.000\);_(* &quot;-&quot;??_);_(@_)"/>
    <numFmt numFmtId="200" formatCode="0.000%"/>
    <numFmt numFmtId="201" formatCode="_(&quot;$&quot;* #,##0.00000_);_(&quot;$&quot;* \(#,##0.00000\);_(&quot;$&quot;* &quot;-&quot;??_);_(@_)"/>
    <numFmt numFmtId="202" formatCode="_(&quot;$&quot;* #,##0.000000_);_(&quot;$&quot;* \(#,##0.000000\);_(&quot;$&quot;* &quot;-&quot;??_);_(@_)"/>
    <numFmt numFmtId="203" formatCode="_(* #,##0.0_);_(* \(#,##0.0\);_(* &quot;-&quot;?_);_(@_)"/>
    <numFmt numFmtId="204" formatCode="_(* #,##0_);_(* \(#,##0\);_(* &quot;-&quot;?_);_(@_)"/>
  </numFmts>
  <fonts count="138">
    <font>
      <sz val="12"/>
      <name val="CG Time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indexed="12"/>
      <name val="Arial"/>
      <family val="2"/>
    </font>
    <font>
      <u/>
      <sz val="12"/>
      <name val="Arial"/>
      <family val="2"/>
    </font>
    <font>
      <sz val="12"/>
      <name val="CG Times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0"/>
      <name val="MS Sans Serif"/>
      <family val="2"/>
    </font>
    <font>
      <sz val="12"/>
      <name val="Arial MT"/>
    </font>
    <font>
      <sz val="11"/>
      <color indexed="8"/>
      <name val="Calibri"/>
      <family val="2"/>
      <scheme val="minor"/>
    </font>
    <font>
      <sz val="10"/>
      <name val="Helv"/>
    </font>
    <font>
      <b/>
      <sz val="10"/>
      <name val="MS Sans Serif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color theme="1"/>
      <name val="Arial MT"/>
    </font>
    <font>
      <sz val="12"/>
      <color indexed="9"/>
      <name val="Arial"/>
      <family val="2"/>
    </font>
    <font>
      <sz val="12"/>
      <color rgb="FFFF0000"/>
      <name val="Arial MT"/>
    </font>
    <font>
      <b/>
      <i/>
      <sz val="12"/>
      <name val="Arial"/>
      <family val="2"/>
    </font>
    <font>
      <u/>
      <sz val="12"/>
      <name val="Arial MT"/>
    </font>
    <font>
      <b/>
      <u/>
      <sz val="12"/>
      <name val="Arial MT"/>
    </font>
    <font>
      <i/>
      <sz val="12"/>
      <name val="Arial MT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 Unicode MS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theme="1"/>
      <name val="Arial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10"/>
      <name val="Tahoma"/>
      <family val="2"/>
    </font>
    <font>
      <sz val="12"/>
      <color theme="3"/>
      <name val="Arial"/>
      <family val="2"/>
    </font>
    <font>
      <b/>
      <sz val="12"/>
      <color theme="3"/>
      <name val="Arial"/>
      <family val="2"/>
    </font>
    <font>
      <b/>
      <sz val="12"/>
      <name val="CG Times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6"/>
      <color rgb="FFFF0000"/>
      <name val="Arial"/>
      <family val="2"/>
    </font>
    <font>
      <b/>
      <i/>
      <sz val="12"/>
      <color rgb="FFFF0000"/>
      <name val="Magneto"/>
      <family val="5"/>
    </font>
    <font>
      <b/>
      <sz val="14"/>
      <color rgb="FFFF0000"/>
      <name val="CG Times"/>
    </font>
    <font>
      <sz val="10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mediumGray">
        <fgColor indexed="22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750">
    <xf numFmtId="0" fontId="0" fillId="0" borderId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0"/>
    <xf numFmtId="3" fontId="19" fillId="0" borderId="0"/>
    <xf numFmtId="3" fontId="19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37" fillId="0" borderId="0"/>
    <xf numFmtId="0" fontId="37" fillId="0" borderId="0"/>
    <xf numFmtId="0" fontId="4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37" fontId="44" fillId="0" borderId="0"/>
    <xf numFmtId="0" fontId="37" fillId="0" borderId="0"/>
    <xf numFmtId="0" fontId="43" fillId="0" borderId="0"/>
    <xf numFmtId="37" fontId="44" fillId="0" borderId="0"/>
    <xf numFmtId="0" fontId="45" fillId="0" borderId="0"/>
    <xf numFmtId="0" fontId="43" fillId="0" borderId="0"/>
    <xf numFmtId="0" fontId="40" fillId="0" borderId="0"/>
    <xf numFmtId="0" fontId="40" fillId="0" borderId="0"/>
    <xf numFmtId="0" fontId="45" fillId="0" borderId="0"/>
    <xf numFmtId="0" fontId="43" fillId="0" borderId="0"/>
    <xf numFmtId="0" fontId="37" fillId="0" borderId="0"/>
    <xf numFmtId="0" fontId="45" fillId="0" borderId="0"/>
    <xf numFmtId="0" fontId="40" fillId="0" borderId="0"/>
    <xf numFmtId="0" fontId="40" fillId="0" borderId="0"/>
    <xf numFmtId="0" fontId="37" fillId="0" borderId="0"/>
    <xf numFmtId="0" fontId="45" fillId="0" borderId="0"/>
    <xf numFmtId="0" fontId="46" fillId="0" borderId="0" applyNumberFormat="0" applyFill="0" applyBorder="0" applyAlignment="0" applyProtection="0"/>
    <xf numFmtId="0" fontId="45" fillId="0" borderId="0"/>
    <xf numFmtId="0" fontId="45" fillId="0" borderId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40" fillId="24" borderId="13" applyNumberFormat="0" applyFont="0" applyAlignment="0" applyProtection="0"/>
    <xf numFmtId="0" fontId="33" fillId="20" borderId="8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8" fontId="46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7" fillId="0" borderId="14">
      <alignment horizontal="center"/>
    </xf>
    <xf numFmtId="0" fontId="47" fillId="0" borderId="14">
      <alignment horizontal="center"/>
    </xf>
    <xf numFmtId="3" fontId="43" fillId="0" borderId="0" applyFont="0" applyFill="0" applyBorder="0" applyAlignment="0" applyProtection="0"/>
    <xf numFmtId="0" fontId="43" fillId="25" borderId="0" applyNumberFormat="0" applyFont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9" fontId="19" fillId="0" borderId="0"/>
    <xf numFmtId="0" fontId="49" fillId="0" borderId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44" fillId="0" borderId="0"/>
    <xf numFmtId="9" fontId="49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65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3" fillId="0" borderId="0"/>
    <xf numFmtId="40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3" fillId="25" borderId="0" applyNumberFormat="0" applyFont="0" applyBorder="0" applyAlignment="0" applyProtection="0"/>
    <xf numFmtId="0" fontId="10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7" fillId="2" borderId="0" applyNumberFormat="0" applyBorder="0" applyAlignment="0" applyProtection="0"/>
    <xf numFmtId="0" fontId="6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7" fillId="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7" fillId="4" borderId="0" applyNumberFormat="0" applyBorder="0" applyAlignment="0" applyProtection="0"/>
    <xf numFmtId="0" fontId="6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7" fillId="5" borderId="0" applyNumberFormat="0" applyBorder="0" applyAlignment="0" applyProtection="0"/>
    <xf numFmtId="0" fontId="6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7" fillId="6" borderId="0" applyNumberFormat="0" applyBorder="0" applyAlignment="0" applyProtection="0"/>
    <xf numFmtId="0" fontId="2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7" fillId="7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7" fillId="8" borderId="0" applyNumberFormat="0" applyBorder="0" applyAlignment="0" applyProtection="0"/>
    <xf numFmtId="0" fontId="6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7" fillId="9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7" fillId="10" borderId="0" applyNumberFormat="0" applyBorder="0" applyAlignment="0" applyProtection="0"/>
    <xf numFmtId="0" fontId="6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7" fillId="5" borderId="0" applyNumberFormat="0" applyBorder="0" applyAlignment="0" applyProtection="0"/>
    <xf numFmtId="0" fontId="6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7" fillId="8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7" fillId="11" borderId="0" applyNumberFormat="0" applyBorder="0" applyAlignment="0" applyProtection="0"/>
    <xf numFmtId="0" fontId="6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9" fillId="12" borderId="0" applyNumberFormat="0" applyBorder="0" applyAlignment="0" applyProtection="0"/>
    <xf numFmtId="0" fontId="68" fillId="12" borderId="0" applyNumberFormat="0" applyBorder="0" applyAlignment="0" applyProtection="0"/>
    <xf numFmtId="0" fontId="21" fillId="12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9" fillId="9" borderId="0" applyNumberFormat="0" applyBorder="0" applyAlignment="0" applyProtection="0"/>
    <xf numFmtId="0" fontId="21" fillId="22" borderId="0" applyNumberFormat="0" applyBorder="0" applyAlignment="0" applyProtection="0"/>
    <xf numFmtId="0" fontId="68" fillId="22" borderId="0" applyNumberFormat="0" applyBorder="0" applyAlignment="0" applyProtection="0"/>
    <xf numFmtId="0" fontId="68" fillId="22" borderId="0" applyNumberFormat="0" applyBorder="0" applyAlignment="0" applyProtection="0"/>
    <xf numFmtId="0" fontId="68" fillId="22" borderId="0" applyNumberFormat="0" applyBorder="0" applyAlignment="0" applyProtection="0"/>
    <xf numFmtId="0" fontId="69" fillId="10" borderId="0" applyNumberFormat="0" applyBorder="0" applyAlignment="0" applyProtection="0"/>
    <xf numFmtId="0" fontId="68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9" fillId="13" borderId="0" applyNumberFormat="0" applyBorder="0" applyAlignment="0" applyProtection="0"/>
    <xf numFmtId="0" fontId="68" fillId="13" borderId="0" applyNumberFormat="0" applyBorder="0" applyAlignment="0" applyProtection="0"/>
    <xf numFmtId="0" fontId="21" fillId="13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9" fillId="14" borderId="0" applyNumberFormat="0" applyBorder="0" applyAlignment="0" applyProtection="0"/>
    <xf numFmtId="0" fontId="21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9" fillId="15" borderId="0" applyNumberFormat="0" applyBorder="0" applyAlignment="0" applyProtection="0"/>
    <xf numFmtId="0" fontId="68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9" fillId="16" borderId="0" applyNumberFormat="0" applyBorder="0" applyAlignment="0" applyProtection="0"/>
    <xf numFmtId="0" fontId="68" fillId="16" borderId="0" applyNumberFormat="0" applyBorder="0" applyAlignment="0" applyProtection="0"/>
    <xf numFmtId="0" fontId="21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9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9" fillId="18" borderId="0" applyNumberFormat="0" applyBorder="0" applyAlignment="0" applyProtection="0"/>
    <xf numFmtId="0" fontId="21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9" fillId="13" borderId="0" applyNumberFormat="0" applyBorder="0" applyAlignment="0" applyProtection="0"/>
    <xf numFmtId="0" fontId="68" fillId="13" borderId="0" applyNumberFormat="0" applyBorder="0" applyAlignment="0" applyProtection="0"/>
    <xf numFmtId="0" fontId="21" fillId="13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9" fillId="14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9" fillId="19" borderId="0" applyNumberFormat="0" applyBorder="0" applyAlignment="0" applyProtection="0"/>
    <xf numFmtId="0" fontId="22" fillId="28" borderId="0" applyNumberFormat="0" applyBorder="0" applyAlignment="0" applyProtection="0"/>
    <xf numFmtId="0" fontId="70" fillId="28" borderId="0" applyNumberFormat="0" applyBorder="0" applyAlignment="0" applyProtection="0"/>
    <xf numFmtId="0" fontId="70" fillId="28" borderId="0" applyNumberFormat="0" applyBorder="0" applyAlignment="0" applyProtection="0"/>
    <xf numFmtId="0" fontId="70" fillId="28" borderId="0" applyNumberFormat="0" applyBorder="0" applyAlignment="0" applyProtection="0"/>
    <xf numFmtId="0" fontId="71" fillId="3" borderId="0" applyNumberFormat="0" applyBorder="0" applyAlignment="0" applyProtection="0"/>
    <xf numFmtId="0" fontId="70" fillId="3" borderId="0" applyNumberFormat="0" applyBorder="0" applyAlignment="0" applyProtection="0"/>
    <xf numFmtId="0" fontId="22" fillId="3" borderId="0" applyNumberFormat="0" applyBorder="0" applyAlignment="0" applyProtection="0"/>
    <xf numFmtId="0" fontId="72" fillId="20" borderId="1" applyNumberFormat="0" applyAlignment="0" applyProtection="0"/>
    <xf numFmtId="0" fontId="72" fillId="20" borderId="1" applyNumberFormat="0" applyAlignment="0" applyProtection="0"/>
    <xf numFmtId="0" fontId="72" fillId="20" borderId="1" applyNumberFormat="0" applyAlignment="0" applyProtection="0"/>
    <xf numFmtId="0" fontId="73" fillId="20" borderId="1" applyNumberFormat="0" applyAlignment="0" applyProtection="0"/>
    <xf numFmtId="0" fontId="24" fillId="26" borderId="2" applyNumberFormat="0" applyAlignment="0" applyProtection="0"/>
    <xf numFmtId="0" fontId="74" fillId="26" borderId="2" applyNumberFormat="0" applyAlignment="0" applyProtection="0"/>
    <xf numFmtId="0" fontId="74" fillId="26" borderId="2" applyNumberFormat="0" applyAlignment="0" applyProtection="0"/>
    <xf numFmtId="0" fontId="74" fillId="26" borderId="2" applyNumberFormat="0" applyAlignment="0" applyProtection="0"/>
    <xf numFmtId="0" fontId="75" fillId="21" borderId="2" applyNumberFormat="0" applyAlignment="0" applyProtection="0"/>
    <xf numFmtId="0" fontId="74" fillId="21" borderId="2" applyNumberFormat="0" applyAlignment="0" applyProtection="0"/>
    <xf numFmtId="0" fontId="24" fillId="21" borderId="2" applyNumberFormat="0" applyAlignment="0" applyProtection="0"/>
    <xf numFmtId="43" fontId="3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76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7" fillId="0" borderId="0" applyFont="0" applyFill="0" applyBorder="0" applyAlignment="0" applyProtection="0"/>
    <xf numFmtId="40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8" fontId="43" fillId="0" borderId="0" applyFont="0" applyFill="0" applyBorder="0" applyAlignment="0" applyProtection="0"/>
    <xf numFmtId="8" fontId="43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80" fillId="4" borderId="0" applyNumberFormat="0" applyBorder="0" applyAlignment="0" applyProtection="0"/>
    <xf numFmtId="0" fontId="81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3" applyNumberFormat="0" applyFill="0" applyAlignment="0" applyProtection="0"/>
    <xf numFmtId="0" fontId="84" fillId="0" borderId="3" applyNumberFormat="0" applyFill="0" applyAlignment="0" applyProtection="0"/>
    <xf numFmtId="0" fontId="27" fillId="0" borderId="3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7" fillId="0" borderId="4" applyNumberFormat="0" applyFill="0" applyAlignment="0" applyProtection="0"/>
    <xf numFmtId="0" fontId="88" fillId="0" borderId="4" applyNumberFormat="0" applyFill="0" applyAlignment="0" applyProtection="0"/>
    <xf numFmtId="0" fontId="28" fillId="0" borderId="4" applyNumberFormat="0" applyFill="0" applyAlignment="0" applyProtection="0"/>
    <xf numFmtId="0" fontId="89" fillId="0" borderId="23" applyNumberFormat="0" applyFill="0" applyAlignment="0" applyProtection="0"/>
    <xf numFmtId="0" fontId="90" fillId="0" borderId="23" applyNumberFormat="0" applyFill="0" applyAlignment="0" applyProtection="0"/>
    <xf numFmtId="0" fontId="90" fillId="0" borderId="23" applyNumberFormat="0" applyFill="0" applyAlignment="0" applyProtection="0"/>
    <xf numFmtId="0" fontId="90" fillId="0" borderId="23" applyNumberFormat="0" applyFill="0" applyAlignment="0" applyProtection="0"/>
    <xf numFmtId="0" fontId="91" fillId="0" borderId="5" applyNumberFormat="0" applyFill="0" applyAlignment="0" applyProtection="0"/>
    <xf numFmtId="0" fontId="92" fillId="0" borderId="5" applyNumberFormat="0" applyFill="0" applyAlignment="0" applyProtection="0"/>
    <xf numFmtId="0" fontId="29" fillId="0" borderId="5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3" fillId="7" borderId="1" applyNumberFormat="0" applyAlignment="0" applyProtection="0"/>
    <xf numFmtId="0" fontId="93" fillId="7" borderId="1" applyNumberFormat="0" applyAlignment="0" applyProtection="0"/>
    <xf numFmtId="0" fontId="93" fillId="7" borderId="1" applyNumberFormat="0" applyAlignment="0" applyProtection="0"/>
    <xf numFmtId="0" fontId="94" fillId="7" borderId="1" applyNumberFormat="0" applyAlignment="0" applyProtection="0"/>
    <xf numFmtId="41" fontId="95" fillId="0" borderId="0">
      <alignment horizontal="left"/>
    </xf>
    <xf numFmtId="0" fontId="96" fillId="0" borderId="6" applyNumberFormat="0" applyFill="0" applyAlignment="0" applyProtection="0"/>
    <xf numFmtId="0" fontId="96" fillId="0" borderId="6" applyNumberFormat="0" applyFill="0" applyAlignment="0" applyProtection="0"/>
    <xf numFmtId="0" fontId="96" fillId="0" borderId="6" applyNumberFormat="0" applyFill="0" applyAlignment="0" applyProtection="0"/>
    <xf numFmtId="0" fontId="97" fillId="0" borderId="6" applyNumberFormat="0" applyFill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9" fillId="22" borderId="0" applyNumberFormat="0" applyBorder="0" applyAlignment="0" applyProtection="0"/>
    <xf numFmtId="0" fontId="100" fillId="0" borderId="0"/>
    <xf numFmtId="0" fontId="66" fillId="0" borderId="0"/>
    <xf numFmtId="37" fontId="44" fillId="0" borderId="0"/>
    <xf numFmtId="0" fontId="44" fillId="0" borderId="0"/>
    <xf numFmtId="0" fontId="43" fillId="0" borderId="0"/>
    <xf numFmtId="0" fontId="10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0" fontId="43" fillId="0" borderId="0"/>
    <xf numFmtId="0" fontId="43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0" fontId="66" fillId="0" borderId="0"/>
    <xf numFmtId="0" fontId="101" fillId="0" borderId="0"/>
    <xf numFmtId="0" fontId="101" fillId="0" borderId="0"/>
    <xf numFmtId="0" fontId="66" fillId="0" borderId="0"/>
    <xf numFmtId="0" fontId="101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38" fontId="37" fillId="0" borderId="0"/>
    <xf numFmtId="0" fontId="10" fillId="0" borderId="0"/>
    <xf numFmtId="0" fontId="66" fillId="0" borderId="0"/>
    <xf numFmtId="0" fontId="37" fillId="0" borderId="0"/>
    <xf numFmtId="0" fontId="37" fillId="0" borderId="0"/>
    <xf numFmtId="0" fontId="100" fillId="0" borderId="0"/>
    <xf numFmtId="0" fontId="100" fillId="0" borderId="0"/>
    <xf numFmtId="0" fontId="100" fillId="0" borderId="0"/>
    <xf numFmtId="0" fontId="37" fillId="23" borderId="7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43" fontId="93" fillId="0" borderId="0"/>
    <xf numFmtId="196" fontId="102" fillId="0" borderId="0"/>
    <xf numFmtId="0" fontId="103" fillId="20" borderId="8" applyNumberFormat="0" applyAlignment="0" applyProtection="0"/>
    <xf numFmtId="0" fontId="103" fillId="20" borderId="8" applyNumberFormat="0" applyAlignment="0" applyProtection="0"/>
    <xf numFmtId="0" fontId="103" fillId="20" borderId="8" applyNumberFormat="0" applyAlignment="0" applyProtection="0"/>
    <xf numFmtId="0" fontId="104" fillId="20" borderId="8" applyNumberFormat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0" fontId="47" fillId="0" borderId="14">
      <alignment horizontal="center"/>
    </xf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3" fillId="25" borderId="0" applyNumberFormat="0" applyFont="0" applyBorder="0" applyAlignment="0" applyProtection="0"/>
    <xf numFmtId="0" fontId="43" fillId="25" borderId="0" applyNumberFormat="0" applyFont="0" applyBorder="0" applyAlignment="0" applyProtection="0"/>
    <xf numFmtId="0" fontId="43" fillId="25" borderId="0" applyNumberFormat="0" applyFont="0" applyBorder="0" applyAlignment="0" applyProtection="0"/>
    <xf numFmtId="0" fontId="43" fillId="25" borderId="0" applyNumberFormat="0" applyFont="0" applyBorder="0" applyAlignment="0" applyProtection="0"/>
    <xf numFmtId="0" fontId="43" fillId="25" borderId="0" applyNumberFormat="0" applyFont="0" applyBorder="0" applyAlignment="0" applyProtection="0"/>
    <xf numFmtId="0" fontId="43" fillId="25" borderId="0" applyNumberFormat="0" applyFont="0" applyBorder="0" applyAlignment="0" applyProtection="0"/>
    <xf numFmtId="0" fontId="43" fillId="25" borderId="0" applyNumberFormat="0" applyFont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4" applyNumberFormat="0" applyFill="0" applyAlignment="0" applyProtection="0"/>
    <xf numFmtId="0" fontId="106" fillId="0" borderId="24" applyNumberFormat="0" applyFill="0" applyAlignment="0" applyProtection="0"/>
    <xf numFmtId="0" fontId="106" fillId="0" borderId="24" applyNumberFormat="0" applyFill="0" applyAlignment="0" applyProtection="0"/>
    <xf numFmtId="0" fontId="106" fillId="0" borderId="24" applyNumberFormat="0" applyFill="0" applyAlignment="0" applyProtection="0"/>
    <xf numFmtId="0" fontId="107" fillId="0" borderId="9" applyNumberFormat="0" applyFill="0" applyAlignment="0" applyProtection="0"/>
    <xf numFmtId="0" fontId="106" fillId="0" borderId="9" applyNumberFormat="0" applyFill="0" applyAlignment="0" applyProtection="0"/>
    <xf numFmtId="0" fontId="35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43" fillId="0" borderId="0"/>
    <xf numFmtId="44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6" fillId="0" borderId="0" applyFont="0" applyFill="0" applyBorder="0" applyAlignment="0" applyProtection="0"/>
    <xf numFmtId="0" fontId="10" fillId="0" borderId="0"/>
    <xf numFmtId="0" fontId="66" fillId="0" borderId="0"/>
    <xf numFmtId="0" fontId="10" fillId="0" borderId="0"/>
    <xf numFmtId="0" fontId="66" fillId="0" borderId="0"/>
    <xf numFmtId="0" fontId="37" fillId="0" borderId="0"/>
    <xf numFmtId="0" fontId="37" fillId="0" borderId="0"/>
    <xf numFmtId="9" fontId="10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5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65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112" fillId="0" borderId="0" applyNumberFormat="0" applyFill="0" applyBorder="0" applyAlignment="0" applyProtection="0"/>
    <xf numFmtId="0" fontId="113" fillId="0" borderId="25" applyNumberFormat="0" applyFill="0" applyAlignment="0" applyProtection="0"/>
    <xf numFmtId="0" fontId="114" fillId="0" borderId="26" applyNumberFormat="0" applyFill="0" applyAlignment="0" applyProtection="0"/>
    <xf numFmtId="0" fontId="115" fillId="0" borderId="27" applyNumberFormat="0" applyFill="0" applyAlignment="0" applyProtection="0"/>
    <xf numFmtId="0" fontId="115" fillId="0" borderId="0" applyNumberFormat="0" applyFill="0" applyBorder="0" applyAlignment="0" applyProtection="0"/>
    <xf numFmtId="0" fontId="116" fillId="29" borderId="0" applyNumberFormat="0" applyBorder="0" applyAlignment="0" applyProtection="0"/>
    <xf numFmtId="0" fontId="117" fillId="30" borderId="0" applyNumberFormat="0" applyBorder="0" applyAlignment="0" applyProtection="0"/>
    <xf numFmtId="0" fontId="118" fillId="31" borderId="0" applyNumberFormat="0" applyBorder="0" applyAlignment="0" applyProtection="0"/>
    <xf numFmtId="0" fontId="119" fillId="32" borderId="28" applyNumberFormat="0" applyAlignment="0" applyProtection="0"/>
    <xf numFmtId="0" fontId="120" fillId="33" borderId="29" applyNumberFormat="0" applyAlignment="0" applyProtection="0"/>
    <xf numFmtId="0" fontId="121" fillId="33" borderId="28" applyNumberFormat="0" applyAlignment="0" applyProtection="0"/>
    <xf numFmtId="0" fontId="122" fillId="0" borderId="30" applyNumberFormat="0" applyFill="0" applyAlignment="0" applyProtection="0"/>
    <xf numFmtId="0" fontId="123" fillId="34" borderId="31" applyNumberFormat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1" fillId="0" borderId="32" applyNumberFormat="0" applyFill="0" applyAlignment="0" applyProtection="0"/>
    <xf numFmtId="0" fontId="126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126" fillId="38" borderId="0" applyNumberFormat="0" applyBorder="0" applyAlignment="0" applyProtection="0"/>
    <xf numFmtId="0" fontId="126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126" fillId="42" borderId="0" applyNumberFormat="0" applyBorder="0" applyAlignment="0" applyProtection="0"/>
    <xf numFmtId="0" fontId="126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126" fillId="46" borderId="0" applyNumberFormat="0" applyBorder="0" applyAlignment="0" applyProtection="0"/>
    <xf numFmtId="0" fontId="126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126" fillId="50" borderId="0" applyNumberFormat="0" applyBorder="0" applyAlignment="0" applyProtection="0"/>
    <xf numFmtId="0" fontId="126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126" fillId="54" borderId="0" applyNumberFormat="0" applyBorder="0" applyAlignment="0" applyProtection="0"/>
    <xf numFmtId="0" fontId="126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126" fillId="58" borderId="0" applyNumberFormat="0" applyBorder="0" applyAlignment="0" applyProtection="0"/>
    <xf numFmtId="0" fontId="127" fillId="0" borderId="0"/>
    <xf numFmtId="0" fontId="127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27" fillId="0" borderId="0"/>
    <xf numFmtId="43" fontId="5" fillId="0" borderId="0" applyFont="0" applyFill="0" applyBorder="0" applyAlignment="0" applyProtection="0"/>
    <xf numFmtId="0" fontId="5" fillId="0" borderId="0"/>
    <xf numFmtId="0" fontId="5" fillId="24" borderId="13" applyNumberFormat="0" applyFont="0" applyAlignment="0" applyProtection="0"/>
    <xf numFmtId="0" fontId="37" fillId="0" borderId="0"/>
    <xf numFmtId="44" fontId="5" fillId="0" borderId="0" applyFont="0" applyFill="0" applyBorder="0" applyAlignment="0" applyProtection="0"/>
    <xf numFmtId="0" fontId="5" fillId="0" borderId="0"/>
    <xf numFmtId="0" fontId="5" fillId="24" borderId="13" applyNumberFormat="0" applyFont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37" fontId="44" fillId="0" borderId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3" fillId="0" borderId="0"/>
    <xf numFmtId="40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0" fontId="5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24" borderId="13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/>
    <xf numFmtId="0" fontId="5" fillId="24" borderId="13" applyNumberFormat="0" applyFont="0" applyAlignment="0" applyProtection="0"/>
    <xf numFmtId="0" fontId="37" fillId="0" borderId="0"/>
    <xf numFmtId="44" fontId="5" fillId="0" borderId="0" applyFont="0" applyFill="0" applyBorder="0" applyAlignment="0" applyProtection="0"/>
    <xf numFmtId="0" fontId="5" fillId="0" borderId="0"/>
    <xf numFmtId="0" fontId="5" fillId="24" borderId="13" applyNumberFormat="0" applyFont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24" borderId="13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/>
    <xf numFmtId="0" fontId="5" fillId="24" borderId="13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24" borderId="13" applyNumberFormat="0" applyFont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24" borderId="13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24" borderId="13" applyNumberFormat="0" applyFont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24" borderId="13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24" borderId="13" applyNumberFormat="0" applyFont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24" borderId="13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43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7" fillId="0" borderId="0"/>
    <xf numFmtId="0" fontId="43" fillId="0" borderId="0"/>
    <xf numFmtId="43" fontId="3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25" applyNumberFormat="0" applyFill="0" applyAlignment="0" applyProtection="0"/>
    <xf numFmtId="0" fontId="114" fillId="0" borderId="26" applyNumberFormat="0" applyFill="0" applyAlignment="0" applyProtection="0"/>
    <xf numFmtId="0" fontId="115" fillId="0" borderId="27" applyNumberFormat="0" applyFill="0" applyAlignment="0" applyProtection="0"/>
    <xf numFmtId="0" fontId="115" fillId="0" borderId="0" applyNumberFormat="0" applyFill="0" applyBorder="0" applyAlignment="0" applyProtection="0"/>
    <xf numFmtId="0" fontId="116" fillId="29" borderId="0" applyNumberFormat="0" applyBorder="0" applyAlignment="0" applyProtection="0"/>
    <xf numFmtId="0" fontId="117" fillId="30" borderId="0" applyNumberFormat="0" applyBorder="0" applyAlignment="0" applyProtection="0"/>
    <xf numFmtId="0" fontId="118" fillId="31" borderId="0" applyNumberFormat="0" applyBorder="0" applyAlignment="0" applyProtection="0"/>
    <xf numFmtId="0" fontId="119" fillId="32" borderId="28" applyNumberFormat="0" applyAlignment="0" applyProtection="0"/>
    <xf numFmtId="0" fontId="120" fillId="33" borderId="29" applyNumberFormat="0" applyAlignment="0" applyProtection="0"/>
    <xf numFmtId="0" fontId="121" fillId="33" borderId="28" applyNumberFormat="0" applyAlignment="0" applyProtection="0"/>
    <xf numFmtId="0" fontId="122" fillId="0" borderId="30" applyNumberFormat="0" applyFill="0" applyAlignment="0" applyProtection="0"/>
    <xf numFmtId="0" fontId="123" fillId="34" borderId="31" applyNumberFormat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1" fillId="0" borderId="32" applyNumberFormat="0" applyFill="0" applyAlignment="0" applyProtection="0"/>
    <xf numFmtId="0" fontId="126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126" fillId="38" borderId="0" applyNumberFormat="0" applyBorder="0" applyAlignment="0" applyProtection="0"/>
    <xf numFmtId="0" fontId="126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126" fillId="42" borderId="0" applyNumberFormat="0" applyBorder="0" applyAlignment="0" applyProtection="0"/>
    <xf numFmtId="0" fontId="126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126" fillId="46" borderId="0" applyNumberFormat="0" applyBorder="0" applyAlignment="0" applyProtection="0"/>
    <xf numFmtId="0" fontId="126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126" fillId="50" borderId="0" applyNumberFormat="0" applyBorder="0" applyAlignment="0" applyProtection="0"/>
    <xf numFmtId="0" fontId="126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126" fillId="54" borderId="0" applyNumberFormat="0" applyBorder="0" applyAlignment="0" applyProtection="0"/>
    <xf numFmtId="0" fontId="126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126" fillId="58" borderId="0" applyNumberFormat="0" applyBorder="0" applyAlignment="0" applyProtection="0"/>
    <xf numFmtId="0" fontId="37" fillId="0" borderId="0"/>
    <xf numFmtId="0" fontId="20" fillId="2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43" fontId="5" fillId="0" borderId="0" applyFont="0" applyFill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3" borderId="0" applyNumberFormat="0" applyBorder="0" applyAlignment="0" applyProtection="0"/>
    <xf numFmtId="0" fontId="24" fillId="21" borderId="2" applyNumberFormat="0" applyAlignment="0" applyProtection="0"/>
    <xf numFmtId="43" fontId="3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37" fontId="44" fillId="0" borderId="0"/>
    <xf numFmtId="37" fontId="44" fillId="0" borderId="0"/>
    <xf numFmtId="0" fontId="37" fillId="23" borderId="7" applyNumberFormat="0" applyFon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43" fontId="5" fillId="0" borderId="0" applyFont="0" applyFill="0" applyBorder="0" applyAlignment="0" applyProtection="0"/>
    <xf numFmtId="0" fontId="5" fillId="0" borderId="0"/>
    <xf numFmtId="43" fontId="3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7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7" fillId="0" borderId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24" borderId="13" applyNumberFormat="0" applyFont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24" borderId="13" applyNumberFormat="0" applyFont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24" borderId="13" applyNumberFormat="0" applyFont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0" borderId="0"/>
    <xf numFmtId="0" fontId="4" fillId="24" borderId="13" applyNumberFormat="0" applyFont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24" borderId="13" applyNumberFormat="0" applyFont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24" borderId="13" applyNumberFormat="0" applyFont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0" borderId="0"/>
    <xf numFmtId="0" fontId="4" fillId="24" borderId="13" applyNumberFormat="0" applyFont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24" borderId="13" applyNumberFormat="0" applyFont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24" borderId="13" applyNumberFormat="0" applyFont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24" borderId="13" applyNumberFormat="0" applyFont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24" borderId="13" applyNumberFormat="0" applyFont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24" borderId="13" applyNumberFormat="0" applyFont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24" borderId="13" applyNumberFormat="0" applyFont="0" applyAlignment="0" applyProtection="0"/>
    <xf numFmtId="44" fontId="4" fillId="0" borderId="0" applyFont="0" applyFill="0" applyBorder="0" applyAlignment="0" applyProtection="0"/>
    <xf numFmtId="0" fontId="19" fillId="0" borderId="0"/>
    <xf numFmtId="0" fontId="19" fillId="0" borderId="0"/>
    <xf numFmtId="3" fontId="19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37" fontId="44" fillId="0" borderId="0"/>
    <xf numFmtId="0" fontId="45" fillId="0" borderId="0"/>
    <xf numFmtId="0" fontId="4" fillId="0" borderId="0"/>
    <xf numFmtId="0" fontId="4" fillId="0" borderId="0"/>
    <xf numFmtId="0" fontId="45" fillId="0" borderId="0"/>
    <xf numFmtId="0" fontId="45" fillId="0" borderId="0"/>
    <xf numFmtId="0" fontId="4" fillId="0" borderId="0"/>
    <xf numFmtId="0" fontId="4" fillId="0" borderId="0"/>
    <xf numFmtId="0" fontId="45" fillId="0" borderId="0"/>
    <xf numFmtId="0" fontId="45" fillId="0" borderId="0"/>
    <xf numFmtId="0" fontId="45" fillId="0" borderId="0"/>
    <xf numFmtId="0" fontId="4" fillId="24" borderId="13" applyNumberFormat="0" applyFont="0" applyAlignment="0" applyProtection="0"/>
    <xf numFmtId="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7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0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0" fontId="4" fillId="0" borderId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7" fillId="2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7" fillId="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7" fillId="4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7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7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7" fillId="7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7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9" borderId="0" applyNumberFormat="0" applyBorder="0" applyAlignment="0" applyProtection="0"/>
    <xf numFmtId="0" fontId="67" fillId="9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7" fillId="10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7" fillId="5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0" fillId="8" borderId="0" applyNumberFormat="0" applyBorder="0" applyAlignment="0" applyProtection="0"/>
    <xf numFmtId="0" fontId="67" fillId="8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0" fillId="7" borderId="0" applyNumberFormat="0" applyBorder="0" applyAlignment="0" applyProtection="0"/>
    <xf numFmtId="0" fontId="67" fillId="11" borderId="0" applyNumberFormat="0" applyBorder="0" applyAlignment="0" applyProtection="0"/>
    <xf numFmtId="43" fontId="4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7" fillId="0" borderId="0" applyFont="0" applyFill="0" applyBorder="0" applyAlignment="0" applyProtection="0"/>
    <xf numFmtId="8" fontId="43" fillId="0" borderId="0" applyFont="0" applyFill="0" applyBorder="0" applyAlignment="0" applyProtection="0"/>
    <xf numFmtId="8" fontId="43" fillId="0" borderId="0" applyFont="0" applyFill="0" applyBorder="0" applyAlignment="0" applyProtection="0"/>
    <xf numFmtId="0" fontId="4" fillId="0" borderId="0"/>
    <xf numFmtId="0" fontId="101" fillId="0" borderId="0"/>
    <xf numFmtId="0" fontId="66" fillId="0" borderId="0"/>
    <xf numFmtId="0" fontId="4" fillId="0" borderId="0"/>
    <xf numFmtId="0" fontId="66" fillId="0" borderId="0"/>
    <xf numFmtId="0" fontId="100" fillId="0" borderId="0"/>
    <xf numFmtId="0" fontId="100" fillId="0" borderId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0" fontId="37" fillId="23" borderId="1" applyNumberFormat="0" applyFont="0" applyAlignment="0" applyProtection="0"/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3" fillId="0" borderId="0"/>
    <xf numFmtId="44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66" fillId="0" borderId="0"/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7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7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127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24" borderId="13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24" borderId="13" applyNumberFormat="0" applyFont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4" borderId="13" applyNumberFormat="0" applyFont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27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3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3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4" borderId="13" applyNumberFormat="0" applyFont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4" borderId="13" applyNumberFormat="0" applyFont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4" borderId="13" applyNumberFormat="0" applyFont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4" borderId="13" applyNumberFormat="0" applyFont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24" borderId="13" applyNumberFormat="0" applyFont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3" applyNumberFormat="0" applyFont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3">
    <xf numFmtId="0" fontId="0" fillId="0" borderId="0" xfId="0" applyAlignment="1"/>
    <xf numFmtId="0" fontId="14" fillId="0" borderId="0" xfId="0" applyNumberFormat="1" applyFont="1" applyAlignment="1"/>
    <xf numFmtId="3" fontId="14" fillId="0" borderId="0" xfId="0" applyNumberFormat="1" applyFont="1" applyFill="1" applyAlignment="1"/>
    <xf numFmtId="5" fontId="17" fillId="0" borderId="0" xfId="0" applyNumberFormat="1" applyFont="1" applyFill="1" applyBorder="1" applyAlignment="1"/>
    <xf numFmtId="170" fontId="14" fillId="0" borderId="0" xfId="0" applyNumberFormat="1" applyFont="1" applyFill="1" applyAlignment="1"/>
    <xf numFmtId="2" fontId="14" fillId="0" borderId="0" xfId="0" applyNumberFormat="1" applyFont="1" applyFill="1" applyAlignment="1"/>
    <xf numFmtId="0" fontId="14" fillId="0" borderId="0" xfId="0" applyNumberFormat="1" applyFont="1" applyFill="1" applyAlignment="1"/>
    <xf numFmtId="2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/>
    <xf numFmtId="179" fontId="14" fillId="0" borderId="0" xfId="0" applyNumberFormat="1" applyFont="1" applyFill="1" applyAlignment="1"/>
    <xf numFmtId="44" fontId="14" fillId="0" borderId="0" xfId="0" applyNumberFormat="1" applyFont="1" applyFill="1" applyAlignment="1"/>
    <xf numFmtId="3" fontId="14" fillId="0" borderId="0" xfId="4" applyNumberFormat="1" applyFont="1" applyFill="1" applyAlignment="1"/>
    <xf numFmtId="179" fontId="14" fillId="0" borderId="0" xfId="4" applyNumberFormat="1" applyFont="1" applyFill="1" applyAlignment="1"/>
    <xf numFmtId="3" fontId="14" fillId="0" borderId="0" xfId="4" applyNumberFormat="1" applyFont="1" applyFill="1" applyBorder="1" applyAlignment="1"/>
    <xf numFmtId="165" fontId="14" fillId="0" borderId="11" xfId="4" applyNumberFormat="1" applyFont="1" applyFill="1" applyBorder="1" applyAlignment="1"/>
    <xf numFmtId="165" fontId="14" fillId="0" borderId="0" xfId="4" applyNumberFormat="1" applyFont="1" applyFill="1" applyBorder="1" applyAlignment="1"/>
    <xf numFmtId="0" fontId="14" fillId="0" borderId="0" xfId="4" applyNumberFormat="1" applyFont="1" applyFill="1" applyAlignment="1"/>
    <xf numFmtId="2" fontId="14" fillId="0" borderId="0" xfId="4" applyNumberFormat="1" applyFont="1" applyFill="1" applyBorder="1" applyAlignment="1"/>
    <xf numFmtId="10" fontId="14" fillId="0" borderId="0" xfId="5" applyNumberFormat="1" applyFont="1" applyFill="1"/>
    <xf numFmtId="0" fontId="14" fillId="0" borderId="0" xfId="5" applyNumberFormat="1" applyFont="1" applyFill="1" applyAlignment="1" applyProtection="1">
      <protection locked="0"/>
    </xf>
    <xf numFmtId="3" fontId="14" fillId="0" borderId="0" xfId="5" applyFont="1" applyFill="1"/>
    <xf numFmtId="165" fontId="14" fillId="0" borderId="0" xfId="5" applyNumberFormat="1" applyFont="1" applyFill="1" applyAlignment="1">
      <alignment horizontal="center"/>
    </xf>
    <xf numFmtId="0" fontId="14" fillId="0" borderId="0" xfId="5" applyNumberFormat="1" applyFont="1" applyFill="1" applyAlignment="1" applyProtection="1">
      <alignment horizontal="center"/>
      <protection locked="0"/>
    </xf>
    <xf numFmtId="0" fontId="14" fillId="0" borderId="0" xfId="5" applyNumberFormat="1" applyFont="1" applyFill="1" applyAlignment="1">
      <alignment horizontal="center"/>
    </xf>
    <xf numFmtId="0" fontId="18" fillId="0" borderId="0" xfId="5" applyNumberFormat="1" applyFont="1" applyFill="1" applyAlignment="1" applyProtection="1">
      <alignment horizontal="center"/>
      <protection locked="0"/>
    </xf>
    <xf numFmtId="170" fontId="14" fillId="0" borderId="0" xfId="5" applyNumberFormat="1" applyFont="1" applyFill="1" applyAlignment="1" applyProtection="1">
      <protection locked="0"/>
    </xf>
    <xf numFmtId="170" fontId="14" fillId="0" borderId="0" xfId="5" applyNumberFormat="1" applyFont="1" applyFill="1"/>
    <xf numFmtId="3" fontId="14" fillId="0" borderId="11" xfId="5" applyNumberFormat="1" applyFont="1" applyFill="1" applyBorder="1"/>
    <xf numFmtId="3" fontId="14" fillId="0" borderId="0" xfId="5" applyNumberFormat="1" applyFont="1" applyFill="1"/>
    <xf numFmtId="165" fontId="14" fillId="0" borderId="0" xfId="5" applyNumberFormat="1" applyFont="1" applyFill="1"/>
    <xf numFmtId="0" fontId="14" fillId="0" borderId="0" xfId="5" applyNumberFormat="1" applyFont="1" applyFill="1" applyProtection="1">
      <protection locked="0"/>
    </xf>
    <xf numFmtId="0" fontId="14" fillId="0" borderId="0" xfId="5" applyNumberFormat="1" applyFont="1" applyFill="1" applyAlignment="1"/>
    <xf numFmtId="0" fontId="14" fillId="0" borderId="11" xfId="5" applyNumberFormat="1" applyFont="1" applyFill="1" applyBorder="1" applyProtection="1">
      <protection locked="0"/>
    </xf>
    <xf numFmtId="171" fontId="14" fillId="0" borderId="0" xfId="5" applyNumberFormat="1" applyFont="1" applyFill="1"/>
    <xf numFmtId="165" fontId="14" fillId="0" borderId="0" xfId="5" applyNumberFormat="1" applyFont="1" applyFill="1" applyAlignment="1" applyProtection="1">
      <protection locked="0"/>
    </xf>
    <xf numFmtId="0" fontId="14" fillId="0" borderId="0" xfId="6" applyNumberFormat="1" applyFont="1" applyFill="1" applyBorder="1" applyAlignment="1" applyProtection="1">
      <protection locked="0"/>
    </xf>
    <xf numFmtId="171" fontId="14" fillId="0" borderId="0" xfId="6" applyNumberFormat="1" applyFont="1" applyFill="1" applyAlignment="1" applyProtection="1">
      <protection locked="0"/>
    </xf>
    <xf numFmtId="0" fontId="14" fillId="0" borderId="0" xfId="6" applyNumberFormat="1" applyFont="1" applyFill="1" applyAlignment="1" applyProtection="1">
      <protection locked="0"/>
    </xf>
    <xf numFmtId="171" fontId="14" fillId="0" borderId="0" xfId="6" applyNumberFormat="1" applyFont="1" applyFill="1" applyBorder="1" applyAlignment="1" applyProtection="1">
      <protection locked="0"/>
    </xf>
    <xf numFmtId="3" fontId="14" fillId="0" borderId="0" xfId="6" applyNumberFormat="1" applyFont="1" applyFill="1" applyAlignment="1" applyProtection="1">
      <protection locked="0"/>
    </xf>
    <xf numFmtId="167" fontId="14" fillId="0" borderId="0" xfId="6" applyNumberFormat="1" applyFont="1" applyFill="1" applyBorder="1" applyAlignment="1" applyProtection="1">
      <protection locked="0"/>
    </xf>
    <xf numFmtId="167" fontId="14" fillId="0" borderId="0" xfId="6" applyNumberFormat="1" applyFont="1" applyFill="1" applyAlignment="1" applyProtection="1">
      <protection locked="0"/>
    </xf>
    <xf numFmtId="0" fontId="14" fillId="0" borderId="0" xfId="6" applyNumberFormat="1" applyFont="1" applyFill="1" applyBorder="1" applyAlignment="1" applyProtection="1">
      <alignment horizontal="center"/>
      <protection locked="0"/>
    </xf>
    <xf numFmtId="0" fontId="14" fillId="0" borderId="0" xfId="6" applyNumberFormat="1" applyFont="1" applyFill="1" applyBorder="1" applyProtection="1">
      <protection locked="0"/>
    </xf>
    <xf numFmtId="165" fontId="14" fillId="0" borderId="0" xfId="6" applyNumberFormat="1" applyFont="1" applyFill="1" applyBorder="1" applyAlignment="1" applyProtection="1">
      <protection locked="0"/>
    </xf>
    <xf numFmtId="0" fontId="14" fillId="0" borderId="0" xfId="6" applyNumberFormat="1" applyFont="1" applyFill="1" applyAlignment="1" applyProtection="1">
      <alignment horizontal="center"/>
      <protection locked="0"/>
    </xf>
    <xf numFmtId="3" fontId="14" fillId="0" borderId="0" xfId="6" applyNumberFormat="1" applyFont="1" applyFill="1" applyBorder="1" applyAlignment="1" applyProtection="1">
      <protection locked="0"/>
    </xf>
    <xf numFmtId="1" fontId="14" fillId="0" borderId="0" xfId="6" applyNumberFormat="1" applyFont="1" applyFill="1" applyBorder="1" applyAlignment="1" applyProtection="1">
      <protection locked="0"/>
    </xf>
    <xf numFmtId="165" fontId="14" fillId="0" borderId="0" xfId="6" applyNumberFormat="1" applyFont="1" applyFill="1" applyAlignment="1" applyProtection="1">
      <protection locked="0"/>
    </xf>
    <xf numFmtId="0" fontId="14" fillId="0" borderId="0" xfId="6" applyNumberFormat="1" applyFont="1" applyFill="1" applyAlignment="1"/>
    <xf numFmtId="3" fontId="14" fillId="0" borderId="11" xfId="6" applyNumberFormat="1" applyFont="1" applyFill="1" applyBorder="1" applyAlignment="1"/>
    <xf numFmtId="167" fontId="14" fillId="0" borderId="0" xfId="6" applyNumberFormat="1" applyFont="1" applyFill="1" applyAlignment="1"/>
    <xf numFmtId="170" fontId="14" fillId="0" borderId="0" xfId="6" applyNumberFormat="1" applyFont="1" applyFill="1" applyAlignment="1" applyProtection="1">
      <protection locked="0"/>
    </xf>
    <xf numFmtId="170" fontId="14" fillId="0" borderId="0" xfId="6" applyNumberFormat="1" applyFont="1" applyFill="1" applyBorder="1" applyAlignment="1" applyProtection="1">
      <protection locked="0"/>
    </xf>
    <xf numFmtId="3" fontId="14" fillId="0" borderId="11" xfId="6" applyNumberFormat="1" applyFont="1" applyFill="1" applyBorder="1" applyAlignment="1" applyProtection="1">
      <protection locked="0"/>
    </xf>
    <xf numFmtId="3" fontId="14" fillId="0" borderId="0" xfId="6" applyNumberFormat="1" applyFont="1" applyFill="1" applyAlignment="1">
      <alignment horizontal="center"/>
    </xf>
    <xf numFmtId="0" fontId="14" fillId="0" borderId="0" xfId="0" applyNumberFormat="1" applyFont="1" applyFill="1" applyAlignment="1" applyProtection="1">
      <protection locked="0"/>
    </xf>
    <xf numFmtId="171" fontId="14" fillId="0" borderId="0" xfId="0" applyNumberFormat="1" applyFont="1" applyFill="1"/>
    <xf numFmtId="173" fontId="14" fillId="0" borderId="0" xfId="0" applyNumberFormat="1" applyFont="1" applyFill="1" applyAlignment="1">
      <alignment horizontal="center"/>
    </xf>
    <xf numFmtId="169" fontId="14" fillId="0" borderId="0" xfId="0" applyNumberFormat="1" applyFont="1" applyFill="1" applyAlignment="1">
      <alignment horizontal="center"/>
    </xf>
    <xf numFmtId="10" fontId="14" fillId="0" borderId="0" xfId="0" applyNumberFormat="1" applyFont="1" applyFill="1" applyAlignment="1"/>
    <xf numFmtId="170" fontId="14" fillId="0" borderId="0" xfId="0" applyNumberFormat="1" applyFont="1" applyFill="1" applyAlignment="1">
      <alignment horizontal="center"/>
    </xf>
    <xf numFmtId="37" fontId="14" fillId="0" borderId="10" xfId="0" applyNumberFormat="1" applyFont="1" applyFill="1" applyBorder="1"/>
    <xf numFmtId="0" fontId="14" fillId="0" borderId="10" xfId="0" applyFont="1" applyFill="1" applyBorder="1"/>
    <xf numFmtId="9" fontId="14" fillId="0" borderId="0" xfId="0" applyNumberFormat="1" applyFont="1" applyFill="1" applyAlignment="1"/>
    <xf numFmtId="39" fontId="14" fillId="0" borderId="0" xfId="0" applyNumberFormat="1" applyFont="1" applyFill="1" applyAlignment="1">
      <alignment horizontal="center"/>
    </xf>
    <xf numFmtId="172" fontId="14" fillId="0" borderId="0" xfId="0" applyNumberFormat="1" applyFont="1" applyFill="1" applyAlignment="1">
      <alignment horizontal="center"/>
    </xf>
    <xf numFmtId="171" fontId="14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4" fillId="0" borderId="0" xfId="0" applyNumberFormat="1" applyFont="1" applyFill="1" applyAlignment="1" applyProtection="1">
      <alignment horizontal="center"/>
      <protection locked="0"/>
    </xf>
    <xf numFmtId="185" fontId="14" fillId="0" borderId="0" xfId="0" applyNumberFormat="1" applyFont="1" applyFill="1" applyAlignment="1">
      <alignment horizontal="center"/>
    </xf>
    <xf numFmtId="5" fontId="14" fillId="0" borderId="0" xfId="0" applyNumberFormat="1" applyFont="1" applyFill="1"/>
    <xf numFmtId="37" fontId="14" fillId="0" borderId="0" xfId="0" applyNumberFormat="1" applyFont="1" applyFill="1" applyBorder="1"/>
    <xf numFmtId="0" fontId="14" fillId="0" borderId="0" xfId="0" applyFont="1" applyFill="1" applyBorder="1"/>
    <xf numFmtId="0" fontId="14" fillId="0" borderId="0" xfId="0" applyNumberFormat="1" applyFont="1" applyFill="1" applyBorder="1" applyAlignment="1" applyProtection="1">
      <protection locked="0"/>
    </xf>
    <xf numFmtId="3" fontId="14" fillId="0" borderId="0" xfId="0" applyNumberFormat="1" applyFont="1" applyFill="1" applyBorder="1"/>
    <xf numFmtId="5" fontId="14" fillId="0" borderId="0" xfId="0" applyNumberFormat="1" applyFont="1" applyFill="1" applyBorder="1"/>
    <xf numFmtId="165" fontId="14" fillId="0" borderId="0" xfId="0" applyNumberFormat="1" applyFont="1" applyFill="1" applyBorder="1"/>
    <xf numFmtId="0" fontId="14" fillId="0" borderId="0" xfId="186" applyNumberFormat="1" applyFont="1" applyAlignment="1" applyProtection="1">
      <protection locked="0"/>
    </xf>
    <xf numFmtId="0" fontId="14" fillId="0" borderId="0" xfId="186" applyNumberFormat="1" applyFont="1" applyAlignment="1"/>
    <xf numFmtId="4" fontId="14" fillId="0" borderId="0" xfId="186" applyNumberFormat="1" applyFont="1"/>
    <xf numFmtId="170" fontId="14" fillId="0" borderId="0" xfId="186" applyNumberFormat="1" applyFont="1" applyAlignment="1">
      <alignment horizontal="center"/>
    </xf>
    <xf numFmtId="0" fontId="14" fillId="0" borderId="0" xfId="186" applyNumberFormat="1" applyFont="1" applyAlignment="1" applyProtection="1">
      <alignment horizontal="center"/>
      <protection locked="0"/>
    </xf>
    <xf numFmtId="4" fontId="14" fillId="0" borderId="0" xfId="186" applyNumberFormat="1" applyFont="1" applyAlignment="1">
      <alignment horizontal="center"/>
    </xf>
    <xf numFmtId="167" fontId="14" fillId="0" borderId="0" xfId="186" applyNumberFormat="1" applyFont="1" applyAlignment="1">
      <alignment horizontal="center"/>
    </xf>
    <xf numFmtId="3" fontId="14" fillId="0" borderId="0" xfId="186" applyNumberFormat="1" applyFont="1" applyAlignment="1">
      <alignment horizontal="center"/>
    </xf>
    <xf numFmtId="4" fontId="14" fillId="0" borderId="0" xfId="186" applyNumberFormat="1" applyFont="1" applyFill="1" applyAlignment="1">
      <alignment horizontal="center"/>
    </xf>
    <xf numFmtId="0" fontId="14" fillId="0" borderId="0" xfId="186" applyNumberFormat="1" applyFont="1" applyFill="1" applyAlignment="1" applyProtection="1">
      <alignment horizontal="center"/>
      <protection locked="0"/>
    </xf>
    <xf numFmtId="9" fontId="14" fillId="0" borderId="0" xfId="186" applyFont="1" applyFill="1" applyAlignment="1">
      <alignment horizontal="center"/>
    </xf>
    <xf numFmtId="0" fontId="14" fillId="0" borderId="0" xfId="186" applyNumberFormat="1" applyFont="1" applyAlignment="1">
      <alignment horizontal="center"/>
    </xf>
    <xf numFmtId="0" fontId="18" fillId="0" borderId="0" xfId="186" applyNumberFormat="1" applyFont="1" applyAlignment="1">
      <alignment horizontal="center"/>
    </xf>
    <xf numFmtId="0" fontId="18" fillId="0" borderId="10" xfId="186" applyNumberFormat="1" applyFont="1" applyBorder="1" applyAlignment="1">
      <alignment horizontal="center"/>
    </xf>
    <xf numFmtId="0" fontId="14" fillId="0" borderId="0" xfId="186" applyNumberFormat="1" applyFont="1" applyAlignment="1">
      <alignment horizontal="centerContinuous"/>
    </xf>
    <xf numFmtId="169" fontId="14" fillId="0" borderId="0" xfId="0" applyNumberFormat="1" applyFont="1" applyFill="1"/>
    <xf numFmtId="4" fontId="14" fillId="0" borderId="0" xfId="0" applyNumberFormat="1" applyFont="1" applyFill="1" applyAlignment="1">
      <alignment horizontal="center"/>
    </xf>
    <xf numFmtId="8" fontId="14" fillId="0" borderId="0" xfId="4" applyNumberFormat="1" applyFont="1" applyFill="1" applyAlignment="1" applyProtection="1">
      <protection locked="0"/>
    </xf>
    <xf numFmtId="8" fontId="15" fillId="0" borderId="0" xfId="4" applyNumberFormat="1" applyFont="1" applyFill="1" applyAlignment="1" applyProtection="1">
      <protection locked="0"/>
    </xf>
    <xf numFmtId="0" fontId="14" fillId="0" borderId="0" xfId="4" applyNumberFormat="1" applyFont="1" applyFill="1" applyAlignment="1" applyProtection="1">
      <protection locked="0"/>
    </xf>
    <xf numFmtId="165" fontId="14" fillId="0" borderId="0" xfId="190" applyNumberFormat="1" applyFont="1" applyFill="1" applyAlignment="1"/>
    <xf numFmtId="3" fontId="41" fillId="0" borderId="0" xfId="190" applyNumberFormat="1" applyFont="1" applyFill="1"/>
    <xf numFmtId="3" fontId="14" fillId="0" borderId="0" xfId="190" applyNumberFormat="1" applyFont="1" applyFill="1"/>
    <xf numFmtId="0" fontId="14" fillId="0" borderId="0" xfId="190" applyFont="1" applyFill="1" applyAlignment="1"/>
    <xf numFmtId="0" fontId="16" fillId="0" borderId="0" xfId="190" applyFont="1" applyFill="1" applyAlignment="1"/>
    <xf numFmtId="0" fontId="14" fillId="0" borderId="0" xfId="190" applyNumberFormat="1" applyFont="1" applyFill="1" applyAlignment="1" applyProtection="1">
      <protection locked="0"/>
    </xf>
    <xf numFmtId="171" fontId="14" fillId="0" borderId="0" xfId="190" applyNumberFormat="1" applyFont="1" applyFill="1"/>
    <xf numFmtId="165" fontId="14" fillId="0" borderId="10" xfId="190" applyNumberFormat="1" applyFont="1" applyFill="1" applyBorder="1" applyAlignment="1"/>
    <xf numFmtId="10" fontId="14" fillId="0" borderId="0" xfId="190" applyNumberFormat="1" applyFont="1" applyFill="1" applyBorder="1" applyAlignment="1"/>
    <xf numFmtId="0" fontId="14" fillId="0" borderId="0" xfId="190" applyFont="1" applyFill="1" applyBorder="1" applyAlignment="1"/>
    <xf numFmtId="10" fontId="14" fillId="0" borderId="0" xfId="190" applyNumberFormat="1" applyFont="1" applyFill="1" applyBorder="1"/>
    <xf numFmtId="0" fontId="41" fillId="0" borderId="0" xfId="190" applyNumberFormat="1" applyFont="1" applyFill="1" applyAlignment="1" applyProtection="1">
      <protection locked="0"/>
    </xf>
    <xf numFmtId="0" fontId="14" fillId="0" borderId="0" xfId="190" applyNumberFormat="1" applyFont="1" applyFill="1" applyBorder="1" applyAlignment="1" applyProtection="1">
      <protection locked="0"/>
    </xf>
    <xf numFmtId="170" fontId="14" fillId="0" borderId="0" xfId="190" applyNumberFormat="1" applyFont="1" applyFill="1" applyAlignment="1"/>
    <xf numFmtId="0" fontId="44" fillId="0" borderId="0" xfId="190" applyFill="1" applyBorder="1" applyAlignment="1"/>
    <xf numFmtId="170" fontId="44" fillId="0" borderId="0" xfId="190" applyNumberFormat="1" applyFont="1" applyFill="1" applyAlignment="1"/>
    <xf numFmtId="3" fontId="44" fillId="0" borderId="0" xfId="190" applyNumberFormat="1" applyFill="1"/>
    <xf numFmtId="0" fontId="49" fillId="0" borderId="11" xfId="187" applyFill="1" applyBorder="1"/>
    <xf numFmtId="0" fontId="49" fillId="0" borderId="0" xfId="187" applyFill="1"/>
    <xf numFmtId="0" fontId="38" fillId="0" borderId="0" xfId="187" applyFont="1" applyFill="1"/>
    <xf numFmtId="0" fontId="58" fillId="0" borderId="0" xfId="187" applyFont="1" applyFill="1"/>
    <xf numFmtId="166" fontId="37" fillId="0" borderId="0" xfId="187" applyNumberFormat="1" applyFont="1" applyFill="1"/>
    <xf numFmtId="0" fontId="49" fillId="0" borderId="0" xfId="187" applyFill="1" applyAlignment="1">
      <alignment horizontal="center"/>
    </xf>
    <xf numFmtId="0" fontId="12" fillId="0" borderId="0" xfId="192" applyFill="1"/>
    <xf numFmtId="0" fontId="12" fillId="0" borderId="0" xfId="192" quotePrefix="1" applyFill="1"/>
    <xf numFmtId="0" fontId="12" fillId="0" borderId="0" xfId="192" applyFill="1" applyBorder="1"/>
    <xf numFmtId="0" fontId="37" fillId="0" borderId="0" xfId="187" applyFont="1" applyFill="1"/>
    <xf numFmtId="166" fontId="14" fillId="0" borderId="0" xfId="0" applyNumberFormat="1" applyFont="1" applyFill="1"/>
    <xf numFmtId="0" fontId="14" fillId="0" borderId="10" xfId="0" applyFont="1" applyFill="1" applyBorder="1" applyAlignment="1"/>
    <xf numFmtId="0" fontId="14" fillId="0" borderId="0" xfId="0" applyFont="1" applyFill="1" applyAlignment="1">
      <alignment horizontal="center"/>
    </xf>
    <xf numFmtId="0" fontId="18" fillId="0" borderId="0" xfId="0" applyNumberFormat="1" applyFont="1" applyFill="1" applyAlignment="1" applyProtection="1">
      <protection locked="0"/>
    </xf>
    <xf numFmtId="0" fontId="44" fillId="0" borderId="0" xfId="190" applyNumberFormat="1" applyFill="1" applyAlignment="1" applyProtection="1">
      <protection locked="0"/>
    </xf>
    <xf numFmtId="10" fontId="14" fillId="0" borderId="0" xfId="190" applyNumberFormat="1" applyFont="1" applyFill="1"/>
    <xf numFmtId="165" fontId="44" fillId="0" borderId="0" xfId="190" applyNumberFormat="1" applyFont="1" applyFill="1" applyAlignment="1"/>
    <xf numFmtId="10" fontId="44" fillId="0" borderId="0" xfId="190" applyNumberFormat="1" applyFill="1"/>
    <xf numFmtId="0" fontId="44" fillId="0" borderId="0" xfId="190" applyNumberFormat="1" applyFont="1" applyFill="1" applyAlignment="1" applyProtection="1">
      <protection locked="0"/>
    </xf>
    <xf numFmtId="170" fontId="14" fillId="0" borderId="0" xfId="0" applyNumberFormat="1" applyFont="1" applyFill="1" applyBorder="1" applyAlignment="1"/>
    <xf numFmtId="165" fontId="14" fillId="0" borderId="11" xfId="6" applyNumberFormat="1" applyFont="1" applyFill="1" applyBorder="1" applyAlignment="1" applyProtection="1">
      <protection locked="0"/>
    </xf>
    <xf numFmtId="3" fontId="0" fillId="0" borderId="0" xfId="0" applyNumberFormat="1" applyAlignment="1"/>
    <xf numFmtId="2" fontId="0" fillId="0" borderId="0" xfId="0" applyNumberFormat="1" applyAlignment="1"/>
    <xf numFmtId="177" fontId="0" fillId="0" borderId="0" xfId="2" applyNumberFormat="1" applyFont="1" applyAlignment="1"/>
    <xf numFmtId="177" fontId="0" fillId="0" borderId="0" xfId="0" applyNumberFormat="1" applyAlignment="1"/>
    <xf numFmtId="0" fontId="14" fillId="0" borderId="0" xfId="5" quotePrefix="1" applyNumberFormat="1" applyFont="1" applyFill="1" applyAlignment="1" applyProtection="1">
      <protection locked="0"/>
    </xf>
    <xf numFmtId="177" fontId="0" fillId="0" borderId="11" xfId="2" applyNumberFormat="1" applyFont="1" applyBorder="1" applyAlignment="1"/>
    <xf numFmtId="0" fontId="110" fillId="0" borderId="0" xfId="0" applyFont="1" applyFill="1" applyAlignment="1"/>
    <xf numFmtId="0" fontId="14" fillId="0" borderId="0" xfId="0" applyNumberFormat="1" applyFont="1" applyFill="1" applyBorder="1" applyAlignment="1"/>
    <xf numFmtId="0" fontId="18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/>
    <xf numFmtId="172" fontId="41" fillId="0" borderId="0" xfId="0" applyNumberFormat="1" applyFont="1" applyFill="1" applyAlignment="1">
      <alignment horizontal="center"/>
    </xf>
    <xf numFmtId="172" fontId="14" fillId="0" borderId="0" xfId="0" applyNumberFormat="1" applyFont="1" applyFill="1"/>
    <xf numFmtId="185" fontId="14" fillId="0" borderId="0" xfId="0" applyNumberFormat="1" applyFont="1" applyFill="1"/>
    <xf numFmtId="2" fontId="14" fillId="0" borderId="0" xfId="0" applyNumberFormat="1" applyFont="1" applyFill="1"/>
    <xf numFmtId="167" fontId="14" fillId="0" borderId="0" xfId="0" applyNumberFormat="1" applyFont="1" applyFill="1"/>
    <xf numFmtId="181" fontId="14" fillId="0" borderId="0" xfId="0" applyNumberFormat="1" applyFont="1" applyFill="1"/>
    <xf numFmtId="0" fontId="6" fillId="0" borderId="0" xfId="192" quotePrefix="1" applyFont="1" applyFill="1"/>
    <xf numFmtId="0" fontId="111" fillId="0" borderId="0" xfId="0" applyFont="1" applyAlignment="1"/>
    <xf numFmtId="0" fontId="111" fillId="0" borderId="11" xfId="0" applyFont="1" applyBorder="1" applyAlignment="1"/>
    <xf numFmtId="177" fontId="0" fillId="0" borderId="0" xfId="2" applyNumberFormat="1" applyFont="1" applyFill="1"/>
    <xf numFmtId="165" fontId="41" fillId="0" borderId="0" xfId="0" applyNumberFormat="1" applyFont="1" applyFill="1"/>
    <xf numFmtId="3" fontId="14" fillId="0" borderId="11" xfId="0" applyNumberFormat="1" applyFont="1" applyFill="1" applyBorder="1" applyAlignment="1"/>
    <xf numFmtId="3" fontId="14" fillId="0" borderId="11" xfId="4" applyNumberFormat="1" applyFont="1" applyFill="1" applyBorder="1" applyAlignment="1"/>
    <xf numFmtId="177" fontId="0" fillId="0" borderId="19" xfId="2" applyNumberFormat="1" applyFont="1" applyFill="1" applyBorder="1"/>
    <xf numFmtId="2" fontId="111" fillId="0" borderId="0" xfId="0" applyNumberFormat="1" applyFont="1" applyAlignment="1"/>
    <xf numFmtId="3" fontId="14" fillId="0" borderId="0" xfId="0" applyNumberFormat="1" applyFont="1" applyFill="1" applyAlignment="1" applyProtection="1">
      <protection locked="0"/>
    </xf>
    <xf numFmtId="177" fontId="14" fillId="0" borderId="11" xfId="0" applyNumberFormat="1" applyFont="1" applyFill="1" applyBorder="1" applyAlignment="1"/>
    <xf numFmtId="0" fontId="14" fillId="0" borderId="0" xfId="187" applyFont="1" applyFill="1" applyBorder="1" applyAlignment="1">
      <alignment horizontal="center"/>
    </xf>
    <xf numFmtId="0" fontId="18" fillId="0" borderId="0" xfId="187" applyFont="1" applyFill="1" applyBorder="1" applyAlignment="1">
      <alignment horizontal="center"/>
    </xf>
    <xf numFmtId="0" fontId="14" fillId="0" borderId="0" xfId="187" applyFont="1" applyFill="1" applyBorder="1"/>
    <xf numFmtId="0" fontId="14" fillId="0" borderId="0" xfId="187" applyFont="1" applyFill="1" applyBorder="1" applyAlignment="1">
      <alignment horizontal="left"/>
    </xf>
    <xf numFmtId="37" fontId="14" fillId="0" borderId="0" xfId="187" applyNumberFormat="1" applyFont="1" applyFill="1" applyBorder="1" applyAlignment="1">
      <alignment horizontal="right"/>
    </xf>
    <xf numFmtId="0" fontId="14" fillId="0" borderId="11" xfId="187" applyFont="1" applyFill="1" applyBorder="1" applyAlignment="1">
      <alignment horizontal="left"/>
    </xf>
    <xf numFmtId="37" fontId="14" fillId="0" borderId="11" xfId="187" quotePrefix="1" applyNumberFormat="1" applyFont="1" applyFill="1" applyBorder="1" applyAlignment="1">
      <alignment horizontal="right"/>
    </xf>
    <xf numFmtId="37" fontId="14" fillId="0" borderId="0" xfId="187" applyNumberFormat="1" applyFont="1" applyFill="1" applyBorder="1"/>
    <xf numFmtId="177" fontId="14" fillId="0" borderId="0" xfId="189" applyNumberFormat="1" applyFont="1" applyFill="1" applyBorder="1"/>
    <xf numFmtId="180" fontId="14" fillId="0" borderId="0" xfId="188" applyNumberFormat="1" applyFont="1" applyFill="1" applyBorder="1"/>
    <xf numFmtId="44" fontId="14" fillId="0" borderId="0" xfId="189" applyFont="1" applyFill="1" applyBorder="1"/>
    <xf numFmtId="0" fontId="14" fillId="0" borderId="0" xfId="187" quotePrefix="1" applyFont="1" applyFill="1" applyBorder="1"/>
    <xf numFmtId="180" fontId="14" fillId="0" borderId="0" xfId="187" applyNumberFormat="1" applyFont="1" applyFill="1" applyBorder="1"/>
    <xf numFmtId="170" fontId="14" fillId="0" borderId="0" xfId="187" applyNumberFormat="1" applyFont="1" applyFill="1" applyBorder="1"/>
    <xf numFmtId="0" fontId="15" fillId="0" borderId="0" xfId="187" applyFont="1" applyFill="1" applyBorder="1"/>
    <xf numFmtId="39" fontId="14" fillId="0" borderId="0" xfId="187" applyNumberFormat="1" applyFont="1" applyFill="1" applyBorder="1"/>
    <xf numFmtId="10" fontId="14" fillId="0" borderId="0" xfId="187" applyNumberFormat="1" applyFont="1" applyFill="1" applyBorder="1"/>
    <xf numFmtId="190" fontId="14" fillId="0" borderId="0" xfId="187" applyNumberFormat="1" applyFont="1" applyFill="1" applyBorder="1"/>
    <xf numFmtId="44" fontId="14" fillId="0" borderId="0" xfId="187" applyNumberFormat="1" applyFont="1" applyFill="1" applyBorder="1"/>
    <xf numFmtId="39" fontId="14" fillId="0" borderId="0" xfId="187" applyNumberFormat="1" applyFont="1" applyFill="1" applyBorder="1" applyAlignment="1">
      <alignment horizontal="right"/>
    </xf>
    <xf numFmtId="43" fontId="14" fillId="0" borderId="0" xfId="187" applyNumberFormat="1" applyFont="1" applyFill="1" applyBorder="1"/>
    <xf numFmtId="180" fontId="14" fillId="0" borderId="11" xfId="187" applyNumberFormat="1" applyFont="1" applyFill="1" applyBorder="1"/>
    <xf numFmtId="189" fontId="14" fillId="0" borderId="0" xfId="187" applyNumberFormat="1" applyFont="1" applyFill="1" applyBorder="1"/>
    <xf numFmtId="185" fontId="18" fillId="0" borderId="0" xfId="187" applyNumberFormat="1" applyFont="1" applyFill="1" applyBorder="1" applyAlignment="1">
      <alignment horizontal="center"/>
    </xf>
    <xf numFmtId="186" fontId="14" fillId="0" borderId="0" xfId="187" quotePrefix="1" applyNumberFormat="1" applyFont="1" applyFill="1" applyBorder="1"/>
    <xf numFmtId="186" fontId="14" fillId="0" borderId="0" xfId="187" applyNumberFormat="1" applyFont="1" applyFill="1" applyBorder="1"/>
    <xf numFmtId="7" fontId="14" fillId="0" borderId="0" xfId="187" applyNumberFormat="1" applyFont="1" applyFill="1" applyBorder="1"/>
    <xf numFmtId="37" fontId="14" fillId="0" borderId="0" xfId="187" quotePrefix="1" applyNumberFormat="1" applyFont="1" applyFill="1" applyBorder="1"/>
    <xf numFmtId="44" fontId="127" fillId="0" borderId="0" xfId="2" applyFont="1" applyFill="1"/>
    <xf numFmtId="0" fontId="0" fillId="0" borderId="0" xfId="0" applyFill="1"/>
    <xf numFmtId="0" fontId="64" fillId="0" borderId="0" xfId="0" applyFont="1" applyFill="1"/>
    <xf numFmtId="0" fontId="63" fillId="0" borderId="0" xfId="0" applyFont="1" applyFill="1"/>
    <xf numFmtId="0" fontId="0" fillId="0" borderId="19" xfId="0" applyFill="1" applyBorder="1"/>
    <xf numFmtId="0" fontId="62" fillId="0" borderId="0" xfId="0" applyFont="1" applyFill="1" applyAlignment="1">
      <alignment horizontal="center"/>
    </xf>
    <xf numFmtId="0" fontId="0" fillId="0" borderId="11" xfId="0" applyFill="1" applyBorder="1"/>
    <xf numFmtId="177" fontId="0" fillId="0" borderId="20" xfId="2" applyNumberFormat="1" applyFont="1" applyFill="1" applyBorder="1"/>
    <xf numFmtId="0" fontId="12" fillId="0" borderId="19" xfId="192" applyFill="1" applyBorder="1"/>
    <xf numFmtId="177" fontId="62" fillId="0" borderId="0" xfId="2" applyNumberFormat="1" applyFont="1" applyFill="1" applyAlignment="1">
      <alignment horizontal="center"/>
    </xf>
    <xf numFmtId="177" fontId="0" fillId="0" borderId="0" xfId="194" applyNumberFormat="1" applyFont="1" applyFill="1"/>
    <xf numFmtId="44" fontId="0" fillId="0" borderId="0" xfId="0" applyNumberFormat="1" applyFill="1"/>
    <xf numFmtId="177" fontId="0" fillId="0" borderId="11" xfId="2" applyNumberFormat="1" applyFont="1" applyFill="1" applyBorder="1"/>
    <xf numFmtId="177" fontId="0" fillId="0" borderId="0" xfId="0" applyNumberFormat="1" applyFill="1"/>
    <xf numFmtId="177" fontId="0" fillId="0" borderId="19" xfId="0" applyNumberFormat="1" applyFill="1" applyBorder="1"/>
    <xf numFmtId="43" fontId="0" fillId="0" borderId="0" xfId="1" applyFont="1" applyFill="1"/>
    <xf numFmtId="0" fontId="130" fillId="0" borderId="0" xfId="192" applyFont="1" applyFill="1"/>
    <xf numFmtId="0" fontId="12" fillId="0" borderId="0" xfId="192" applyFill="1" applyAlignment="1">
      <alignment horizontal="center"/>
    </xf>
    <xf numFmtId="0" fontId="15" fillId="0" borderId="0" xfId="0" applyNumberFormat="1" applyFont="1" applyFill="1" applyAlignment="1"/>
    <xf numFmtId="0" fontId="16" fillId="0" borderId="0" xfId="0" applyNumberFormat="1" applyFont="1" applyFill="1" applyAlignment="1"/>
    <xf numFmtId="0" fontId="14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center"/>
    </xf>
    <xf numFmtId="3" fontId="41" fillId="0" borderId="0" xfId="0" applyNumberFormat="1" applyFont="1" applyFill="1" applyAlignment="1"/>
    <xf numFmtId="5" fontId="14" fillId="0" borderId="0" xfId="0" applyNumberFormat="1" applyFont="1" applyFill="1" applyAlignment="1"/>
    <xf numFmtId="165" fontId="14" fillId="0" borderId="0" xfId="0" applyNumberFormat="1" applyFont="1" applyFill="1" applyAlignment="1"/>
    <xf numFmtId="37" fontId="14" fillId="0" borderId="0" xfId="0" applyNumberFormat="1" applyFont="1" applyFill="1" applyAlignment="1"/>
    <xf numFmtId="0" fontId="14" fillId="0" borderId="10" xfId="0" applyNumberFormat="1" applyFont="1" applyFill="1" applyBorder="1" applyAlignment="1"/>
    <xf numFmtId="165" fontId="14" fillId="0" borderId="10" xfId="0" applyNumberFormat="1" applyFont="1" applyFill="1" applyBorder="1" applyAlignment="1"/>
    <xf numFmtId="5" fontId="41" fillId="0" borderId="10" xfId="0" applyNumberFormat="1" applyFont="1" applyFill="1" applyBorder="1" applyAlignment="1"/>
    <xf numFmtId="0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right"/>
    </xf>
    <xf numFmtId="165" fontId="13" fillId="0" borderId="0" xfId="0" applyNumberFormat="1" applyFont="1" applyFill="1" applyAlignment="1"/>
    <xf numFmtId="183" fontId="14" fillId="0" borderId="0" xfId="0" applyNumberFormat="1" applyFont="1" applyFill="1" applyAlignment="1"/>
    <xf numFmtId="171" fontId="14" fillId="0" borderId="0" xfId="0" applyNumberFormat="1" applyFont="1" applyFill="1" applyAlignment="1"/>
    <xf numFmtId="168" fontId="14" fillId="0" borderId="0" xfId="0" applyNumberFormat="1" applyFont="1" applyFill="1" applyAlignment="1"/>
    <xf numFmtId="3" fontId="14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/>
    <xf numFmtId="3" fontId="14" fillId="0" borderId="10" xfId="0" applyNumberFormat="1" applyFont="1" applyFill="1" applyBorder="1" applyAlignment="1"/>
    <xf numFmtId="167" fontId="14" fillId="0" borderId="0" xfId="0" applyNumberFormat="1" applyFont="1" applyFill="1" applyAlignment="1"/>
    <xf numFmtId="0" fontId="109" fillId="0" borderId="0" xfId="0" applyNumberFormat="1" applyFont="1" applyFill="1" applyAlignment="1"/>
    <xf numFmtId="37" fontId="14" fillId="0" borderId="0" xfId="0" applyNumberFormat="1" applyFont="1" applyFill="1" applyBorder="1" applyAlignment="1"/>
    <xf numFmtId="170" fontId="41" fillId="0" borderId="0" xfId="0" applyNumberFormat="1" applyFont="1" applyFill="1" applyAlignment="1"/>
    <xf numFmtId="170" fontId="14" fillId="0" borderId="12" xfId="0" applyNumberFormat="1" applyFont="1" applyFill="1" applyBorder="1" applyAlignment="1"/>
    <xf numFmtId="10" fontId="41" fillId="0" borderId="0" xfId="0" applyNumberFormat="1" applyFont="1" applyFill="1" applyBorder="1" applyAlignment="1"/>
    <xf numFmtId="0" fontId="14" fillId="0" borderId="0" xfId="0" applyNumberFormat="1" applyFont="1" applyFill="1" applyAlignment="1">
      <alignment horizontal="right"/>
    </xf>
    <xf numFmtId="170" fontId="14" fillId="0" borderId="11" xfId="0" applyNumberFormat="1" applyFont="1" applyFill="1" applyBorder="1" applyAlignment="1"/>
    <xf numFmtId="3" fontId="14" fillId="0" borderId="0" xfId="0" applyNumberFormat="1" applyFont="1" applyFill="1" applyAlignment="1">
      <alignment horizontal="right"/>
    </xf>
    <xf numFmtId="165" fontId="14" fillId="0" borderId="0" xfId="0" applyNumberFormat="1" applyFont="1" applyFill="1" applyAlignment="1">
      <alignment horizontal="right"/>
    </xf>
    <xf numFmtId="3" fontId="13" fillId="0" borderId="10" xfId="0" applyNumberFormat="1" applyFont="1" applyFill="1" applyBorder="1" applyAlignment="1"/>
    <xf numFmtId="177" fontId="14" fillId="0" borderId="0" xfId="2" applyNumberFormat="1" applyFont="1" applyFill="1" applyAlignment="1"/>
    <xf numFmtId="0" fontId="15" fillId="0" borderId="0" xfId="0" applyNumberFormat="1" applyFont="1" applyFill="1" applyAlignment="1">
      <alignment horizontal="right"/>
    </xf>
    <xf numFmtId="37" fontId="13" fillId="0" borderId="0" xfId="0" applyNumberFormat="1" applyFont="1" applyFill="1" applyAlignment="1"/>
    <xf numFmtId="0" fontId="41" fillId="0" borderId="0" xfId="0" applyFont="1" applyFill="1" applyAlignment="1"/>
    <xf numFmtId="3" fontId="41" fillId="0" borderId="11" xfId="0" applyNumberFormat="1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 applyAlignment="1">
      <alignment horizontal="right"/>
    </xf>
    <xf numFmtId="3" fontId="18" fillId="0" borderId="0" xfId="0" applyNumberFormat="1" applyFont="1" applyFill="1" applyAlignment="1">
      <alignment horizontal="center"/>
    </xf>
    <xf numFmtId="180" fontId="14" fillId="0" borderId="0" xfId="1" applyNumberFormat="1" applyFont="1" applyFill="1" applyAlignment="1"/>
    <xf numFmtId="10" fontId="14" fillId="0" borderId="0" xfId="3" applyNumberFormat="1" applyFont="1" applyFill="1" applyAlignment="1"/>
    <xf numFmtId="0" fontId="18" fillId="0" borderId="0" xfId="5" applyNumberFormat="1" applyFont="1" applyFill="1" applyAlignment="1"/>
    <xf numFmtId="0" fontId="18" fillId="0" borderId="0" xfId="5" applyNumberFormat="1" applyFont="1" applyFill="1" applyAlignment="1">
      <alignment horizontal="center"/>
    </xf>
    <xf numFmtId="0" fontId="18" fillId="0" borderId="0" xfId="5" applyNumberFormat="1" applyFont="1" applyFill="1" applyBorder="1" applyAlignment="1" applyProtection="1">
      <alignment horizontal="center"/>
      <protection locked="0"/>
    </xf>
    <xf numFmtId="165" fontId="41" fillId="0" borderId="0" xfId="5" applyNumberFormat="1" applyFont="1" applyFill="1"/>
    <xf numFmtId="5" fontId="14" fillId="0" borderId="0" xfId="5" applyNumberFormat="1" applyFont="1" applyFill="1"/>
    <xf numFmtId="5" fontId="14" fillId="0" borderId="0" xfId="5" applyNumberFormat="1" applyFont="1" applyFill="1" applyProtection="1">
      <protection locked="0"/>
    </xf>
    <xf numFmtId="3" fontId="41" fillId="0" borderId="0" xfId="5" applyFont="1" applyFill="1"/>
    <xf numFmtId="3" fontId="41" fillId="0" borderId="11" xfId="5" applyFont="1" applyFill="1" applyBorder="1"/>
    <xf numFmtId="165" fontId="14" fillId="0" borderId="11" xfId="5" applyNumberFormat="1" applyFont="1" applyFill="1" applyBorder="1"/>
    <xf numFmtId="0" fontId="14" fillId="0" borderId="11" xfId="5" applyNumberFormat="1" applyFont="1" applyFill="1" applyBorder="1" applyAlignment="1" applyProtection="1">
      <protection locked="0"/>
    </xf>
    <xf numFmtId="0" fontId="14" fillId="0" borderId="10" xfId="5" applyNumberFormat="1" applyFont="1" applyFill="1" applyBorder="1" applyAlignment="1"/>
    <xf numFmtId="0" fontId="14" fillId="0" borderId="10" xfId="5" applyNumberFormat="1" applyFont="1" applyFill="1" applyBorder="1" applyProtection="1">
      <protection locked="0"/>
    </xf>
    <xf numFmtId="165" fontId="41" fillId="0" borderId="10" xfId="5" applyNumberFormat="1" applyFont="1" applyFill="1" applyBorder="1"/>
    <xf numFmtId="165" fontId="14" fillId="0" borderId="10" xfId="5" applyNumberFormat="1" applyFont="1" applyFill="1" applyBorder="1"/>
    <xf numFmtId="0" fontId="14" fillId="0" borderId="0" xfId="5" applyNumberFormat="1" applyFont="1" applyFill="1" applyAlignment="1" applyProtection="1">
      <alignment horizontal="right"/>
      <protection locked="0"/>
    </xf>
    <xf numFmtId="3" fontId="41" fillId="0" borderId="0" xfId="5" applyNumberFormat="1" applyFont="1" applyFill="1"/>
    <xf numFmtId="3" fontId="41" fillId="0" borderId="11" xfId="5" applyNumberFormat="1" applyFont="1" applyFill="1" applyBorder="1"/>
    <xf numFmtId="0" fontId="14" fillId="0" borderId="0" xfId="5" applyNumberFormat="1" applyFont="1" applyFill="1" applyAlignment="1">
      <alignment horizontal="right"/>
    </xf>
    <xf numFmtId="0" fontId="14" fillId="0" borderId="0" xfId="5" applyNumberFormat="1" applyFont="1" applyFill="1" applyAlignment="1" applyProtection="1"/>
    <xf numFmtId="165" fontId="14" fillId="0" borderId="0" xfId="5" applyNumberFormat="1" applyFont="1" applyFill="1" applyBorder="1" applyAlignment="1">
      <alignment horizontal="center"/>
    </xf>
    <xf numFmtId="165" fontId="18" fillId="0" borderId="0" xfId="5" applyNumberFormat="1" applyFont="1" applyFill="1" applyBorder="1" applyAlignment="1">
      <alignment horizontal="center"/>
    </xf>
    <xf numFmtId="182" fontId="14" fillId="0" borderId="0" xfId="1" applyNumberFormat="1" applyFont="1" applyFill="1"/>
    <xf numFmtId="167" fontId="14" fillId="0" borderId="0" xfId="5" applyNumberFormat="1" applyFont="1" applyFill="1"/>
    <xf numFmtId="165" fontId="14" fillId="0" borderId="0" xfId="5" applyNumberFormat="1" applyFont="1" applyFill="1" applyBorder="1"/>
    <xf numFmtId="0" fontId="14" fillId="0" borderId="0" xfId="5" quotePrefix="1" applyNumberFormat="1" applyFont="1" applyFill="1" applyAlignment="1" applyProtection="1">
      <alignment horizontal="center"/>
      <protection locked="0"/>
    </xf>
    <xf numFmtId="171" fontId="14" fillId="0" borderId="0" xfId="5" applyNumberFormat="1" applyFont="1" applyFill="1" applyAlignment="1">
      <alignment horizontal="center"/>
    </xf>
    <xf numFmtId="171" fontId="14" fillId="0" borderId="11" xfId="5" applyNumberFormat="1" applyFont="1" applyFill="1" applyBorder="1" applyAlignment="1">
      <alignment horizontal="center"/>
    </xf>
    <xf numFmtId="3" fontId="18" fillId="0" borderId="0" xfId="5" applyFont="1" applyFill="1" applyAlignment="1">
      <alignment horizontal="center"/>
    </xf>
    <xf numFmtId="38" fontId="41" fillId="0" borderId="0" xfId="5" applyNumberFormat="1" applyFont="1" applyFill="1" applyAlignment="1" applyProtection="1">
      <protection locked="0"/>
    </xf>
    <xf numFmtId="0" fontId="14" fillId="0" borderId="10" xfId="5" applyNumberFormat="1" applyFont="1" applyFill="1" applyBorder="1"/>
    <xf numFmtId="3" fontId="14" fillId="0" borderId="10" xfId="5" applyFont="1" applyFill="1" applyBorder="1"/>
    <xf numFmtId="43" fontId="14" fillId="0" borderId="0" xfId="1" applyFont="1" applyFill="1" applyProtection="1">
      <protection locked="0"/>
    </xf>
    <xf numFmtId="171" fontId="41" fillId="0" borderId="0" xfId="5" applyNumberFormat="1" applyFont="1" applyFill="1"/>
    <xf numFmtId="10" fontId="41" fillId="0" borderId="0" xfId="5" applyNumberFormat="1" applyFont="1" applyFill="1"/>
    <xf numFmtId="0" fontId="14" fillId="0" borderId="11" xfId="5" applyNumberFormat="1" applyFont="1" applyFill="1" applyBorder="1" applyAlignment="1"/>
    <xf numFmtId="3" fontId="14" fillId="0" borderId="11" xfId="5" applyFont="1" applyFill="1" applyBorder="1"/>
    <xf numFmtId="170" fontId="14" fillId="0" borderId="11" xfId="5" applyNumberFormat="1" applyFont="1" applyFill="1" applyBorder="1"/>
    <xf numFmtId="0" fontId="18" fillId="0" borderId="0" xfId="5" applyNumberFormat="1" applyFont="1" applyFill="1" applyAlignment="1" applyProtection="1">
      <protection locked="0"/>
    </xf>
    <xf numFmtId="3" fontId="41" fillId="0" borderId="0" xfId="5" applyNumberFormat="1" applyFont="1" applyFill="1" applyAlignment="1" applyProtection="1">
      <protection locked="0"/>
    </xf>
    <xf numFmtId="171" fontId="14" fillId="0" borderId="0" xfId="5" applyNumberFormat="1" applyFont="1" applyFill="1" applyAlignment="1" applyProtection="1">
      <protection locked="0"/>
    </xf>
    <xf numFmtId="0" fontId="13" fillId="0" borderId="0" xfId="4" applyNumberFormat="1" applyFont="1" applyFill="1" applyAlignment="1">
      <alignment horizontal="centerContinuous"/>
    </xf>
    <xf numFmtId="164" fontId="13" fillId="0" borderId="0" xfId="4" applyNumberFormat="1" applyFont="1" applyFill="1" applyAlignment="1">
      <alignment horizontal="centerContinuous"/>
    </xf>
    <xf numFmtId="0" fontId="14" fillId="0" borderId="0" xfId="4" applyNumberFormat="1" applyFont="1" applyFill="1" applyAlignment="1">
      <alignment horizontal="center"/>
    </xf>
    <xf numFmtId="0" fontId="18" fillId="0" borderId="0" xfId="4" applyNumberFormat="1" applyFont="1" applyFill="1" applyAlignment="1">
      <alignment horizontal="center"/>
    </xf>
    <xf numFmtId="0" fontId="14" fillId="0" borderId="0" xfId="4" quotePrefix="1" applyNumberFormat="1" applyFont="1" applyFill="1" applyAlignment="1">
      <alignment horizontal="center"/>
    </xf>
    <xf numFmtId="2" fontId="14" fillId="0" borderId="0" xfId="4" applyNumberFormat="1" applyFont="1" applyFill="1" applyAlignment="1"/>
    <xf numFmtId="165" fontId="41" fillId="0" borderId="0" xfId="4" applyNumberFormat="1" applyFont="1" applyFill="1"/>
    <xf numFmtId="165" fontId="14" fillId="0" borderId="0" xfId="4" applyNumberFormat="1" applyFont="1" applyFill="1" applyAlignment="1"/>
    <xf numFmtId="181" fontId="14" fillId="0" borderId="0" xfId="4" applyNumberFormat="1" applyFont="1" applyFill="1" applyAlignment="1"/>
    <xf numFmtId="165" fontId="41" fillId="0" borderId="11" xfId="4" applyNumberFormat="1" applyFont="1" applyFill="1" applyBorder="1"/>
    <xf numFmtId="0" fontId="14" fillId="0" borderId="0" xfId="4" applyNumberFormat="1" applyFont="1" applyFill="1" applyBorder="1" applyAlignment="1"/>
    <xf numFmtId="0" fontId="14" fillId="0" borderId="0" xfId="4" applyNumberFormat="1" applyFont="1" applyFill="1" applyAlignment="1">
      <alignment horizontal="center" wrapText="1"/>
    </xf>
    <xf numFmtId="0" fontId="18" fillId="0" borderId="0" xfId="4" applyNumberFormat="1" applyFont="1" applyFill="1" applyAlignment="1"/>
    <xf numFmtId="0" fontId="14" fillId="0" borderId="0" xfId="4" applyNumberFormat="1" applyFont="1" applyFill="1" applyBorder="1" applyAlignment="1">
      <alignment horizontal="center" wrapText="1"/>
    </xf>
    <xf numFmtId="170" fontId="14" fillId="0" borderId="0" xfId="2" applyNumberFormat="1" applyFont="1" applyFill="1" applyAlignment="1">
      <alignment horizontal="center"/>
    </xf>
    <xf numFmtId="10" fontId="14" fillId="0" borderId="0" xfId="3" applyNumberFormat="1" applyFont="1" applyFill="1" applyBorder="1" applyAlignment="1">
      <alignment horizontal="center"/>
    </xf>
    <xf numFmtId="7" fontId="14" fillId="0" borderId="0" xfId="2" applyNumberFormat="1" applyFont="1" applyFill="1" applyAlignment="1"/>
    <xf numFmtId="170" fontId="14" fillId="0" borderId="0" xfId="4" applyNumberFormat="1" applyFont="1" applyFill="1" applyBorder="1" applyAlignment="1">
      <alignment horizontal="center"/>
    </xf>
    <xf numFmtId="7" fontId="14" fillId="0" borderId="0" xfId="4" applyNumberFormat="1" applyFont="1" applyFill="1" applyAlignment="1">
      <alignment horizontal="center"/>
    </xf>
    <xf numFmtId="10" fontId="14" fillId="0" borderId="0" xfId="3" applyNumberFormat="1" applyFont="1" applyFill="1" applyBorder="1" applyAlignment="1"/>
    <xf numFmtId="44" fontId="14" fillId="0" borderId="0" xfId="2" applyFont="1" applyFill="1" applyAlignment="1"/>
    <xf numFmtId="178" fontId="14" fillId="0" borderId="0" xfId="4" applyNumberFormat="1" applyFont="1" applyFill="1" applyAlignment="1"/>
    <xf numFmtId="0" fontId="14" fillId="0" borderId="0" xfId="4" applyNumberFormat="1" applyFont="1" applyFill="1" applyBorder="1" applyAlignment="1">
      <alignment horizontal="center" wrapText="1" shrinkToFit="1"/>
    </xf>
    <xf numFmtId="167" fontId="14" fillId="0" borderId="0" xfId="4" applyNumberFormat="1" applyFont="1" applyFill="1" applyAlignment="1"/>
    <xf numFmtId="0" fontId="14" fillId="0" borderId="0" xfId="4" applyNumberFormat="1" applyFont="1" applyFill="1" applyAlignment="1">
      <alignment horizontal="right"/>
    </xf>
    <xf numFmtId="10" fontId="14" fillId="0" borderId="0" xfId="4" applyNumberFormat="1" applyFont="1" applyFill="1" applyAlignment="1"/>
    <xf numFmtId="171" fontId="14" fillId="0" borderId="0" xfId="4" applyNumberFormat="1" applyFont="1" applyFill="1" applyAlignment="1"/>
    <xf numFmtId="0" fontId="14" fillId="0" borderId="0" xfId="4" applyNumberFormat="1" applyFont="1" applyFill="1" applyAlignment="1">
      <alignment horizontal="left"/>
    </xf>
    <xf numFmtId="170" fontId="14" fillId="0" borderId="0" xfId="4" applyNumberFormat="1" applyFont="1" applyFill="1" applyAlignment="1"/>
    <xf numFmtId="5" fontId="14" fillId="0" borderId="0" xfId="4" applyNumberFormat="1" applyFont="1" applyFill="1" applyBorder="1" applyAlignment="1"/>
    <xf numFmtId="5" fontId="14" fillId="0" borderId="11" xfId="4" applyNumberFormat="1" applyFont="1" applyFill="1" applyBorder="1" applyAlignment="1"/>
    <xf numFmtId="5" fontId="14" fillId="0" borderId="0" xfId="4" applyNumberFormat="1" applyFont="1" applyFill="1" applyAlignment="1"/>
    <xf numFmtId="0" fontId="14" fillId="0" borderId="0" xfId="4" applyNumberFormat="1" applyFont="1" applyFill="1" applyAlignment="1">
      <alignment horizontal="left" indent="1"/>
    </xf>
    <xf numFmtId="3" fontId="41" fillId="0" borderId="0" xfId="4" applyNumberFormat="1" applyFont="1" applyFill="1" applyAlignment="1"/>
    <xf numFmtId="7" fontId="14" fillId="0" borderId="0" xfId="4" applyNumberFormat="1" applyFont="1" applyFill="1" applyAlignment="1"/>
    <xf numFmtId="43" fontId="14" fillId="0" borderId="0" xfId="1" applyFont="1" applyFill="1" applyAlignment="1"/>
    <xf numFmtId="180" fontId="14" fillId="0" borderId="0" xfId="1" applyNumberFormat="1" applyFont="1" applyFill="1" applyAlignment="1" applyProtection="1">
      <protection locked="0"/>
    </xf>
    <xf numFmtId="3" fontId="14" fillId="0" borderId="0" xfId="5" applyFont="1" applyFill="1" applyAlignment="1">
      <alignment horizontal="center"/>
    </xf>
    <xf numFmtId="165" fontId="18" fillId="0" borderId="0" xfId="5" applyNumberFormat="1" applyFont="1" applyFill="1" applyAlignment="1">
      <alignment horizontal="center"/>
    </xf>
    <xf numFmtId="170" fontId="14" fillId="0" borderId="0" xfId="5" applyNumberFormat="1" applyFont="1" applyFill="1" applyAlignment="1">
      <alignment horizontal="center"/>
    </xf>
    <xf numFmtId="170" fontId="18" fillId="0" borderId="0" xfId="5" applyNumberFormat="1" applyFont="1" applyFill="1" applyAlignment="1">
      <alignment horizontal="center"/>
    </xf>
    <xf numFmtId="0" fontId="15" fillId="0" borderId="0" xfId="5" applyNumberFormat="1" applyFont="1" applyFill="1" applyAlignment="1" applyProtection="1">
      <protection locked="0"/>
    </xf>
    <xf numFmtId="0" fontId="15" fillId="0" borderId="0" xfId="0" applyFont="1" applyFill="1" applyAlignment="1"/>
    <xf numFmtId="0" fontId="14" fillId="0" borderId="0" xfId="6" applyNumberFormat="1" applyFont="1" applyFill="1" applyAlignment="1">
      <alignment horizontal="center"/>
    </xf>
    <xf numFmtId="0" fontId="16" fillId="0" borderId="0" xfId="6" applyNumberFormat="1" applyFont="1" applyFill="1" applyAlignment="1"/>
    <xf numFmtId="0" fontId="18" fillId="0" borderId="0" xfId="6" applyNumberFormat="1" applyFont="1" applyFill="1" applyAlignment="1"/>
    <xf numFmtId="0" fontId="14" fillId="0" borderId="0" xfId="6" applyNumberFormat="1" applyFont="1" applyFill="1" applyProtection="1">
      <protection locked="0"/>
    </xf>
    <xf numFmtId="0" fontId="18" fillId="0" borderId="0" xfId="6" applyNumberFormat="1" applyFont="1" applyFill="1" applyBorder="1" applyAlignment="1" applyProtection="1">
      <alignment horizontal="center"/>
      <protection locked="0"/>
    </xf>
    <xf numFmtId="0" fontId="18" fillId="0" borderId="0" xfId="6" applyNumberFormat="1" applyFont="1" applyFill="1" applyAlignment="1" applyProtection="1">
      <protection locked="0"/>
    </xf>
    <xf numFmtId="0" fontId="14" fillId="0" borderId="11" xfId="0" applyFont="1" applyFill="1" applyBorder="1" applyAlignment="1"/>
    <xf numFmtId="0" fontId="18" fillId="0" borderId="0" xfId="0" applyFont="1" applyFill="1" applyAlignment="1"/>
    <xf numFmtId="0" fontId="16" fillId="0" borderId="0" xfId="0" applyFont="1" applyFill="1" applyAlignment="1"/>
    <xf numFmtId="165" fontId="14" fillId="0" borderId="11" xfId="0" applyNumberFormat="1" applyFont="1" applyFill="1" applyBorder="1" applyAlignment="1"/>
    <xf numFmtId="0" fontId="16" fillId="0" borderId="0" xfId="5" applyNumberFormat="1" applyFont="1" applyFill="1" applyAlignment="1" applyProtection="1">
      <protection locked="0"/>
    </xf>
    <xf numFmtId="38" fontId="41" fillId="0" borderId="0" xfId="0" applyNumberFormat="1" applyFont="1" applyFill="1" applyAlignment="1"/>
    <xf numFmtId="38" fontId="14" fillId="0" borderId="0" xfId="0" applyNumberFormat="1" applyFont="1" applyFill="1" applyAlignment="1"/>
    <xf numFmtId="185" fontId="14" fillId="0" borderId="0" xfId="0" applyNumberFormat="1" applyFont="1" applyFill="1" applyAlignment="1"/>
    <xf numFmtId="9" fontId="14" fillId="0" borderId="0" xfId="3" applyFont="1" applyFill="1" applyAlignment="1"/>
    <xf numFmtId="177" fontId="14" fillId="0" borderId="0" xfId="0" applyNumberFormat="1" applyFont="1" applyFill="1" applyAlignment="1"/>
    <xf numFmtId="44" fontId="41" fillId="0" borderId="0" xfId="2" applyFont="1" applyFill="1" applyAlignment="1"/>
    <xf numFmtId="177" fontId="14" fillId="0" borderId="0" xfId="0" applyNumberFormat="1" applyFont="1" applyFill="1" applyBorder="1" applyAlignment="1"/>
    <xf numFmtId="177" fontId="14" fillId="0" borderId="11" xfId="2" applyNumberFormat="1" applyFont="1" applyFill="1" applyBorder="1" applyAlignment="1"/>
    <xf numFmtId="199" fontId="14" fillId="0" borderId="0" xfId="1" applyNumberFormat="1" applyFont="1" applyFill="1" applyAlignment="1"/>
    <xf numFmtId="180" fontId="14" fillId="0" borderId="0" xfId="0" applyNumberFormat="1" applyFont="1" applyFill="1" applyAlignment="1"/>
    <xf numFmtId="180" fontId="14" fillId="0" borderId="11" xfId="0" applyNumberFormat="1" applyFont="1" applyFill="1" applyBorder="1" applyAlignment="1"/>
    <xf numFmtId="197" fontId="14" fillId="0" borderId="0" xfId="3" applyNumberFormat="1" applyFont="1" applyFill="1" applyAlignment="1">
      <alignment horizontal="center"/>
    </xf>
    <xf numFmtId="199" fontId="14" fillId="0" borderId="0" xfId="0" applyNumberFormat="1" applyFont="1" applyFill="1" applyAlignment="1"/>
    <xf numFmtId="43" fontId="14" fillId="0" borderId="0" xfId="0" applyNumberFormat="1" applyFont="1" applyFill="1" applyAlignment="1"/>
    <xf numFmtId="177" fontId="14" fillId="0" borderId="0" xfId="2" applyNumberFormat="1" applyFont="1" applyFill="1" applyBorder="1" applyAlignment="1"/>
    <xf numFmtId="3" fontId="41" fillId="0" borderId="0" xfId="0" applyNumberFormat="1" applyFont="1" applyFill="1"/>
    <xf numFmtId="165" fontId="14" fillId="0" borderId="0" xfId="0" applyNumberFormat="1" applyFont="1" applyFill="1" applyAlignment="1" applyProtection="1">
      <protection locked="0"/>
    </xf>
    <xf numFmtId="0" fontId="0" fillId="0" borderId="0" xfId="0" applyNumberFormat="1" applyFont="1" applyFill="1" applyAlignment="1" applyProtection="1">
      <protection locked="0"/>
    </xf>
    <xf numFmtId="170" fontId="14" fillId="0" borderId="0" xfId="0" applyNumberFormat="1" applyFont="1" applyFill="1" applyAlignment="1">
      <alignment horizontal="right"/>
    </xf>
    <xf numFmtId="170" fontId="41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4" fillId="0" borderId="0" xfId="0" applyNumberFormat="1" applyFont="1" applyFill="1" applyAlignment="1" applyProtection="1">
      <alignment horizontal="right"/>
      <protection locked="0"/>
    </xf>
    <xf numFmtId="3" fontId="14" fillId="0" borderId="10" xfId="0" applyNumberFormat="1" applyFont="1" applyFill="1" applyBorder="1"/>
    <xf numFmtId="170" fontId="14" fillId="0" borderId="0" xfId="0" applyNumberFormat="1" applyFont="1" applyFill="1" applyAlignment="1" applyProtection="1">
      <protection locked="0"/>
    </xf>
    <xf numFmtId="9" fontId="14" fillId="0" borderId="0" xfId="0" applyNumberFormat="1" applyFont="1" applyFill="1"/>
    <xf numFmtId="169" fontId="41" fillId="0" borderId="0" xfId="0" quotePrefix="1" applyNumberFormat="1" applyFont="1" applyFill="1" applyAlignment="1">
      <alignment horizontal="center"/>
    </xf>
    <xf numFmtId="37" fontId="14" fillId="0" borderId="0" xfId="0" applyNumberFormat="1" applyFont="1" applyFill="1"/>
    <xf numFmtId="173" fontId="41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 applyProtection="1">
      <alignment horizontal="center"/>
      <protection locked="0"/>
    </xf>
    <xf numFmtId="186" fontId="14" fillId="0" borderId="0" xfId="0" applyNumberFormat="1" applyFont="1" applyFill="1" applyAlignment="1">
      <alignment horizontal="center"/>
    </xf>
    <xf numFmtId="171" fontId="14" fillId="0" borderId="0" xfId="0" applyNumberFormat="1" applyFont="1" applyFill="1" applyAlignment="1" applyProtection="1">
      <protection locked="0"/>
    </xf>
    <xf numFmtId="0" fontId="128" fillId="0" borderId="0" xfId="0" applyFont="1" applyFill="1" applyAlignment="1"/>
    <xf numFmtId="0" fontId="129" fillId="0" borderId="0" xfId="0" applyFont="1" applyFill="1" applyAlignment="1">
      <alignment horizontal="center"/>
    </xf>
    <xf numFmtId="0" fontId="128" fillId="0" borderId="0" xfId="0" applyNumberFormat="1" applyFont="1" applyFill="1" applyAlignment="1" applyProtection="1">
      <protection locked="0"/>
    </xf>
    <xf numFmtId="183" fontId="14" fillId="0" borderId="0" xfId="0" applyNumberFormat="1" applyFont="1" applyFill="1"/>
    <xf numFmtId="0" fontId="18" fillId="0" borderId="0" xfId="0" applyNumberFormat="1" applyFont="1" applyFill="1" applyAlignment="1"/>
    <xf numFmtId="0" fontId="14" fillId="0" borderId="0" xfId="0" applyNumberFormat="1" applyFont="1" applyFill="1"/>
    <xf numFmtId="3" fontId="14" fillId="0" borderId="11" xfId="0" applyNumberFormat="1" applyFont="1" applyFill="1" applyBorder="1"/>
    <xf numFmtId="0" fontId="14" fillId="0" borderId="0" xfId="0" applyNumberFormat="1" applyFont="1" applyFill="1" applyAlignment="1">
      <alignment horizontal="left"/>
    </xf>
    <xf numFmtId="0" fontId="128" fillId="0" borderId="0" xfId="0" applyNumberFormat="1" applyFont="1" applyFill="1" applyAlignment="1"/>
    <xf numFmtId="0" fontId="129" fillId="0" borderId="0" xfId="0" applyNumberFormat="1" applyFont="1" applyFill="1" applyAlignment="1"/>
    <xf numFmtId="0" fontId="129" fillId="0" borderId="0" xfId="0" applyNumberFormat="1" applyFont="1" applyFill="1" applyAlignment="1">
      <alignment horizontal="center"/>
    </xf>
    <xf numFmtId="0" fontId="128" fillId="0" borderId="0" xfId="0" applyNumberFormat="1" applyFont="1" applyFill="1"/>
    <xf numFmtId="0" fontId="14" fillId="0" borderId="11" xfId="0" applyNumberFormat="1" applyFont="1" applyFill="1" applyBorder="1" applyAlignment="1"/>
    <xf numFmtId="198" fontId="14" fillId="0" borderId="0" xfId="0" applyNumberFormat="1" applyFont="1" applyFill="1" applyAlignment="1"/>
    <xf numFmtId="8" fontId="14" fillId="0" borderId="0" xfId="0" applyNumberFormat="1" applyFont="1" applyFill="1" applyAlignment="1"/>
    <xf numFmtId="0" fontId="41" fillId="0" borderId="0" xfId="0" applyNumberFormat="1" applyFont="1" applyFill="1" applyAlignment="1"/>
    <xf numFmtId="4" fontId="14" fillId="0" borderId="0" xfId="0" applyNumberFormat="1" applyFont="1" applyFill="1" applyBorder="1"/>
    <xf numFmtId="185" fontId="14" fillId="0" borderId="0" xfId="0" applyNumberFormat="1" applyFont="1" applyFill="1" applyBorder="1"/>
    <xf numFmtId="2" fontId="14" fillId="0" borderId="0" xfId="0" applyNumberFormat="1" applyFont="1" applyFill="1" applyBorder="1"/>
    <xf numFmtId="183" fontId="14" fillId="0" borderId="0" xfId="0" applyNumberFormat="1" applyFont="1" applyFill="1" applyBorder="1"/>
    <xf numFmtId="170" fontId="14" fillId="0" borderId="0" xfId="0" applyNumberFormat="1" applyFont="1" applyFill="1" applyBorder="1"/>
    <xf numFmtId="167" fontId="14" fillId="0" borderId="0" xfId="0" applyNumberFormat="1" applyFont="1" applyFill="1" applyBorder="1"/>
    <xf numFmtId="172" fontId="14" fillId="0" borderId="0" xfId="0" applyNumberFormat="1" applyFont="1" applyFill="1" applyBorder="1"/>
    <xf numFmtId="3" fontId="14" fillId="0" borderId="0" xfId="0" applyNumberFormat="1" applyFont="1" applyFill="1" applyBorder="1" applyAlignment="1" applyProtection="1">
      <protection locked="0"/>
    </xf>
    <xf numFmtId="165" fontId="14" fillId="0" borderId="0" xfId="0" applyNumberFormat="1" applyFont="1" applyFill="1" applyBorder="1" applyAlignment="1" applyProtection="1">
      <protection locked="0"/>
    </xf>
    <xf numFmtId="37" fontId="14" fillId="0" borderId="0" xfId="0" applyNumberFormat="1" applyFont="1" applyFill="1" applyBorder="1" applyAlignment="1" applyProtection="1">
      <protection locked="0"/>
    </xf>
    <xf numFmtId="177" fontId="14" fillId="0" borderId="0" xfId="2" applyNumberFormat="1" applyFont="1" applyFill="1" applyBorder="1" applyAlignment="1" applyProtection="1">
      <protection locked="0"/>
    </xf>
    <xf numFmtId="185" fontId="14" fillId="0" borderId="0" xfId="0" applyNumberFormat="1" applyFont="1" applyFill="1" applyAlignment="1" applyProtection="1">
      <protection locked="0"/>
    </xf>
    <xf numFmtId="165" fontId="14" fillId="0" borderId="0" xfId="6" applyNumberFormat="1" applyFont="1" applyFill="1" applyAlignment="1"/>
    <xf numFmtId="3" fontId="14" fillId="0" borderId="0" xfId="6" applyNumberFormat="1" applyFont="1" applyFill="1" applyAlignment="1"/>
    <xf numFmtId="184" fontId="14" fillId="0" borderId="0" xfId="6" applyNumberFormat="1" applyFont="1" applyFill="1" applyAlignment="1" applyProtection="1">
      <protection locked="0"/>
    </xf>
    <xf numFmtId="0" fontId="18" fillId="0" borderId="0" xfId="6" applyNumberFormat="1" applyFont="1" applyFill="1" applyAlignment="1" applyProtection="1">
      <alignment horizontal="center"/>
      <protection locked="0"/>
    </xf>
    <xf numFmtId="171" fontId="14" fillId="0" borderId="11" xfId="6" applyNumberFormat="1" applyFont="1" applyFill="1" applyBorder="1" applyAlignment="1" applyProtection="1">
      <protection locked="0"/>
    </xf>
    <xf numFmtId="0" fontId="14" fillId="0" borderId="0" xfId="6" applyNumberFormat="1" applyFont="1" applyFill="1" applyAlignment="1" applyProtection="1">
      <alignment horizontal="right"/>
      <protection locked="0"/>
    </xf>
    <xf numFmtId="0" fontId="14" fillId="0" borderId="11" xfId="6" applyNumberFormat="1" applyFont="1" applyFill="1" applyBorder="1" applyAlignment="1" applyProtection="1">
      <alignment horizontal="center"/>
      <protection locked="0"/>
    </xf>
    <xf numFmtId="2" fontId="14" fillId="0" borderId="0" xfId="6" applyNumberFormat="1" applyFont="1" applyFill="1" applyAlignment="1" applyProtection="1">
      <alignment horizontal="center"/>
      <protection locked="0"/>
    </xf>
    <xf numFmtId="2" fontId="14" fillId="0" borderId="0" xfId="6" applyNumberFormat="1" applyFont="1" applyFill="1" applyBorder="1" applyAlignment="1" applyProtection="1">
      <alignment horizontal="center"/>
      <protection locked="0"/>
    </xf>
    <xf numFmtId="0" fontId="15" fillId="0" borderId="0" xfId="0" applyNumberFormat="1" applyFont="1" applyFill="1" applyAlignment="1" applyProtection="1">
      <protection locked="0"/>
    </xf>
    <xf numFmtId="165" fontId="14" fillId="0" borderId="0" xfId="0" applyNumberFormat="1" applyFont="1" applyFill="1" applyAlignment="1">
      <alignment horizontal="center"/>
    </xf>
    <xf numFmtId="37" fontId="14" fillId="0" borderId="0" xfId="0" applyNumberFormat="1" applyFont="1" applyFill="1" applyAlignment="1" applyProtection="1">
      <protection locked="0"/>
    </xf>
    <xf numFmtId="181" fontId="14" fillId="0" borderId="10" xfId="0" applyNumberFormat="1" applyFont="1" applyFill="1" applyBorder="1"/>
    <xf numFmtId="37" fontId="14" fillId="0" borderId="11" xfId="0" applyNumberFormat="1" applyFont="1" applyFill="1" applyBorder="1"/>
    <xf numFmtId="3" fontId="18" fillId="0" borderId="0" xfId="0" applyNumberFormat="1" applyFont="1" applyFill="1" applyBorder="1" applyAlignment="1">
      <alignment horizontal="center"/>
    </xf>
    <xf numFmtId="183" fontId="14" fillId="0" borderId="0" xfId="0" applyNumberFormat="1" applyFont="1" applyFill="1" applyAlignment="1" applyProtection="1">
      <protection locked="0"/>
    </xf>
    <xf numFmtId="1" fontId="14" fillId="0" borderId="0" xfId="0" applyNumberFormat="1" applyFont="1" applyFill="1" applyAlignment="1" applyProtection="1">
      <protection locked="0"/>
    </xf>
    <xf numFmtId="6" fontId="14" fillId="0" borderId="0" xfId="0" applyNumberFormat="1" applyFont="1" applyFill="1" applyAlignment="1" applyProtection="1">
      <protection locked="0"/>
    </xf>
    <xf numFmtId="0" fontId="14" fillId="0" borderId="0" xfId="0" applyNumberFormat="1" applyFont="1" applyFill="1" applyAlignment="1">
      <alignment horizontal="centerContinuous"/>
    </xf>
    <xf numFmtId="2" fontId="14" fillId="0" borderId="0" xfId="0" applyNumberFormat="1" applyFont="1" applyFill="1" applyAlignment="1" applyProtection="1">
      <protection locked="0"/>
    </xf>
    <xf numFmtId="4" fontId="15" fillId="0" borderId="0" xfId="0" applyNumberFormat="1" applyFont="1" applyFill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Continuous"/>
    </xf>
    <xf numFmtId="0" fontId="14" fillId="0" borderId="0" xfId="0" applyFont="1" applyFill="1" applyBorder="1" applyAlignment="1">
      <alignment horizontal="center"/>
    </xf>
    <xf numFmtId="0" fontId="14" fillId="0" borderId="0" xfId="186" applyNumberFormat="1" applyFont="1" applyFill="1" applyAlignment="1">
      <alignment horizontal="centerContinuous"/>
    </xf>
    <xf numFmtId="0" fontId="14" fillId="0" borderId="0" xfId="186" applyNumberFormat="1" applyFont="1" applyFill="1" applyAlignment="1" applyProtection="1">
      <protection locked="0"/>
    </xf>
    <xf numFmtId="0" fontId="14" fillId="0" borderId="0" xfId="186" applyNumberFormat="1" applyFont="1" applyFill="1" applyAlignment="1">
      <alignment horizontal="center"/>
    </xf>
    <xf numFmtId="0" fontId="18" fillId="0" borderId="0" xfId="186" applyNumberFormat="1" applyFont="1" applyFill="1" applyAlignment="1">
      <alignment horizontal="center"/>
    </xf>
    <xf numFmtId="0" fontId="14" fillId="0" borderId="0" xfId="186" applyNumberFormat="1" applyFont="1" applyFill="1" applyAlignment="1"/>
    <xf numFmtId="170" fontId="14" fillId="0" borderId="0" xfId="186" applyNumberFormat="1" applyFont="1" applyFill="1" applyAlignment="1">
      <alignment horizontal="center"/>
    </xf>
    <xf numFmtId="3" fontId="14" fillId="0" borderId="0" xfId="186" applyNumberFormat="1" applyFont="1" applyFill="1" applyAlignment="1">
      <alignment horizontal="center"/>
    </xf>
    <xf numFmtId="167" fontId="14" fillId="0" borderId="0" xfId="186" applyNumberFormat="1" applyFont="1" applyFill="1" applyAlignment="1">
      <alignment horizontal="center"/>
    </xf>
    <xf numFmtId="3" fontId="14" fillId="0" borderId="0" xfId="186" applyNumberFormat="1" applyFont="1" applyFill="1"/>
    <xf numFmtId="0" fontId="14" fillId="0" borderId="0" xfId="4" applyNumberFormat="1" applyFont="1" applyFill="1" applyAlignment="1">
      <alignment horizontal="centerContinuous"/>
    </xf>
    <xf numFmtId="0" fontId="19" fillId="0" borderId="0" xfId="4" applyNumberFormat="1" applyFont="1" applyFill="1" applyAlignment="1" applyProtection="1">
      <protection locked="0"/>
    </xf>
    <xf numFmtId="0" fontId="14" fillId="0" borderId="0" xfId="4" applyNumberFormat="1" applyFont="1" applyFill="1" applyAlignment="1" applyProtection="1">
      <alignment horizontal="centerContinuous"/>
      <protection locked="0"/>
    </xf>
    <xf numFmtId="0" fontId="48" fillId="0" borderId="0" xfId="4" applyNumberFormat="1" applyFont="1" applyFill="1" applyAlignment="1">
      <alignment horizontal="centerContinuous"/>
    </xf>
    <xf numFmtId="0" fontId="15" fillId="0" borderId="0" xfId="4" applyNumberFormat="1" applyFont="1" applyFill="1" applyAlignment="1" applyProtection="1">
      <protection locked="0"/>
    </xf>
    <xf numFmtId="6" fontId="41" fillId="0" borderId="0" xfId="4" applyNumberFormat="1" applyFont="1" applyFill="1" applyAlignment="1" applyProtection="1">
      <protection locked="0"/>
    </xf>
    <xf numFmtId="0" fontId="14" fillId="0" borderId="11" xfId="4" applyNumberFormat="1" applyFont="1" applyFill="1" applyBorder="1" applyAlignment="1" applyProtection="1">
      <protection locked="0"/>
    </xf>
    <xf numFmtId="0" fontId="14" fillId="0" borderId="11" xfId="4" applyNumberFormat="1" applyFont="1" applyFill="1" applyBorder="1" applyAlignment="1" applyProtection="1">
      <alignment horizontal="right"/>
      <protection locked="0"/>
    </xf>
    <xf numFmtId="6" fontId="41" fillId="0" borderId="11" xfId="4" applyNumberFormat="1" applyFont="1" applyFill="1" applyBorder="1" applyAlignment="1" applyProtection="1">
      <protection locked="0"/>
    </xf>
    <xf numFmtId="0" fontId="14" fillId="0" borderId="0" xfId="4" applyNumberFormat="1" applyFont="1" applyFill="1" applyAlignment="1" applyProtection="1">
      <alignment horizontal="right"/>
      <protection locked="0"/>
    </xf>
    <xf numFmtId="0" fontId="41" fillId="0" borderId="11" xfId="4" applyNumberFormat="1" applyFont="1" applyFill="1" applyBorder="1" applyAlignment="1" applyProtection="1">
      <protection locked="0"/>
    </xf>
    <xf numFmtId="187" fontId="14" fillId="0" borderId="0" xfId="4" applyNumberFormat="1" applyFont="1" applyFill="1" applyAlignment="1" applyProtection="1">
      <protection locked="0"/>
    </xf>
    <xf numFmtId="188" fontId="14" fillId="0" borderId="11" xfId="4" applyNumberFormat="1" applyFont="1" applyFill="1" applyBorder="1" applyAlignment="1" applyProtection="1">
      <protection locked="0"/>
    </xf>
    <xf numFmtId="187" fontId="15" fillId="0" borderId="0" xfId="4" applyNumberFormat="1" applyFont="1" applyFill="1" applyAlignment="1" applyProtection="1">
      <protection locked="0"/>
    </xf>
    <xf numFmtId="0" fontId="14" fillId="0" borderId="0" xfId="187" applyFont="1" applyFill="1"/>
    <xf numFmtId="37" fontId="14" fillId="0" borderId="0" xfId="187" applyNumberFormat="1" applyFont="1" applyFill="1"/>
    <xf numFmtId="37" fontId="14" fillId="0" borderId="11" xfId="187" applyNumberFormat="1" applyFont="1" applyFill="1" applyBorder="1"/>
    <xf numFmtId="44" fontId="14" fillId="0" borderId="0" xfId="189" applyNumberFormat="1" applyFont="1" applyFill="1" applyBorder="1"/>
    <xf numFmtId="0" fontId="14" fillId="0" borderId="0" xfId="190" applyNumberFormat="1" applyFont="1" applyFill="1" applyProtection="1">
      <protection locked="0"/>
    </xf>
    <xf numFmtId="0" fontId="14" fillId="0" borderId="0" xfId="190" applyFont="1" applyFill="1" applyAlignment="1">
      <alignment horizontal="center"/>
    </xf>
    <xf numFmtId="0" fontId="19" fillId="0" borderId="0" xfId="190" applyNumberFormat="1" applyFont="1" applyFill="1" applyAlignment="1" applyProtection="1">
      <protection locked="0"/>
    </xf>
    <xf numFmtId="0" fontId="14" fillId="0" borderId="0" xfId="190" applyNumberFormat="1" applyFont="1" applyFill="1" applyAlignment="1">
      <alignment horizontal="centerContinuous"/>
    </xf>
    <xf numFmtId="0" fontId="14" fillId="0" borderId="0" xfId="190" applyNumberFormat="1" applyFont="1" applyFill="1" applyAlignment="1" applyProtection="1">
      <alignment horizontal="centerContinuous"/>
      <protection locked="0"/>
    </xf>
    <xf numFmtId="0" fontId="14" fillId="0" borderId="0" xfId="190" applyNumberFormat="1" applyFont="1" applyFill="1" applyAlignment="1">
      <alignment horizontal="center"/>
    </xf>
    <xf numFmtId="0" fontId="14" fillId="0" borderId="0" xfId="190" applyNumberFormat="1" applyFont="1" applyFill="1" applyAlignment="1" applyProtection="1">
      <alignment horizontal="center"/>
      <protection locked="0"/>
    </xf>
    <xf numFmtId="0" fontId="15" fillId="0" borderId="0" xfId="190" applyNumberFormat="1" applyFont="1" applyFill="1" applyAlignment="1" applyProtection="1">
      <alignment horizontal="center"/>
      <protection locked="0"/>
    </xf>
    <xf numFmtId="0" fontId="18" fillId="0" borderId="0" xfId="190" applyNumberFormat="1" applyFont="1" applyFill="1" applyAlignment="1">
      <alignment horizontal="center"/>
    </xf>
    <xf numFmtId="0" fontId="18" fillId="0" borderId="10" xfId="190" applyNumberFormat="1" applyFont="1" applyFill="1" applyBorder="1" applyAlignment="1">
      <alignment horizontal="center"/>
    </xf>
    <xf numFmtId="0" fontId="18" fillId="0" borderId="0" xfId="190" applyFont="1" applyFill="1" applyAlignment="1">
      <alignment horizontal="center"/>
    </xf>
    <xf numFmtId="0" fontId="16" fillId="0" borderId="0" xfId="190" applyNumberFormat="1" applyFont="1" applyFill="1" applyAlignment="1" applyProtection="1">
      <alignment horizontal="center"/>
      <protection locked="0"/>
    </xf>
    <xf numFmtId="7" fontId="42" fillId="0" borderId="0" xfId="190" applyNumberFormat="1" applyFont="1" applyFill="1"/>
    <xf numFmtId="44" fontId="14" fillId="0" borderId="0" xfId="2" applyFont="1" applyFill="1" applyAlignment="1" applyProtection="1">
      <protection locked="0"/>
    </xf>
    <xf numFmtId="165" fontId="14" fillId="0" borderId="0" xfId="190" applyNumberFormat="1" applyFont="1" applyFill="1" applyAlignment="1" applyProtection="1">
      <protection locked="0"/>
    </xf>
    <xf numFmtId="170" fontId="14" fillId="0" borderId="0" xfId="190" applyNumberFormat="1" applyFont="1" applyFill="1" applyAlignment="1">
      <alignment horizontal="center"/>
    </xf>
    <xf numFmtId="10" fontId="14" fillId="0" borderId="0" xfId="190" applyNumberFormat="1" applyFont="1" applyFill="1" applyAlignment="1">
      <alignment horizontal="center"/>
    </xf>
    <xf numFmtId="0" fontId="52" fillId="0" borderId="0" xfId="190" applyNumberFormat="1" applyFont="1" applyFill="1" applyAlignment="1" applyProtection="1">
      <protection locked="0"/>
    </xf>
    <xf numFmtId="175" fontId="14" fillId="0" borderId="0" xfId="190" applyNumberFormat="1" applyFont="1" applyFill="1" applyAlignment="1" applyProtection="1">
      <protection locked="0"/>
    </xf>
    <xf numFmtId="0" fontId="14" fillId="0" borderId="0" xfId="190" applyFont="1" applyFill="1"/>
    <xf numFmtId="180" fontId="41" fillId="0" borderId="0" xfId="1" applyNumberFormat="1" applyFont="1" applyFill="1" applyBorder="1"/>
    <xf numFmtId="0" fontId="15" fillId="0" borderId="0" xfId="190" applyFont="1" applyFill="1" applyAlignment="1"/>
    <xf numFmtId="165" fontId="14" fillId="0" borderId="16" xfId="190" applyNumberFormat="1" applyFont="1" applyFill="1" applyBorder="1" applyAlignment="1"/>
    <xf numFmtId="165" fontId="41" fillId="0" borderId="0" xfId="190" applyNumberFormat="1" applyFont="1" applyFill="1" applyAlignment="1"/>
    <xf numFmtId="10" fontId="14" fillId="0" borderId="0" xfId="190" applyNumberFormat="1" applyFont="1" applyFill="1" applyAlignment="1"/>
    <xf numFmtId="174" fontId="14" fillId="0" borderId="0" xfId="190" applyNumberFormat="1" applyFont="1" applyFill="1"/>
    <xf numFmtId="10" fontId="14" fillId="0" borderId="0" xfId="3" applyNumberFormat="1" applyFont="1" applyFill="1"/>
    <xf numFmtId="10" fontId="51" fillId="0" borderId="0" xfId="190" applyNumberFormat="1" applyFont="1" applyFill="1"/>
    <xf numFmtId="174" fontId="14" fillId="0" borderId="0" xfId="190" applyNumberFormat="1" applyFont="1" applyFill="1" applyAlignment="1"/>
    <xf numFmtId="191" fontId="14" fillId="0" borderId="0" xfId="190" applyNumberFormat="1" applyFont="1" applyFill="1"/>
    <xf numFmtId="171" fontId="14" fillId="0" borderId="0" xfId="190" applyNumberFormat="1" applyFont="1" applyFill="1" applyAlignment="1">
      <alignment horizontal="center"/>
    </xf>
    <xf numFmtId="0" fontId="18" fillId="0" borderId="0" xfId="190" applyFont="1" applyFill="1" applyAlignment="1"/>
    <xf numFmtId="0" fontId="18" fillId="0" borderId="10" xfId="190" applyFont="1" applyFill="1" applyBorder="1" applyAlignment="1">
      <alignment horizontal="center"/>
    </xf>
    <xf numFmtId="0" fontId="18" fillId="0" borderId="10" xfId="190" applyFont="1" applyFill="1" applyBorder="1" applyAlignment="1"/>
    <xf numFmtId="170" fontId="41" fillId="0" borderId="0" xfId="190" applyNumberFormat="1" applyFont="1" applyFill="1" applyAlignment="1"/>
    <xf numFmtId="175" fontId="14" fillId="0" borderId="0" xfId="190" applyNumberFormat="1" applyFont="1" applyFill="1" applyAlignment="1" applyProtection="1">
      <alignment horizontal="center"/>
      <protection locked="0"/>
    </xf>
    <xf numFmtId="175" fontId="14" fillId="0" borderId="0" xfId="190" applyNumberFormat="1" applyFont="1" applyFill="1" applyAlignment="1">
      <alignment horizontal="center"/>
    </xf>
    <xf numFmtId="0" fontId="14" fillId="0" borderId="0" xfId="190" applyNumberFormat="1" applyFont="1" applyFill="1" applyAlignment="1">
      <alignment horizontal="left"/>
    </xf>
    <xf numFmtId="0" fontId="54" fillId="0" borderId="0" xfId="190" applyFont="1" applyFill="1" applyAlignment="1"/>
    <xf numFmtId="0" fontId="18" fillId="0" borderId="0" xfId="190" applyNumberFormat="1" applyFont="1" applyFill="1" applyAlignment="1">
      <alignment horizontal="left"/>
    </xf>
    <xf numFmtId="10" fontId="53" fillId="0" borderId="0" xfId="190" applyNumberFormat="1" applyFont="1" applyFill="1"/>
    <xf numFmtId="0" fontId="14" fillId="0" borderId="10" xfId="190" applyFont="1" applyFill="1" applyBorder="1" applyAlignment="1"/>
    <xf numFmtId="10" fontId="14" fillId="0" borderId="10" xfId="190" applyNumberFormat="1" applyFont="1" applyFill="1" applyBorder="1" applyAlignment="1"/>
    <xf numFmtId="0" fontId="44" fillId="0" borderId="0" xfId="190" applyFill="1"/>
    <xf numFmtId="0" fontId="44" fillId="0" borderId="0" xfId="190" applyFont="1" applyFill="1" applyAlignment="1">
      <alignment horizontal="center"/>
    </xf>
    <xf numFmtId="0" fontId="44" fillId="0" borderId="0" xfId="190" applyNumberFormat="1" applyFont="1" applyFill="1" applyAlignment="1">
      <alignment horizontal="centerContinuous"/>
    </xf>
    <xf numFmtId="0" fontId="44" fillId="0" borderId="0" xfId="190" applyNumberFormat="1" applyFont="1" applyFill="1" applyAlignment="1"/>
    <xf numFmtId="0" fontId="44" fillId="0" borderId="0" xfId="190" applyFill="1" applyAlignment="1">
      <alignment horizontal="center"/>
    </xf>
    <xf numFmtId="0" fontId="44" fillId="0" borderId="10" xfId="190" applyFont="1" applyFill="1" applyBorder="1" applyAlignment="1">
      <alignment horizontal="center"/>
    </xf>
    <xf numFmtId="0" fontId="44" fillId="0" borderId="0" xfId="190" applyNumberFormat="1" applyFont="1" applyFill="1" applyAlignment="1">
      <alignment horizontal="center"/>
    </xf>
    <xf numFmtId="0" fontId="55" fillId="0" borderId="0" xfId="190" applyFont="1" applyFill="1" applyAlignment="1">
      <alignment horizontal="center"/>
    </xf>
    <xf numFmtId="0" fontId="55" fillId="0" borderId="10" xfId="190" applyFont="1" applyFill="1" applyBorder="1" applyAlignment="1">
      <alignment horizontal="center"/>
    </xf>
    <xf numFmtId="0" fontId="55" fillId="0" borderId="0" xfId="190" applyNumberFormat="1" applyFont="1" applyFill="1" applyAlignment="1">
      <alignment horizontal="center"/>
    </xf>
    <xf numFmtId="177" fontId="44" fillId="0" borderId="0" xfId="2" applyNumberFormat="1" applyFont="1" applyFill="1" applyAlignment="1" applyProtection="1">
      <protection locked="0"/>
    </xf>
    <xf numFmtId="0" fontId="56" fillId="0" borderId="0" xfId="190" applyFont="1" applyFill="1" applyAlignment="1"/>
    <xf numFmtId="0" fontId="44" fillId="0" borderId="0" xfId="190" applyFont="1" applyFill="1" applyAlignment="1"/>
    <xf numFmtId="170" fontId="44" fillId="0" borderId="0" xfId="190" applyNumberFormat="1" applyFill="1"/>
    <xf numFmtId="4" fontId="44" fillId="0" borderId="0" xfId="190" applyNumberFormat="1" applyFont="1" applyFill="1" applyAlignment="1"/>
    <xf numFmtId="3" fontId="44" fillId="0" borderId="0" xfId="190" applyNumberFormat="1" applyFont="1" applyFill="1" applyAlignment="1"/>
    <xf numFmtId="170" fontId="44" fillId="0" borderId="0" xfId="190" applyNumberFormat="1" applyFont="1" applyFill="1" applyAlignment="1">
      <alignment horizontal="center"/>
    </xf>
    <xf numFmtId="180" fontId="42" fillId="0" borderId="0" xfId="1" applyNumberFormat="1" applyFont="1" applyFill="1"/>
    <xf numFmtId="170" fontId="44" fillId="0" borderId="0" xfId="190" applyNumberFormat="1" applyFont="1" applyFill="1" applyAlignment="1" applyProtection="1">
      <protection locked="0"/>
    </xf>
    <xf numFmtId="0" fontId="44" fillId="0" borderId="0" xfId="190" applyNumberFormat="1" applyFill="1" applyProtection="1">
      <protection locked="0"/>
    </xf>
    <xf numFmtId="0" fontId="44" fillId="0" borderId="0" xfId="190" applyFont="1" applyFill="1" applyBorder="1" applyAlignment="1"/>
    <xf numFmtId="3" fontId="44" fillId="0" borderId="0" xfId="190" applyNumberFormat="1" applyFont="1" applyFill="1" applyBorder="1" applyAlignment="1"/>
    <xf numFmtId="4" fontId="44" fillId="0" borderId="0" xfId="190" applyNumberFormat="1" applyFont="1" applyFill="1" applyBorder="1" applyAlignment="1"/>
    <xf numFmtId="10" fontId="44" fillId="0" borderId="0" xfId="190" applyNumberFormat="1" applyFill="1" applyBorder="1"/>
    <xf numFmtId="0" fontId="44" fillId="0" borderId="11" xfId="190" applyFont="1" applyFill="1" applyBorder="1" applyAlignment="1"/>
    <xf numFmtId="3" fontId="44" fillId="0" borderId="11" xfId="190" applyNumberFormat="1" applyFill="1" applyBorder="1"/>
    <xf numFmtId="4" fontId="44" fillId="0" borderId="11" xfId="190" applyNumberFormat="1" applyFont="1" applyFill="1" applyBorder="1" applyAlignment="1"/>
    <xf numFmtId="3" fontId="44" fillId="0" borderId="11" xfId="190" applyNumberFormat="1" applyFont="1" applyFill="1" applyBorder="1" applyAlignment="1"/>
    <xf numFmtId="3" fontId="44" fillId="0" borderId="0" xfId="190" applyNumberFormat="1" applyFill="1" applyBorder="1"/>
    <xf numFmtId="170" fontId="44" fillId="0" borderId="0" xfId="190" applyNumberFormat="1" applyFont="1" applyFill="1" applyBorder="1" applyAlignment="1"/>
    <xf numFmtId="165" fontId="44" fillId="0" borderId="0" xfId="190" applyNumberFormat="1" applyFont="1" applyFill="1" applyBorder="1" applyAlignment="1"/>
    <xf numFmtId="165" fontId="53" fillId="0" borderId="0" xfId="190" applyNumberFormat="1" applyFont="1" applyFill="1" applyBorder="1" applyAlignment="1"/>
    <xf numFmtId="165" fontId="44" fillId="0" borderId="17" xfId="190" applyNumberFormat="1" applyFont="1" applyFill="1" applyBorder="1" applyAlignment="1"/>
    <xf numFmtId="0" fontId="44" fillId="0" borderId="16" xfId="190" applyFont="1" applyFill="1" applyBorder="1" applyAlignment="1"/>
    <xf numFmtId="3" fontId="44" fillId="0" borderId="16" xfId="190" applyNumberFormat="1" applyFill="1" applyBorder="1"/>
    <xf numFmtId="170" fontId="44" fillId="0" borderId="16" xfId="190" applyNumberFormat="1" applyFont="1" applyFill="1" applyBorder="1" applyAlignment="1"/>
    <xf numFmtId="165" fontId="44" fillId="0" borderId="16" xfId="190" applyNumberFormat="1" applyFont="1" applyFill="1" applyBorder="1" applyAlignment="1"/>
    <xf numFmtId="165" fontId="53" fillId="0" borderId="0" xfId="190" applyNumberFormat="1" applyFont="1" applyFill="1" applyAlignment="1"/>
    <xf numFmtId="174" fontId="53" fillId="0" borderId="0" xfId="190" applyNumberFormat="1" applyFont="1" applyFill="1"/>
    <xf numFmtId="172" fontId="44" fillId="0" borderId="0" xfId="190" applyNumberFormat="1" applyFill="1"/>
    <xf numFmtId="0" fontId="44" fillId="0" borderId="0" xfId="190" applyNumberFormat="1" applyFont="1" applyFill="1" applyAlignment="1" applyProtection="1">
      <alignment horizontal="center"/>
      <protection locked="0"/>
    </xf>
    <xf numFmtId="0" fontId="55" fillId="0" borderId="0" xfId="190" applyNumberFormat="1" applyFont="1" applyFill="1" applyAlignment="1" applyProtection="1">
      <protection locked="0"/>
    </xf>
    <xf numFmtId="2" fontId="44" fillId="0" borderId="0" xfId="190" applyNumberFormat="1" applyFill="1"/>
    <xf numFmtId="4" fontId="44" fillId="0" borderId="0" xfId="190" applyNumberFormat="1" applyFill="1"/>
    <xf numFmtId="1" fontId="44" fillId="0" borderId="0" xfId="190" applyNumberFormat="1" applyFill="1"/>
    <xf numFmtId="192" fontId="44" fillId="0" borderId="0" xfId="190" applyNumberFormat="1" applyFont="1" applyFill="1" applyAlignment="1">
      <alignment horizontal="center"/>
    </xf>
    <xf numFmtId="37" fontId="44" fillId="0" borderId="0" xfId="190" applyNumberFormat="1" applyFont="1" applyFill="1" applyAlignment="1">
      <alignment horizontal="center"/>
    </xf>
    <xf numFmtId="0" fontId="56" fillId="0" borderId="0" xfId="190" applyNumberFormat="1" applyFont="1" applyFill="1" applyAlignment="1"/>
    <xf numFmtId="170" fontId="53" fillId="0" borderId="0" xfId="190" applyNumberFormat="1" applyFont="1" applyFill="1" applyAlignment="1"/>
    <xf numFmtId="176" fontId="44" fillId="0" borderId="0" xfId="190" applyNumberFormat="1" applyFill="1"/>
    <xf numFmtId="3" fontId="44" fillId="0" borderId="0" xfId="190" applyNumberFormat="1" applyFont="1" applyFill="1" applyAlignment="1">
      <alignment horizontal="center"/>
    </xf>
    <xf numFmtId="0" fontId="57" fillId="0" borderId="0" xfId="190" applyNumberFormat="1" applyFont="1" applyFill="1" applyAlignment="1" applyProtection="1">
      <alignment horizontal="center"/>
      <protection locked="0"/>
    </xf>
    <xf numFmtId="0" fontId="44" fillId="0" borderId="0" xfId="190" applyNumberFormat="1" applyFont="1" applyFill="1" applyAlignment="1" applyProtection="1">
      <alignment horizontal="center" vertical="center" wrapText="1"/>
      <protection locked="0"/>
    </xf>
    <xf numFmtId="4" fontId="53" fillId="0" borderId="0" xfId="190" applyNumberFormat="1" applyFont="1" applyFill="1"/>
    <xf numFmtId="165" fontId="53" fillId="0" borderId="0" xfId="190" applyNumberFormat="1" applyFont="1" applyFill="1"/>
    <xf numFmtId="0" fontId="44" fillId="0" borderId="0" xfId="190" applyFill="1" applyAlignment="1"/>
    <xf numFmtId="0" fontId="44" fillId="0" borderId="10" xfId="190" applyFont="1" applyFill="1" applyBorder="1" applyAlignment="1"/>
    <xf numFmtId="10" fontId="44" fillId="0" borderId="10" xfId="190" applyNumberFormat="1" applyFill="1" applyBorder="1"/>
    <xf numFmtId="0" fontId="44" fillId="0" borderId="10" xfId="190" applyNumberFormat="1" applyFill="1" applyBorder="1"/>
    <xf numFmtId="165" fontId="44" fillId="0" borderId="10" xfId="190" applyNumberFormat="1" applyFill="1" applyBorder="1"/>
    <xf numFmtId="0" fontId="44" fillId="0" borderId="18" xfId="190" applyNumberFormat="1" applyFont="1" applyFill="1" applyBorder="1" applyAlignment="1"/>
    <xf numFmtId="0" fontId="44" fillId="0" borderId="18" xfId="190" applyNumberFormat="1" applyFill="1" applyBorder="1"/>
    <xf numFmtId="171" fontId="44" fillId="0" borderId="18" xfId="190" applyNumberFormat="1" applyFill="1" applyBorder="1"/>
    <xf numFmtId="0" fontId="39" fillId="0" borderId="0" xfId="187" applyFont="1" applyFill="1"/>
    <xf numFmtId="0" fontId="58" fillId="0" borderId="0" xfId="187" applyFont="1" applyFill="1" applyAlignment="1">
      <alignment horizontal="center"/>
    </xf>
    <xf numFmtId="5" fontId="38" fillId="0" borderId="0" xfId="187" applyNumberFormat="1" applyFont="1" applyFill="1"/>
    <xf numFmtId="10" fontId="38" fillId="0" borderId="0" xfId="187" applyNumberFormat="1" applyFont="1" applyFill="1"/>
    <xf numFmtId="10" fontId="49" fillId="0" borderId="0" xfId="187" applyNumberFormat="1" applyFill="1"/>
    <xf numFmtId="170" fontId="49" fillId="0" borderId="0" xfId="187" applyNumberFormat="1" applyFill="1"/>
    <xf numFmtId="168" fontId="49" fillId="0" borderId="0" xfId="187" applyNumberFormat="1" applyFill="1" applyAlignment="1">
      <alignment horizontal="center"/>
    </xf>
    <xf numFmtId="10" fontId="49" fillId="0" borderId="0" xfId="187" applyNumberFormat="1" applyFill="1" applyAlignment="1">
      <alignment horizontal="center"/>
    </xf>
    <xf numFmtId="0" fontId="39" fillId="0" borderId="0" xfId="187" applyFont="1" applyFill="1" applyAlignment="1">
      <alignment horizontal="center"/>
    </xf>
    <xf numFmtId="174" fontId="49" fillId="0" borderId="0" xfId="187" applyNumberFormat="1" applyFill="1" applyAlignment="1">
      <alignment horizontal="center"/>
    </xf>
    <xf numFmtId="174" fontId="49" fillId="0" borderId="0" xfId="187" applyNumberFormat="1" applyFill="1"/>
    <xf numFmtId="0" fontId="49" fillId="0" borderId="0" xfId="187" applyFill="1" applyAlignment="1">
      <alignment horizontal="right"/>
    </xf>
    <xf numFmtId="7" fontId="49" fillId="0" borderId="0" xfId="187" applyNumberFormat="1" applyFill="1"/>
    <xf numFmtId="7" fontId="37" fillId="0" borderId="0" xfId="187" applyNumberFormat="1" applyFont="1" applyFill="1"/>
    <xf numFmtId="165" fontId="49" fillId="0" borderId="0" xfId="187" applyNumberFormat="1" applyFill="1"/>
    <xf numFmtId="0" fontId="49" fillId="0" borderId="14" xfId="187" applyFill="1" applyBorder="1"/>
    <xf numFmtId="37" fontId="49" fillId="0" borderId="14" xfId="187" applyNumberFormat="1" applyFill="1" applyBorder="1"/>
    <xf numFmtId="170" fontId="39" fillId="0" borderId="0" xfId="187" applyNumberFormat="1" applyFont="1" applyFill="1"/>
    <xf numFmtId="10" fontId="39" fillId="0" borderId="0" xfId="187" applyNumberFormat="1" applyFont="1" applyFill="1"/>
    <xf numFmtId="0" fontId="49" fillId="0" borderId="0" xfId="187" applyFill="1" applyProtection="1"/>
    <xf numFmtId="174" fontId="49" fillId="0" borderId="11" xfId="187" applyNumberFormat="1" applyFill="1" applyBorder="1"/>
    <xf numFmtId="2" fontId="39" fillId="0" borderId="0" xfId="187" applyNumberFormat="1" applyFont="1" applyFill="1"/>
    <xf numFmtId="2" fontId="49" fillId="0" borderId="0" xfId="187" applyNumberFormat="1" applyFill="1"/>
    <xf numFmtId="3" fontId="38" fillId="0" borderId="11" xfId="187" applyNumberFormat="1" applyFont="1" applyFill="1" applyBorder="1"/>
    <xf numFmtId="3" fontId="60" fillId="0" borderId="0" xfId="187" applyNumberFormat="1" applyFont="1" applyFill="1"/>
    <xf numFmtId="3" fontId="49" fillId="0" borderId="0" xfId="187" applyNumberFormat="1" applyFill="1"/>
    <xf numFmtId="3" fontId="49" fillId="0" borderId="14" xfId="187" applyNumberFormat="1" applyFill="1" applyBorder="1"/>
    <xf numFmtId="166" fontId="39" fillId="0" borderId="0" xfId="187" applyNumberFormat="1" applyFont="1" applyFill="1"/>
    <xf numFmtId="166" fontId="49" fillId="0" borderId="11" xfId="187" applyNumberFormat="1" applyFill="1" applyBorder="1"/>
    <xf numFmtId="9" fontId="38" fillId="0" borderId="0" xfId="187" applyNumberFormat="1" applyFont="1" applyFill="1"/>
    <xf numFmtId="9" fontId="38" fillId="0" borderId="11" xfId="187" applyNumberFormat="1" applyFont="1" applyFill="1" applyBorder="1"/>
    <xf numFmtId="9" fontId="39" fillId="0" borderId="0" xfId="187" applyNumberFormat="1" applyFont="1" applyFill="1"/>
    <xf numFmtId="9" fontId="49" fillId="0" borderId="0" xfId="187" applyNumberFormat="1" applyFill="1"/>
    <xf numFmtId="9" fontId="59" fillId="0" borderId="0" xfId="187" applyNumberFormat="1" applyFont="1" applyFill="1"/>
    <xf numFmtId="0" fontId="50" fillId="0" borderId="0" xfId="187" applyFont="1" applyFill="1" applyAlignment="1">
      <alignment horizontal="center"/>
    </xf>
    <xf numFmtId="0" fontId="50" fillId="0" borderId="0" xfId="187" applyFont="1" applyFill="1"/>
    <xf numFmtId="0" fontId="42" fillId="0" borderId="0" xfId="187" applyFont="1" applyFill="1"/>
    <xf numFmtId="0" fontId="42" fillId="0" borderId="11" xfId="187" applyFont="1" applyFill="1" applyBorder="1"/>
    <xf numFmtId="44" fontId="49" fillId="0" borderId="0" xfId="187" applyNumberFormat="1" applyFill="1"/>
    <xf numFmtId="0" fontId="42" fillId="0" borderId="0" xfId="187" applyFont="1" applyFill="1" applyBorder="1"/>
    <xf numFmtId="193" fontId="38" fillId="0" borderId="0" xfId="187" applyNumberFormat="1" applyFont="1" applyFill="1" applyAlignment="1">
      <alignment horizontal="center"/>
    </xf>
    <xf numFmtId="0" fontId="38" fillId="0" borderId="0" xfId="187" applyFont="1" applyFill="1" applyAlignment="1">
      <alignment horizontal="center"/>
    </xf>
    <xf numFmtId="166" fontId="38" fillId="0" borderId="0" xfId="187" applyNumberFormat="1" applyFont="1" applyFill="1" applyAlignment="1">
      <alignment horizontal="center"/>
    </xf>
    <xf numFmtId="185" fontId="49" fillId="0" borderId="0" xfId="187" applyNumberFormat="1" applyFill="1" applyAlignment="1">
      <alignment horizontal="center"/>
    </xf>
    <xf numFmtId="193" fontId="49" fillId="0" borderId="0" xfId="187" applyNumberFormat="1" applyFont="1" applyFill="1" applyAlignment="1">
      <alignment horizontal="center"/>
    </xf>
    <xf numFmtId="193" fontId="49" fillId="0" borderId="0" xfId="187" applyNumberFormat="1" applyFill="1" applyAlignment="1">
      <alignment horizontal="center"/>
    </xf>
    <xf numFmtId="166" fontId="42" fillId="0" borderId="0" xfId="187" applyNumberFormat="1" applyFont="1" applyFill="1" applyAlignment="1">
      <alignment horizontal="center"/>
    </xf>
    <xf numFmtId="166" fontId="49" fillId="0" borderId="0" xfId="187" applyNumberFormat="1" applyFill="1" applyAlignment="1">
      <alignment horizontal="center"/>
    </xf>
    <xf numFmtId="1" fontId="49" fillId="0" borderId="0" xfId="187" applyNumberFormat="1" applyFill="1" applyProtection="1"/>
    <xf numFmtId="185" fontId="49" fillId="0" borderId="0" xfId="187" applyNumberFormat="1" applyFill="1"/>
    <xf numFmtId="166" fontId="49" fillId="0" borderId="0" xfId="187" applyNumberFormat="1" applyFill="1"/>
    <xf numFmtId="14" fontId="12" fillId="0" borderId="0" xfId="192" quotePrefix="1" applyNumberFormat="1" applyFill="1"/>
    <xf numFmtId="0" fontId="7" fillId="0" borderId="0" xfId="192" applyFont="1" applyFill="1" applyAlignment="1">
      <alignment horizontal="center"/>
    </xf>
    <xf numFmtId="0" fontId="12" fillId="0" borderId="11" xfId="192" applyFill="1" applyBorder="1"/>
    <xf numFmtId="0" fontId="12" fillId="0" borderId="11" xfId="192" applyFill="1" applyBorder="1" applyAlignment="1">
      <alignment horizontal="center"/>
    </xf>
    <xf numFmtId="0" fontId="12" fillId="0" borderId="11" xfId="192" applyFill="1" applyBorder="1" applyProtection="1">
      <protection locked="0"/>
    </xf>
    <xf numFmtId="2" fontId="12" fillId="0" borderId="0" xfId="192" applyNumberFormat="1" applyFill="1"/>
    <xf numFmtId="0" fontId="12" fillId="0" borderId="0" xfId="192" applyFill="1" applyAlignment="1">
      <alignment wrapText="1"/>
    </xf>
    <xf numFmtId="2" fontId="12" fillId="0" borderId="11" xfId="192" applyNumberFormat="1" applyFill="1" applyBorder="1"/>
    <xf numFmtId="9" fontId="12" fillId="0" borderId="0" xfId="195" applyFont="1" applyFill="1"/>
    <xf numFmtId="14" fontId="12" fillId="0" borderId="0" xfId="192" applyNumberFormat="1" applyFill="1"/>
    <xf numFmtId="0" fontId="127" fillId="0" borderId="0" xfId="6022" applyFill="1" applyAlignment="1">
      <alignment horizontal="center"/>
    </xf>
    <xf numFmtId="44" fontId="127" fillId="0" borderId="0" xfId="2" applyFont="1" applyFill="1" applyAlignment="1">
      <alignment horizontal="center"/>
    </xf>
    <xf numFmtId="201" fontId="127" fillId="0" borderId="0" xfId="2" applyNumberFormat="1" applyFont="1" applyFill="1" applyAlignment="1">
      <alignment horizontal="center"/>
    </xf>
    <xf numFmtId="200" fontId="127" fillId="0" borderId="0" xfId="3" applyNumberFormat="1" applyFont="1" applyFill="1" applyAlignment="1">
      <alignment horizontal="center"/>
    </xf>
    <xf numFmtId="0" fontId="0" fillId="0" borderId="0" xfId="0" applyFill="1" applyAlignment="1"/>
    <xf numFmtId="0" fontId="127" fillId="0" borderId="0" xfId="6022" applyFill="1"/>
    <xf numFmtId="201" fontId="127" fillId="0" borderId="0" xfId="2" applyNumberFormat="1" applyFont="1" applyFill="1"/>
    <xf numFmtId="200" fontId="127" fillId="0" borderId="0" xfId="3" applyNumberFormat="1" applyFont="1" applyFill="1"/>
    <xf numFmtId="0" fontId="37" fillId="0" borderId="0" xfId="6022" applyFont="1" applyFill="1"/>
    <xf numFmtId="44" fontId="0" fillId="0" borderId="0" xfId="2" applyFont="1" applyFill="1" applyAlignment="1"/>
    <xf numFmtId="200" fontId="0" fillId="0" borderId="0" xfId="3" applyNumberFormat="1" applyFont="1" applyFill="1" applyAlignment="1"/>
    <xf numFmtId="7" fontId="127" fillId="0" borderId="0" xfId="2" applyNumberFormat="1" applyFont="1" applyFill="1"/>
    <xf numFmtId="8" fontId="127" fillId="0" borderId="0" xfId="2" applyNumberFormat="1" applyFont="1" applyFill="1"/>
    <xf numFmtId="0" fontId="58" fillId="0" borderId="0" xfId="6022" applyFont="1" applyFill="1"/>
    <xf numFmtId="0" fontId="50" fillId="0" borderId="0" xfId="6022" applyFont="1" applyFill="1"/>
    <xf numFmtId="0" fontId="39" fillId="0" borderId="11" xfId="6022" applyFont="1" applyFill="1" applyBorder="1"/>
    <xf numFmtId="201" fontId="0" fillId="0" borderId="0" xfId="2" applyNumberFormat="1" applyFont="1" applyFill="1" applyAlignment="1"/>
    <xf numFmtId="177" fontId="14" fillId="0" borderId="0" xfId="2" applyNumberFormat="1" applyFont="1" applyFill="1" applyAlignment="1" applyProtection="1">
      <protection locked="0"/>
    </xf>
    <xf numFmtId="202" fontId="127" fillId="0" borderId="0" xfId="2" applyNumberFormat="1" applyFont="1" applyFill="1"/>
    <xf numFmtId="180" fontId="12" fillId="0" borderId="0" xfId="192" applyNumberFormat="1" applyFill="1"/>
    <xf numFmtId="0" fontId="14" fillId="0" borderId="0" xfId="0" applyNumberFormat="1" applyFont="1" applyFill="1" applyAlignment="1" applyProtection="1">
      <protection locked="0"/>
    </xf>
    <xf numFmtId="170" fontId="14" fillId="0" borderId="0" xfId="0" applyNumberFormat="1" applyFont="1" applyFill="1"/>
    <xf numFmtId="0" fontId="14" fillId="0" borderId="0" xfId="0" applyFont="1" applyFill="1" applyAlignment="1"/>
    <xf numFmtId="165" fontId="14" fillId="0" borderId="0" xfId="0" applyNumberFormat="1" applyFont="1" applyFill="1"/>
    <xf numFmtId="3" fontId="14" fillId="0" borderId="0" xfId="0" applyNumberFormat="1" applyFont="1" applyFill="1"/>
    <xf numFmtId="4" fontId="14" fillId="0" borderId="0" xfId="0" applyNumberFormat="1" applyFont="1" applyFill="1"/>
    <xf numFmtId="0" fontId="129" fillId="0" borderId="0" xfId="0" applyFont="1" applyFill="1" applyAlignment="1"/>
    <xf numFmtId="5" fontId="14" fillId="0" borderId="0" xfId="0" applyNumberFormat="1" applyFont="1" applyFill="1" applyAlignment="1" applyProtection="1">
      <protection locked="0"/>
    </xf>
    <xf numFmtId="44" fontId="42" fillId="0" borderId="0" xfId="2" applyFont="1" applyFill="1"/>
    <xf numFmtId="201" fontId="42" fillId="0" borderId="0" xfId="2" applyNumberFormat="1" applyFont="1" applyFill="1"/>
    <xf numFmtId="0" fontId="14" fillId="0" borderId="0" xfId="0" applyNumberFormat="1" applyFont="1" applyFill="1" applyAlignment="1">
      <alignment wrapText="1"/>
    </xf>
    <xf numFmtId="3" fontId="41" fillId="0" borderId="0" xfId="0" applyNumberFormat="1" applyFont="1" applyFill="1" applyBorder="1" applyAlignment="1"/>
    <xf numFmtId="177" fontId="14" fillId="0" borderId="12" xfId="2" applyNumberFormat="1" applyFont="1" applyFill="1" applyBorder="1" applyAlignment="1"/>
    <xf numFmtId="201" fontId="37" fillId="0" borderId="0" xfId="2" applyNumberFormat="1" applyFont="1" applyFill="1"/>
    <xf numFmtId="0" fontId="39" fillId="60" borderId="0" xfId="0" applyFont="1" applyFill="1" applyBorder="1" applyAlignment="1">
      <alignment horizontal="center"/>
    </xf>
    <xf numFmtId="0" fontId="39" fillId="60" borderId="0" xfId="0" applyFont="1" applyFill="1" applyBorder="1"/>
    <xf numFmtId="0" fontId="58" fillId="60" borderId="0" xfId="0" applyFont="1" applyFill="1" applyBorder="1" applyAlignment="1">
      <alignment horizontal="center"/>
    </xf>
    <xf numFmtId="0" fontId="39" fillId="60" borderId="11" xfId="0" applyFont="1" applyFill="1" applyBorder="1" applyAlignment="1">
      <alignment horizontal="center"/>
    </xf>
    <xf numFmtId="177" fontId="0" fillId="0" borderId="0" xfId="2" applyNumberFormat="1" applyFont="1"/>
    <xf numFmtId="170" fontId="41" fillId="0" borderId="0" xfId="0" applyNumberFormat="1" applyFont="1" applyFill="1" applyBorder="1" applyAlignment="1"/>
    <xf numFmtId="10" fontId="14" fillId="0" borderId="0" xfId="0" applyNumberFormat="1" applyFont="1" applyFill="1"/>
    <xf numFmtId="0" fontId="134" fillId="0" borderId="0" xfId="0" applyNumberFormat="1" applyFont="1" applyFill="1" applyAlignment="1" applyProtection="1">
      <protection locked="0"/>
    </xf>
    <xf numFmtId="180" fontId="14" fillId="0" borderId="0" xfId="1" applyNumberFormat="1" applyFont="1" applyFill="1" applyBorder="1"/>
    <xf numFmtId="180" fontId="14" fillId="0" borderId="11" xfId="1" applyNumberFormat="1" applyFont="1" applyFill="1" applyBorder="1"/>
    <xf numFmtId="169" fontId="41" fillId="0" borderId="0" xfId="5" applyNumberFormat="1" applyFont="1" applyFill="1"/>
    <xf numFmtId="0" fontId="135" fillId="0" borderId="0" xfId="5" applyNumberFormat="1" applyFont="1" applyFill="1" applyAlignment="1" applyProtection="1">
      <protection locked="0"/>
    </xf>
    <xf numFmtId="0" fontId="41" fillId="0" borderId="0" xfId="0" applyNumberFormat="1" applyFont="1" applyFill="1" applyAlignment="1" applyProtection="1">
      <protection locked="0"/>
    </xf>
    <xf numFmtId="0" fontId="110" fillId="0" borderId="0" xfId="0" applyNumberFormat="1" applyFont="1" applyFill="1" applyAlignment="1" applyProtection="1">
      <alignment horizontal="center"/>
      <protection locked="0"/>
    </xf>
    <xf numFmtId="165" fontId="41" fillId="0" borderId="0" xfId="0" applyNumberFormat="1" applyFont="1" applyFill="1" applyAlignment="1"/>
    <xf numFmtId="0" fontId="135" fillId="0" borderId="0" xfId="0" applyNumberFormat="1" applyFont="1" applyFill="1" applyAlignment="1" applyProtection="1">
      <protection locked="0"/>
    </xf>
    <xf numFmtId="9" fontId="14" fillId="0" borderId="0" xfId="0" applyNumberFormat="1" applyFont="1" applyFill="1" applyAlignment="1" applyProtection="1">
      <alignment horizontal="center"/>
      <protection locked="0"/>
    </xf>
    <xf numFmtId="44" fontId="14" fillId="0" borderId="0" xfId="2" applyFont="1" applyFill="1" applyAlignment="1">
      <alignment horizontal="center"/>
    </xf>
    <xf numFmtId="44" fontId="0" fillId="0" borderId="19" xfId="2" applyNumberFormat="1" applyFont="1" applyFill="1" applyBorder="1"/>
    <xf numFmtId="177" fontId="0" fillId="0" borderId="0" xfId="2" applyNumberFormat="1" applyFont="1" applyFill="1" applyBorder="1"/>
    <xf numFmtId="44" fontId="0" fillId="0" borderId="0" xfId="2" applyNumberFormat="1" applyFont="1" applyFill="1" applyBorder="1"/>
    <xf numFmtId="0" fontId="0" fillId="0" borderId="0" xfId="0" applyFill="1" applyBorder="1"/>
    <xf numFmtId="191" fontId="14" fillId="0" borderId="0" xfId="4" applyNumberFormat="1" applyFont="1" applyFill="1" applyAlignment="1"/>
    <xf numFmtId="171" fontId="41" fillId="0" borderId="0" xfId="6" applyNumberFormat="1" applyFont="1" applyFill="1" applyAlignment="1" applyProtection="1">
      <protection locked="0"/>
    </xf>
    <xf numFmtId="44" fontId="14" fillId="0" borderId="0" xfId="0" applyNumberFormat="1" applyFont="1" applyFill="1" applyAlignment="1" applyProtection="1">
      <protection locked="0"/>
    </xf>
    <xf numFmtId="9" fontId="14" fillId="0" borderId="0" xfId="3" applyFont="1" applyFill="1" applyAlignment="1" applyProtection="1">
      <protection locked="0"/>
    </xf>
    <xf numFmtId="0" fontId="41" fillId="59" borderId="0" xfId="190" applyNumberFormat="1" applyFont="1" applyFill="1" applyAlignment="1" applyProtection="1">
      <protection locked="0"/>
    </xf>
    <xf numFmtId="197" fontId="41" fillId="0" borderId="0" xfId="3" applyNumberFormat="1" applyFont="1" applyFill="1" applyAlignment="1">
      <alignment horizontal="center"/>
    </xf>
    <xf numFmtId="172" fontId="49" fillId="0" borderId="0" xfId="187" applyNumberFormat="1" applyFill="1"/>
    <xf numFmtId="43" fontId="41" fillId="0" borderId="0" xfId="1" applyFont="1" applyFill="1"/>
    <xf numFmtId="0" fontId="136" fillId="0" borderId="0" xfId="0" applyFont="1" applyFill="1" applyAlignment="1"/>
    <xf numFmtId="8" fontId="0" fillId="0" borderId="0" xfId="2" applyNumberFormat="1" applyFont="1" applyFill="1" applyAlignment="1"/>
    <xf numFmtId="0" fontId="39" fillId="0" borderId="0" xfId="6022" applyFont="1" applyFill="1"/>
    <xf numFmtId="0" fontId="39" fillId="0" borderId="0" xfId="94" applyFont="1" applyFill="1"/>
    <xf numFmtId="0" fontId="39" fillId="0" borderId="0" xfId="13004" applyFont="1" applyFill="1"/>
    <xf numFmtId="43" fontId="14" fillId="0" borderId="0" xfId="1" applyFont="1" applyFill="1" applyAlignment="1" applyProtection="1">
      <protection locked="0"/>
    </xf>
    <xf numFmtId="171" fontId="53" fillId="0" borderId="0" xfId="190" applyNumberFormat="1" applyFont="1" applyFill="1" applyAlignment="1">
      <alignment horizontal="center"/>
    </xf>
    <xf numFmtId="180" fontId="49" fillId="0" borderId="0" xfId="1" applyNumberFormat="1" applyFont="1" applyFill="1"/>
    <xf numFmtId="203" fontId="49" fillId="0" borderId="0" xfId="187" applyNumberFormat="1" applyFill="1"/>
    <xf numFmtId="204" fontId="49" fillId="0" borderId="0" xfId="187" applyNumberFormat="1" applyFill="1"/>
    <xf numFmtId="43" fontId="49" fillId="0" borderId="0" xfId="187" applyNumberFormat="1" applyFill="1"/>
    <xf numFmtId="37" fontId="42" fillId="0" borderId="0" xfId="187" applyNumberFormat="1" applyFont="1" applyFill="1"/>
    <xf numFmtId="9" fontId="42" fillId="0" borderId="0" xfId="3" applyFont="1" applyFill="1"/>
    <xf numFmtId="10" fontId="42" fillId="0" borderId="11" xfId="187" applyNumberFormat="1" applyFont="1" applyFill="1" applyBorder="1"/>
    <xf numFmtId="0" fontId="58" fillId="0" borderId="0" xfId="6035" applyFont="1" applyFill="1"/>
    <xf numFmtId="0" fontId="37" fillId="0" borderId="0" xfId="6035" applyFill="1"/>
    <xf numFmtId="10" fontId="37" fillId="0" borderId="0" xfId="6035" applyNumberFormat="1" applyFill="1"/>
    <xf numFmtId="0" fontId="37" fillId="0" borderId="11" xfId="6035" applyFill="1" applyBorder="1"/>
    <xf numFmtId="0" fontId="38" fillId="0" borderId="11" xfId="6035" applyFont="1" applyFill="1" applyBorder="1"/>
    <xf numFmtId="0" fontId="137" fillId="0" borderId="0" xfId="6035" applyFont="1" applyFill="1"/>
    <xf numFmtId="0" fontId="56" fillId="0" borderId="0" xfId="190" applyNumberFormat="1" applyFont="1" applyFill="1" applyAlignment="1" applyProtection="1">
      <protection locked="0"/>
    </xf>
    <xf numFmtId="44" fontId="44" fillId="0" borderId="0" xfId="2" applyFont="1" applyFill="1" applyAlignment="1" applyProtection="1">
      <protection locked="0"/>
    </xf>
    <xf numFmtId="180" fontId="44" fillId="0" borderId="0" xfId="1" applyNumberFormat="1" applyFont="1" applyFill="1" applyAlignment="1" applyProtection="1">
      <protection locked="0"/>
    </xf>
    <xf numFmtId="177" fontId="12" fillId="0" borderId="0" xfId="2" applyNumberFormat="1" applyFont="1" applyFill="1"/>
    <xf numFmtId="177" fontId="12" fillId="0" borderId="0" xfId="192" applyNumberFormat="1" applyFill="1"/>
    <xf numFmtId="177" fontId="12" fillId="0" borderId="11" xfId="2" applyNumberFormat="1" applyFont="1" applyFill="1" applyBorder="1"/>
    <xf numFmtId="9" fontId="12" fillId="0" borderId="0" xfId="3" applyFont="1" applyFill="1"/>
    <xf numFmtId="0" fontId="14" fillId="0" borderId="0" xfId="187" applyFont="1" applyFill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165" fontId="41" fillId="0" borderId="0" xfId="0" applyNumberFormat="1" applyFont="1" applyFill="1" applyBorder="1" applyAlignment="1"/>
    <xf numFmtId="170" fontId="132" fillId="0" borderId="0" xfId="0" applyNumberFormat="1" applyFont="1" applyFill="1" applyAlignment="1"/>
    <xf numFmtId="10" fontId="41" fillId="0" borderId="0" xfId="0" applyNumberFormat="1" applyFont="1" applyFill="1" applyAlignment="1"/>
    <xf numFmtId="0" fontId="131" fillId="0" borderId="0" xfId="0" applyNumberFormat="1" applyFont="1" applyFill="1" applyAlignment="1"/>
    <xf numFmtId="0" fontId="13" fillId="0" borderId="0" xfId="0" applyNumberFormat="1" applyFont="1" applyFill="1" applyAlignment="1"/>
    <xf numFmtId="0" fontId="13" fillId="0" borderId="0" xfId="0" applyNumberFormat="1" applyFont="1" applyFill="1" applyAlignment="1">
      <alignment horizontal="centerContinuous"/>
    </xf>
    <xf numFmtId="164" fontId="13" fillId="0" borderId="0" xfId="0" applyNumberFormat="1" applyFont="1" applyFill="1" applyAlignment="1">
      <alignment horizontal="centerContinuous"/>
    </xf>
    <xf numFmtId="0" fontId="13" fillId="0" borderId="0" xfId="0" applyNumberFormat="1" applyFont="1" applyFill="1" applyBorder="1" applyAlignment="1">
      <alignment horizontal="centerContinuous"/>
    </xf>
    <xf numFmtId="0" fontId="14" fillId="0" borderId="0" xfId="0" quotePrefix="1" applyNumberFormat="1" applyFont="1" applyFill="1" applyAlignment="1">
      <alignment horizontal="center"/>
    </xf>
    <xf numFmtId="0" fontId="14" fillId="0" borderId="0" xfId="0" quotePrefix="1" applyNumberFormat="1" applyFont="1" applyFill="1" applyBorder="1" applyAlignment="1">
      <alignment horizontal="center"/>
    </xf>
    <xf numFmtId="180" fontId="14" fillId="0" borderId="0" xfId="1" applyNumberFormat="1" applyFont="1" applyFill="1" applyBorder="1" applyAlignment="1"/>
    <xf numFmtId="178" fontId="14" fillId="0" borderId="0" xfId="0" applyNumberFormat="1" applyFont="1" applyFill="1" applyAlignment="1"/>
    <xf numFmtId="0" fontId="18" fillId="0" borderId="0" xfId="0" applyNumberFormat="1" applyFont="1" applyFill="1" applyBorder="1" applyAlignment="1">
      <alignment horizontal="center" wrapText="1" shrinkToFit="1"/>
    </xf>
    <xf numFmtId="0" fontId="14" fillId="0" borderId="0" xfId="0" applyNumberFormat="1" applyFont="1" applyFill="1" applyBorder="1" applyAlignment="1">
      <alignment horizontal="center" wrapText="1" shrinkToFit="1"/>
    </xf>
    <xf numFmtId="0" fontId="14" fillId="0" borderId="0" xfId="0" applyNumberFormat="1" applyFont="1" applyFill="1" applyAlignment="1">
      <alignment horizontal="center" wrapText="1"/>
    </xf>
    <xf numFmtId="178" fontId="14" fillId="0" borderId="0" xfId="0" applyNumberFormat="1" applyFont="1" applyFill="1" applyBorder="1" applyAlignment="1"/>
    <xf numFmtId="5" fontId="14" fillId="0" borderId="0" xfId="0" applyNumberFormat="1" applyFont="1" applyFill="1" applyBorder="1" applyAlignment="1"/>
    <xf numFmtId="171" fontId="14" fillId="0" borderId="0" xfId="0" applyNumberFormat="1" applyFont="1" applyFill="1" applyBorder="1" applyAlignment="1"/>
    <xf numFmtId="179" fontId="14" fillId="0" borderId="0" xfId="0" applyNumberFormat="1" applyFont="1" applyFill="1" applyBorder="1" applyAlignment="1"/>
    <xf numFmtId="5" fontId="14" fillId="0" borderId="11" xfId="0" applyNumberFormat="1" applyFont="1" applyFill="1" applyBorder="1" applyAlignment="1"/>
    <xf numFmtId="4" fontId="14" fillId="0" borderId="0" xfId="5" applyNumberFormat="1" applyFont="1" applyFill="1"/>
    <xf numFmtId="10" fontId="41" fillId="0" borderId="11" xfId="5" applyNumberFormat="1" applyFont="1" applyFill="1" applyBorder="1"/>
    <xf numFmtId="183" fontId="41" fillId="0" borderId="11" xfId="5" applyNumberFormat="1" applyFont="1" applyFill="1" applyBorder="1"/>
    <xf numFmtId="0" fontId="14" fillId="0" borderId="0" xfId="5" quotePrefix="1" applyNumberFormat="1" applyFont="1" applyFill="1" applyAlignment="1"/>
    <xf numFmtId="3" fontId="14" fillId="0" borderId="0" xfId="5" applyNumberFormat="1" applyFont="1" applyFill="1" applyAlignment="1" applyProtection="1">
      <protection locked="0"/>
    </xf>
    <xf numFmtId="0" fontId="41" fillId="0" borderId="0" xfId="5" applyNumberFormat="1" applyFont="1" applyFill="1" applyProtection="1">
      <protection locked="0"/>
    </xf>
    <xf numFmtId="0" fontId="41" fillId="0" borderId="0" xfId="5" applyNumberFormat="1" applyFont="1" applyFill="1" applyAlignment="1" applyProtection="1">
      <protection locked="0"/>
    </xf>
    <xf numFmtId="189" fontId="41" fillId="0" borderId="0" xfId="1" applyNumberFormat="1" applyFont="1" applyFill="1"/>
    <xf numFmtId="0" fontId="41" fillId="0" borderId="0" xfId="5" applyNumberFormat="1" applyFont="1" applyFill="1" applyAlignment="1"/>
    <xf numFmtId="0" fontId="41" fillId="0" borderId="0" xfId="5" applyNumberFormat="1" applyFont="1" applyFill="1" applyAlignment="1">
      <alignment horizontal="center"/>
    </xf>
    <xf numFmtId="10" fontId="41" fillId="0" borderId="0" xfId="5" applyNumberFormat="1" applyFont="1" applyFill="1" applyAlignment="1" applyProtection="1">
      <alignment horizontal="center"/>
      <protection locked="0"/>
    </xf>
    <xf numFmtId="0" fontId="41" fillId="0" borderId="0" xfId="5" applyNumberFormat="1" applyFont="1" applyFill="1" applyAlignment="1" applyProtection="1">
      <alignment horizontal="center"/>
      <protection locked="0"/>
    </xf>
    <xf numFmtId="38" fontId="41" fillId="0" borderId="0" xfId="5" applyNumberFormat="1" applyFont="1" applyFill="1" applyAlignment="1" applyProtection="1">
      <alignment horizontal="center"/>
      <protection locked="0"/>
    </xf>
    <xf numFmtId="165" fontId="41" fillId="0" borderId="0" xfId="5" applyNumberFormat="1" applyFont="1" applyFill="1" applyAlignment="1">
      <alignment horizontal="center"/>
    </xf>
    <xf numFmtId="180" fontId="41" fillId="0" borderId="0" xfId="1" applyNumberFormat="1" applyFont="1" applyFill="1"/>
    <xf numFmtId="0" fontId="109" fillId="0" borderId="0" xfId="5" applyNumberFormat="1" applyFont="1" applyFill="1" applyAlignment="1" applyProtection="1">
      <protection locked="0"/>
    </xf>
    <xf numFmtId="189" fontId="109" fillId="0" borderId="0" xfId="1" applyNumberFormat="1" applyFont="1" applyFill="1" applyAlignment="1" applyProtection="1">
      <protection locked="0"/>
    </xf>
    <xf numFmtId="198" fontId="14" fillId="0" borderId="0" xfId="5" applyNumberFormat="1" applyFont="1" applyFill="1"/>
    <xf numFmtId="9" fontId="41" fillId="0" borderId="0" xfId="3" applyFont="1" applyFill="1" applyAlignment="1"/>
    <xf numFmtId="5" fontId="41" fillId="0" borderId="0" xfId="0" applyNumberFormat="1" applyFont="1" applyFill="1"/>
    <xf numFmtId="169" fontId="41" fillId="0" borderId="11" xfId="0" applyNumberFormat="1" applyFont="1" applyFill="1" applyBorder="1"/>
    <xf numFmtId="10" fontId="41" fillId="0" borderId="0" xfId="0" applyNumberFormat="1" applyFont="1" applyFill="1"/>
    <xf numFmtId="0" fontId="15" fillId="0" borderId="0" xfId="6" applyNumberFormat="1" applyFont="1" applyFill="1" applyAlignment="1" applyProtection="1">
      <protection locked="0"/>
    </xf>
    <xf numFmtId="180" fontId="41" fillId="0" borderId="0" xfId="188" applyNumberFormat="1" applyFont="1" applyFill="1" applyBorder="1"/>
    <xf numFmtId="10" fontId="41" fillId="0" borderId="0" xfId="5" applyNumberFormat="1" applyFont="1" applyFill="1" applyAlignment="1" applyProtection="1">
      <alignment horizontal="right"/>
      <protection locked="0"/>
    </xf>
    <xf numFmtId="180" fontId="41" fillId="0" borderId="0" xfId="187" applyNumberFormat="1" applyFont="1" applyFill="1" applyBorder="1"/>
    <xf numFmtId="170" fontId="14" fillId="0" borderId="0" xfId="190" applyNumberFormat="1" applyFont="1" applyFill="1" applyAlignment="1" applyProtection="1">
      <protection locked="0"/>
    </xf>
    <xf numFmtId="3" fontId="41" fillId="0" borderId="0" xfId="190" applyNumberFormat="1" applyFont="1" applyFill="1" applyAlignment="1"/>
    <xf numFmtId="3" fontId="53" fillId="0" borderId="0" xfId="190" applyNumberFormat="1" applyFont="1" applyFill="1"/>
    <xf numFmtId="3" fontId="53" fillId="0" borderId="0" xfId="1" applyNumberFormat="1" applyFont="1" applyFill="1" applyAlignment="1" applyProtection="1">
      <protection locked="0"/>
    </xf>
    <xf numFmtId="8" fontId="41" fillId="0" borderId="0" xfId="4" applyNumberFormat="1" applyFont="1" applyFill="1" applyAlignment="1" applyProtection="1">
      <protection locked="0"/>
    </xf>
    <xf numFmtId="169" fontId="41" fillId="0" borderId="0" xfId="0" applyNumberFormat="1" applyFont="1" applyFill="1"/>
    <xf numFmtId="2" fontId="38" fillId="0" borderId="0" xfId="187" applyNumberFormat="1" applyFont="1" applyFill="1"/>
    <xf numFmtId="194" fontId="38" fillId="0" borderId="0" xfId="187" applyNumberFormat="1" applyFont="1" applyFill="1"/>
    <xf numFmtId="166" fontId="38" fillId="0" borderId="0" xfId="187" applyNumberFormat="1" applyFont="1" applyFill="1"/>
    <xf numFmtId="0" fontId="0" fillId="0" borderId="0" xfId="0"/>
    <xf numFmtId="0" fontId="3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61" fillId="0" borderId="0" xfId="0" applyFont="1" applyFill="1" applyBorder="1"/>
    <xf numFmtId="3" fontId="61" fillId="0" borderId="0" xfId="0" applyNumberFormat="1" applyFont="1" applyFill="1" applyBorder="1"/>
    <xf numFmtId="6" fontId="61" fillId="0" borderId="0" xfId="0" applyNumberFormat="1" applyFont="1" applyFill="1" applyBorder="1"/>
    <xf numFmtId="166" fontId="61" fillId="0" borderId="0" xfId="3" applyNumberFormat="1" applyFont="1" applyFill="1" applyBorder="1"/>
    <xf numFmtId="8" fontId="61" fillId="0" borderId="0" xfId="0" applyNumberFormat="1" applyFont="1" applyFill="1" applyBorder="1"/>
    <xf numFmtId="8" fontId="0" fillId="0" borderId="0" xfId="0" applyNumberFormat="1" applyFill="1" applyBorder="1"/>
    <xf numFmtId="0" fontId="14" fillId="0" borderId="0" xfId="4" applyNumberFormat="1" applyFont="1" applyFill="1" applyBorder="1" applyAlignment="1">
      <alignment horizontal="center"/>
    </xf>
    <xf numFmtId="0" fontId="18" fillId="0" borderId="0" xfId="4" applyNumberFormat="1" applyFont="1" applyFill="1" applyBorder="1" applyAlignment="1">
      <alignment horizontal="center" wrapText="1" shrinkToFit="1"/>
    </xf>
    <xf numFmtId="0" fontId="14" fillId="0" borderId="0" xfId="4" quotePrefix="1" applyNumberFormat="1" applyFont="1" applyFill="1" applyBorder="1" applyAlignment="1">
      <alignment horizontal="center" wrapText="1" shrinkToFit="1"/>
    </xf>
    <xf numFmtId="178" fontId="14" fillId="0" borderId="0" xfId="4" applyNumberFormat="1" applyFont="1" applyFill="1" applyBorder="1" applyAlignment="1"/>
    <xf numFmtId="167" fontId="14" fillId="0" borderId="0" xfId="4" applyNumberFormat="1" applyFont="1" applyFill="1" applyBorder="1" applyAlignment="1"/>
    <xf numFmtId="0" fontId="14" fillId="0" borderId="0" xfId="4" applyNumberFormat="1" applyFont="1" applyFill="1" applyBorder="1" applyAlignment="1">
      <alignment horizontal="right"/>
    </xf>
    <xf numFmtId="10" fontId="14" fillId="0" borderId="0" xfId="4" applyNumberFormat="1" applyFont="1" applyFill="1" applyBorder="1" applyAlignment="1"/>
    <xf numFmtId="10" fontId="41" fillId="0" borderId="0" xfId="6" applyNumberFormat="1" applyFont="1" applyFill="1" applyBorder="1" applyAlignment="1" applyProtection="1">
      <protection locked="0"/>
    </xf>
    <xf numFmtId="0" fontId="41" fillId="0" borderId="0" xfId="6" applyNumberFormat="1" applyFont="1" applyFill="1" applyAlignment="1" applyProtection="1">
      <protection locked="0"/>
    </xf>
    <xf numFmtId="10" fontId="41" fillId="0" borderId="0" xfId="6" applyNumberFormat="1" applyFont="1" applyFill="1" applyAlignment="1" applyProtection="1">
      <protection locked="0"/>
    </xf>
    <xf numFmtId="0" fontId="14" fillId="0" borderId="0" xfId="0" quotePrefix="1" applyNumberFormat="1" applyFont="1" applyFill="1" applyBorder="1" applyAlignment="1">
      <alignment horizontal="center" wrapText="1" shrinkToFit="1"/>
    </xf>
    <xf numFmtId="0" fontId="14" fillId="0" borderId="0" xfId="0" applyNumberFormat="1" applyFont="1" applyFill="1" applyBorder="1" applyAlignment="1">
      <alignment horizontal="right"/>
    </xf>
    <xf numFmtId="10" fontId="14" fillId="0" borderId="0" xfId="0" applyNumberFormat="1" applyFont="1" applyFill="1" applyBorder="1" applyAlignment="1"/>
    <xf numFmtId="0" fontId="0" fillId="0" borderId="11" xfId="0" applyBorder="1" applyAlignment="1">
      <alignment horizontal="center"/>
    </xf>
    <xf numFmtId="0" fontId="14" fillId="0" borderId="0" xfId="0" applyNumberFormat="1" applyFont="1" applyFill="1" applyAlignment="1">
      <alignment horizontal="left" wrapText="1"/>
    </xf>
    <xf numFmtId="0" fontId="14" fillId="0" borderId="0" xfId="0" applyNumberFormat="1" applyFont="1" applyFill="1" applyBorder="1" applyAlignment="1">
      <alignment horizontal="center"/>
    </xf>
    <xf numFmtId="0" fontId="14" fillId="0" borderId="0" xfId="4" applyNumberFormat="1" applyFont="1" applyFill="1" applyBorder="1" applyAlignment="1">
      <alignment horizontal="center"/>
    </xf>
    <xf numFmtId="0" fontId="14" fillId="0" borderId="0" xfId="187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14" fillId="0" borderId="15" xfId="0" applyNumberFormat="1" applyFont="1" applyFill="1" applyBorder="1" applyAlignment="1">
      <alignment horizontal="center"/>
    </xf>
    <xf numFmtId="3" fontId="38" fillId="61" borderId="0" xfId="187" applyNumberFormat="1" applyFont="1" applyFill="1"/>
    <xf numFmtId="3" fontId="38" fillId="61" borderId="11" xfId="187" applyNumberFormat="1" applyFont="1" applyFill="1" applyBorder="1"/>
    <xf numFmtId="3" fontId="49" fillId="61" borderId="0" xfId="187" applyNumberFormat="1" applyFill="1"/>
    <xf numFmtId="3" fontId="38" fillId="61" borderId="14" xfId="187" applyNumberFormat="1" applyFont="1" applyFill="1" applyBorder="1"/>
  </cellXfs>
  <cellStyles count="14750">
    <cellStyle name="20% - Accent1" xfId="2152" builtinId="30" customBuiltin="1"/>
    <cellStyle name="20% - Accent1 10" xfId="6023"/>
    <cellStyle name="20% - Accent1 11" xfId="13005"/>
    <cellStyle name="20% - Accent1 2" xfId="9"/>
    <cellStyle name="20% - Accent1 2 2" xfId="228"/>
    <cellStyle name="20% - Accent1 2 3" xfId="227"/>
    <cellStyle name="20% - Accent1 2 3 2" xfId="5966"/>
    <cellStyle name="20% - Accent1 3" xfId="229"/>
    <cellStyle name="20% - Accent1 3 2" xfId="2333"/>
    <cellStyle name="20% - Accent1 3 2 2" xfId="6101"/>
    <cellStyle name="20% - Accent1 3 2 3" xfId="11432"/>
    <cellStyle name="20% - Accent1 3 2 4" xfId="13081"/>
    <cellStyle name="20% - Accent1 3 3" xfId="2384"/>
    <cellStyle name="20% - Accent1 3 3 2" xfId="6152"/>
    <cellStyle name="20% - Accent1 3 3 3" xfId="13132"/>
    <cellStyle name="20% - Accent1 3 4" xfId="2440"/>
    <cellStyle name="20% - Accent1 3 4 2" xfId="6208"/>
    <cellStyle name="20% - Accent1 3 4 3" xfId="13188"/>
    <cellStyle name="20% - Accent1 3 5" xfId="2195"/>
    <cellStyle name="20% - Accent1 3 5 2" xfId="6282"/>
    <cellStyle name="20% - Accent1 3 6" xfId="6050"/>
    <cellStyle name="20% - Accent1 3 7" xfId="13030"/>
    <cellStyle name="20% - Accent1 4" xfId="230"/>
    <cellStyle name="20% - Accent1 4 2" xfId="2315"/>
    <cellStyle name="20% - Accent1 4 2 2" xfId="6283"/>
    <cellStyle name="20% - Accent1 4 3" xfId="6084"/>
    <cellStyle name="20% - Accent1 4 4" xfId="13064"/>
    <cellStyle name="20% - Accent1 5" xfId="231"/>
    <cellStyle name="20% - Accent1 5 2" xfId="2367"/>
    <cellStyle name="20% - Accent1 5 2 2" xfId="6284"/>
    <cellStyle name="20% - Accent1 5 3" xfId="6135"/>
    <cellStyle name="20% - Accent1 5 4" xfId="13115"/>
    <cellStyle name="20% - Accent1 6" xfId="232"/>
    <cellStyle name="20% - Accent1 6 2" xfId="2412"/>
    <cellStyle name="20% - Accent1 6 2 2" xfId="6285"/>
    <cellStyle name="20% - Accent1 6 3" xfId="6180"/>
    <cellStyle name="20% - Accent1 6 4" xfId="13160"/>
    <cellStyle name="20% - Accent1 7" xfId="233"/>
    <cellStyle name="20% - Accent1 8" xfId="234"/>
    <cellStyle name="20% - Accent1 9" xfId="5942"/>
    <cellStyle name="20% - Accent1 9 2" xfId="11400"/>
    <cellStyle name="20% - Accent2" xfId="2156" builtinId="34" customBuiltin="1"/>
    <cellStyle name="20% - Accent2 2" xfId="10"/>
    <cellStyle name="20% - Accent2 2 2" xfId="235"/>
    <cellStyle name="20% - Accent2 3" xfId="236"/>
    <cellStyle name="20% - Accent2 3 2" xfId="2335"/>
    <cellStyle name="20% - Accent2 3 2 2" xfId="6103"/>
    <cellStyle name="20% - Accent2 3 2 3" xfId="11434"/>
    <cellStyle name="20% - Accent2 3 2 4" xfId="13083"/>
    <cellStyle name="20% - Accent2 3 3" xfId="2386"/>
    <cellStyle name="20% - Accent2 3 3 2" xfId="6154"/>
    <cellStyle name="20% - Accent2 3 3 3" xfId="13134"/>
    <cellStyle name="20% - Accent2 3 4" xfId="2442"/>
    <cellStyle name="20% - Accent2 3 4 2" xfId="6210"/>
    <cellStyle name="20% - Accent2 3 4 3" xfId="13190"/>
    <cellStyle name="20% - Accent2 3 5" xfId="2197"/>
    <cellStyle name="20% - Accent2 3 5 2" xfId="6286"/>
    <cellStyle name="20% - Accent2 3 6" xfId="6052"/>
    <cellStyle name="20% - Accent2 3 7" xfId="13032"/>
    <cellStyle name="20% - Accent2 4" xfId="237"/>
    <cellStyle name="20% - Accent2 4 2" xfId="2317"/>
    <cellStyle name="20% - Accent2 4 2 2" xfId="6287"/>
    <cellStyle name="20% - Accent2 4 3" xfId="6086"/>
    <cellStyle name="20% - Accent2 4 4" xfId="13066"/>
    <cellStyle name="20% - Accent2 5" xfId="238"/>
    <cellStyle name="20% - Accent2 5 2" xfId="2369"/>
    <cellStyle name="20% - Accent2 5 2 2" xfId="6288"/>
    <cellStyle name="20% - Accent2 5 3" xfId="6137"/>
    <cellStyle name="20% - Accent2 5 4" xfId="13117"/>
    <cellStyle name="20% - Accent2 6" xfId="239"/>
    <cellStyle name="20% - Accent2 6 2" xfId="2414"/>
    <cellStyle name="20% - Accent2 6 2 2" xfId="6289"/>
    <cellStyle name="20% - Accent2 6 3" xfId="6182"/>
    <cellStyle name="20% - Accent2 6 4" xfId="13162"/>
    <cellStyle name="20% - Accent2 7" xfId="5946"/>
    <cellStyle name="20% - Accent2 7 2" xfId="11402"/>
    <cellStyle name="20% - Accent2 8" xfId="6025"/>
    <cellStyle name="20% - Accent2 9" xfId="13007"/>
    <cellStyle name="20% - Accent3" xfId="2160" builtinId="38" customBuiltin="1"/>
    <cellStyle name="20% - Accent3 10" xfId="6027"/>
    <cellStyle name="20% - Accent3 11" xfId="13009"/>
    <cellStyle name="20% - Accent3 2" xfId="11"/>
    <cellStyle name="20% - Accent3 2 2" xfId="241"/>
    <cellStyle name="20% - Accent3 2 3" xfId="240"/>
    <cellStyle name="20% - Accent3 2 3 2" xfId="5967"/>
    <cellStyle name="20% - Accent3 3" xfId="242"/>
    <cellStyle name="20% - Accent3 3 2" xfId="2337"/>
    <cellStyle name="20% - Accent3 3 2 2" xfId="6105"/>
    <cellStyle name="20% - Accent3 3 2 3" xfId="11436"/>
    <cellStyle name="20% - Accent3 3 2 4" xfId="13085"/>
    <cellStyle name="20% - Accent3 3 3" xfId="2388"/>
    <cellStyle name="20% - Accent3 3 3 2" xfId="6156"/>
    <cellStyle name="20% - Accent3 3 3 3" xfId="13136"/>
    <cellStyle name="20% - Accent3 3 4" xfId="2444"/>
    <cellStyle name="20% - Accent3 3 4 2" xfId="6212"/>
    <cellStyle name="20% - Accent3 3 4 3" xfId="13192"/>
    <cellStyle name="20% - Accent3 3 5" xfId="2199"/>
    <cellStyle name="20% - Accent3 3 5 2" xfId="6290"/>
    <cellStyle name="20% - Accent3 3 6" xfId="6054"/>
    <cellStyle name="20% - Accent3 3 7" xfId="13034"/>
    <cellStyle name="20% - Accent3 4" xfId="243"/>
    <cellStyle name="20% - Accent3 4 2" xfId="2319"/>
    <cellStyle name="20% - Accent3 4 2 2" xfId="6291"/>
    <cellStyle name="20% - Accent3 4 3" xfId="6088"/>
    <cellStyle name="20% - Accent3 4 4" xfId="13068"/>
    <cellStyle name="20% - Accent3 5" xfId="244"/>
    <cellStyle name="20% - Accent3 5 2" xfId="2371"/>
    <cellStyle name="20% - Accent3 5 2 2" xfId="6292"/>
    <cellStyle name="20% - Accent3 5 3" xfId="6139"/>
    <cellStyle name="20% - Accent3 5 4" xfId="13119"/>
    <cellStyle name="20% - Accent3 6" xfId="245"/>
    <cellStyle name="20% - Accent3 6 2" xfId="2416"/>
    <cellStyle name="20% - Accent3 6 2 2" xfId="6293"/>
    <cellStyle name="20% - Accent3 6 3" xfId="6184"/>
    <cellStyle name="20% - Accent3 6 4" xfId="13164"/>
    <cellStyle name="20% - Accent3 7" xfId="246"/>
    <cellStyle name="20% - Accent3 8" xfId="247"/>
    <cellStyle name="20% - Accent3 9" xfId="5950"/>
    <cellStyle name="20% - Accent3 9 2" xfId="11404"/>
    <cellStyle name="20% - Accent4" xfId="2164" builtinId="42" customBuiltin="1"/>
    <cellStyle name="20% - Accent4 10" xfId="6029"/>
    <cellStyle name="20% - Accent4 11" xfId="13011"/>
    <cellStyle name="20% - Accent4 2" xfId="12"/>
    <cellStyle name="20% - Accent4 2 2" xfId="249"/>
    <cellStyle name="20% - Accent4 2 3" xfId="248"/>
    <cellStyle name="20% - Accent4 2 3 2" xfId="5968"/>
    <cellStyle name="20% - Accent4 3" xfId="250"/>
    <cellStyle name="20% - Accent4 3 2" xfId="2339"/>
    <cellStyle name="20% - Accent4 3 2 2" xfId="6107"/>
    <cellStyle name="20% - Accent4 3 2 3" xfId="11438"/>
    <cellStyle name="20% - Accent4 3 2 4" xfId="13087"/>
    <cellStyle name="20% - Accent4 3 3" xfId="2390"/>
    <cellStyle name="20% - Accent4 3 3 2" xfId="6158"/>
    <cellStyle name="20% - Accent4 3 3 3" xfId="13138"/>
    <cellStyle name="20% - Accent4 3 4" xfId="2446"/>
    <cellStyle name="20% - Accent4 3 4 2" xfId="6214"/>
    <cellStyle name="20% - Accent4 3 4 3" xfId="13194"/>
    <cellStyle name="20% - Accent4 3 5" xfId="2201"/>
    <cellStyle name="20% - Accent4 3 5 2" xfId="6294"/>
    <cellStyle name="20% - Accent4 3 6" xfId="6056"/>
    <cellStyle name="20% - Accent4 3 7" xfId="13036"/>
    <cellStyle name="20% - Accent4 4" xfId="251"/>
    <cellStyle name="20% - Accent4 4 2" xfId="2321"/>
    <cellStyle name="20% - Accent4 4 2 2" xfId="6295"/>
    <cellStyle name="20% - Accent4 4 3" xfId="6090"/>
    <cellStyle name="20% - Accent4 4 4" xfId="13070"/>
    <cellStyle name="20% - Accent4 5" xfId="252"/>
    <cellStyle name="20% - Accent4 5 2" xfId="2373"/>
    <cellStyle name="20% - Accent4 5 2 2" xfId="6296"/>
    <cellStyle name="20% - Accent4 5 3" xfId="6141"/>
    <cellStyle name="20% - Accent4 5 4" xfId="13121"/>
    <cellStyle name="20% - Accent4 6" xfId="253"/>
    <cellStyle name="20% - Accent4 6 2" xfId="2418"/>
    <cellStyle name="20% - Accent4 6 2 2" xfId="6297"/>
    <cellStyle name="20% - Accent4 6 3" xfId="6186"/>
    <cellStyle name="20% - Accent4 6 4" xfId="13166"/>
    <cellStyle name="20% - Accent4 7" xfId="254"/>
    <cellStyle name="20% - Accent4 8" xfId="255"/>
    <cellStyle name="20% - Accent4 9" xfId="5954"/>
    <cellStyle name="20% - Accent4 9 2" xfId="11406"/>
    <cellStyle name="20% - Accent5" xfId="2168" builtinId="46" customBuiltin="1"/>
    <cellStyle name="20% - Accent5 2" xfId="13"/>
    <cellStyle name="20% - Accent5 2 2" xfId="256"/>
    <cellStyle name="20% - Accent5 3" xfId="257"/>
    <cellStyle name="20% - Accent5 3 2" xfId="2341"/>
    <cellStyle name="20% - Accent5 3 2 2" xfId="6109"/>
    <cellStyle name="20% - Accent5 3 2 3" xfId="11440"/>
    <cellStyle name="20% - Accent5 3 2 4" xfId="13089"/>
    <cellStyle name="20% - Accent5 3 3" xfId="2392"/>
    <cellStyle name="20% - Accent5 3 3 2" xfId="6160"/>
    <cellStyle name="20% - Accent5 3 3 3" xfId="13140"/>
    <cellStyle name="20% - Accent5 3 4" xfId="2448"/>
    <cellStyle name="20% - Accent5 3 4 2" xfId="6216"/>
    <cellStyle name="20% - Accent5 3 4 3" xfId="13196"/>
    <cellStyle name="20% - Accent5 3 5" xfId="2203"/>
    <cellStyle name="20% - Accent5 3 5 2" xfId="6298"/>
    <cellStyle name="20% - Accent5 3 6" xfId="6058"/>
    <cellStyle name="20% - Accent5 3 7" xfId="13038"/>
    <cellStyle name="20% - Accent5 4" xfId="258"/>
    <cellStyle name="20% - Accent5 4 2" xfId="2323"/>
    <cellStyle name="20% - Accent5 4 2 2" xfId="6299"/>
    <cellStyle name="20% - Accent5 4 3" xfId="6092"/>
    <cellStyle name="20% - Accent5 4 4" xfId="13072"/>
    <cellStyle name="20% - Accent5 5" xfId="259"/>
    <cellStyle name="20% - Accent5 5 2" xfId="2375"/>
    <cellStyle name="20% - Accent5 5 2 2" xfId="6300"/>
    <cellStyle name="20% - Accent5 5 3" xfId="6143"/>
    <cellStyle name="20% - Accent5 5 4" xfId="13123"/>
    <cellStyle name="20% - Accent5 6" xfId="260"/>
    <cellStyle name="20% - Accent5 6 2" xfId="2420"/>
    <cellStyle name="20% - Accent5 6 2 2" xfId="6301"/>
    <cellStyle name="20% - Accent5 6 3" xfId="6188"/>
    <cellStyle name="20% - Accent5 6 4" xfId="13168"/>
    <cellStyle name="20% - Accent5 7" xfId="5958"/>
    <cellStyle name="20% - Accent5 7 2" xfId="11408"/>
    <cellStyle name="20% - Accent5 8" xfId="6031"/>
    <cellStyle name="20% - Accent5 9" xfId="13013"/>
    <cellStyle name="20% - Accent6" xfId="2172" builtinId="50" customBuiltin="1"/>
    <cellStyle name="20% - Accent6 2" xfId="14"/>
    <cellStyle name="20% - Accent6 2 2" xfId="261"/>
    <cellStyle name="20% - Accent6 3" xfId="262"/>
    <cellStyle name="20% - Accent6 3 2" xfId="2343"/>
    <cellStyle name="20% - Accent6 3 2 2" xfId="6111"/>
    <cellStyle name="20% - Accent6 3 2 3" xfId="11442"/>
    <cellStyle name="20% - Accent6 3 2 4" xfId="13091"/>
    <cellStyle name="20% - Accent6 3 3" xfId="2394"/>
    <cellStyle name="20% - Accent6 3 3 2" xfId="6162"/>
    <cellStyle name="20% - Accent6 3 3 3" xfId="13142"/>
    <cellStyle name="20% - Accent6 3 4" xfId="2450"/>
    <cellStyle name="20% - Accent6 3 4 2" xfId="6218"/>
    <cellStyle name="20% - Accent6 3 4 3" xfId="13198"/>
    <cellStyle name="20% - Accent6 3 5" xfId="2205"/>
    <cellStyle name="20% - Accent6 3 5 2" xfId="6302"/>
    <cellStyle name="20% - Accent6 3 6" xfId="6060"/>
    <cellStyle name="20% - Accent6 3 7" xfId="13040"/>
    <cellStyle name="20% - Accent6 4" xfId="263"/>
    <cellStyle name="20% - Accent6 4 2" xfId="2325"/>
    <cellStyle name="20% - Accent6 4 2 2" xfId="6303"/>
    <cellStyle name="20% - Accent6 4 3" xfId="6094"/>
    <cellStyle name="20% - Accent6 4 4" xfId="13074"/>
    <cellStyle name="20% - Accent6 5" xfId="264"/>
    <cellStyle name="20% - Accent6 5 2" xfId="2377"/>
    <cellStyle name="20% - Accent6 5 2 2" xfId="6304"/>
    <cellStyle name="20% - Accent6 5 3" xfId="6145"/>
    <cellStyle name="20% - Accent6 5 4" xfId="13125"/>
    <cellStyle name="20% - Accent6 6" xfId="265"/>
    <cellStyle name="20% - Accent6 6 2" xfId="2422"/>
    <cellStyle name="20% - Accent6 6 2 2" xfId="6305"/>
    <cellStyle name="20% - Accent6 6 3" xfId="6190"/>
    <cellStyle name="20% - Accent6 6 4" xfId="13170"/>
    <cellStyle name="20% - Accent6 7" xfId="5962"/>
    <cellStyle name="20% - Accent6 7 2" xfId="11410"/>
    <cellStyle name="20% - Accent6 8" xfId="6033"/>
    <cellStyle name="20% - Accent6 9" xfId="13015"/>
    <cellStyle name="40% - Accent1" xfId="2153" builtinId="31" customBuiltin="1"/>
    <cellStyle name="40% - Accent1 10" xfId="6024"/>
    <cellStyle name="40% - Accent1 11" xfId="13006"/>
    <cellStyle name="40% - Accent1 2" xfId="15"/>
    <cellStyle name="40% - Accent1 2 2" xfId="267"/>
    <cellStyle name="40% - Accent1 2 3" xfId="266"/>
    <cellStyle name="40% - Accent1 2 3 2" xfId="5969"/>
    <cellStyle name="40% - Accent1 3" xfId="268"/>
    <cellStyle name="40% - Accent1 3 2" xfId="2334"/>
    <cellStyle name="40% - Accent1 3 2 2" xfId="6102"/>
    <cellStyle name="40% - Accent1 3 2 3" xfId="11433"/>
    <cellStyle name="40% - Accent1 3 2 4" xfId="13082"/>
    <cellStyle name="40% - Accent1 3 3" xfId="2385"/>
    <cellStyle name="40% - Accent1 3 3 2" xfId="6153"/>
    <cellStyle name="40% - Accent1 3 3 3" xfId="13133"/>
    <cellStyle name="40% - Accent1 3 4" xfId="2441"/>
    <cellStyle name="40% - Accent1 3 4 2" xfId="6209"/>
    <cellStyle name="40% - Accent1 3 4 3" xfId="13189"/>
    <cellStyle name="40% - Accent1 3 5" xfId="2196"/>
    <cellStyle name="40% - Accent1 3 5 2" xfId="6306"/>
    <cellStyle name="40% - Accent1 3 6" xfId="6051"/>
    <cellStyle name="40% - Accent1 3 7" xfId="13031"/>
    <cellStyle name="40% - Accent1 4" xfId="269"/>
    <cellStyle name="40% - Accent1 4 2" xfId="2316"/>
    <cellStyle name="40% - Accent1 4 2 2" xfId="6307"/>
    <cellStyle name="40% - Accent1 4 3" xfId="6085"/>
    <cellStyle name="40% - Accent1 4 4" xfId="13065"/>
    <cellStyle name="40% - Accent1 5" xfId="270"/>
    <cellStyle name="40% - Accent1 5 2" xfId="2368"/>
    <cellStyle name="40% - Accent1 5 2 2" xfId="6308"/>
    <cellStyle name="40% - Accent1 5 3" xfId="6136"/>
    <cellStyle name="40% - Accent1 5 4" xfId="13116"/>
    <cellStyle name="40% - Accent1 6" xfId="271"/>
    <cellStyle name="40% - Accent1 6 2" xfId="2413"/>
    <cellStyle name="40% - Accent1 6 2 2" xfId="6309"/>
    <cellStyle name="40% - Accent1 6 3" xfId="6181"/>
    <cellStyle name="40% - Accent1 6 4" xfId="13161"/>
    <cellStyle name="40% - Accent1 7" xfId="272"/>
    <cellStyle name="40% - Accent1 8" xfId="273"/>
    <cellStyle name="40% - Accent1 9" xfId="5943"/>
    <cellStyle name="40% - Accent1 9 2" xfId="11401"/>
    <cellStyle name="40% - Accent2" xfId="2157" builtinId="35" customBuiltin="1"/>
    <cellStyle name="40% - Accent2 2" xfId="16"/>
    <cellStyle name="40% - Accent2 2 2" xfId="274"/>
    <cellStyle name="40% - Accent2 3" xfId="275"/>
    <cellStyle name="40% - Accent2 3 2" xfId="2336"/>
    <cellStyle name="40% - Accent2 3 2 2" xfId="6104"/>
    <cellStyle name="40% - Accent2 3 2 3" xfId="11435"/>
    <cellStyle name="40% - Accent2 3 2 4" xfId="13084"/>
    <cellStyle name="40% - Accent2 3 3" xfId="2387"/>
    <cellStyle name="40% - Accent2 3 3 2" xfId="6155"/>
    <cellStyle name="40% - Accent2 3 3 3" xfId="13135"/>
    <cellStyle name="40% - Accent2 3 4" xfId="2443"/>
    <cellStyle name="40% - Accent2 3 4 2" xfId="6211"/>
    <cellStyle name="40% - Accent2 3 4 3" xfId="13191"/>
    <cellStyle name="40% - Accent2 3 5" xfId="2198"/>
    <cellStyle name="40% - Accent2 3 5 2" xfId="6310"/>
    <cellStyle name="40% - Accent2 3 6" xfId="6053"/>
    <cellStyle name="40% - Accent2 3 7" xfId="13033"/>
    <cellStyle name="40% - Accent2 4" xfId="276"/>
    <cellStyle name="40% - Accent2 4 2" xfId="2318"/>
    <cellStyle name="40% - Accent2 4 2 2" xfId="6311"/>
    <cellStyle name="40% - Accent2 4 3" xfId="6087"/>
    <cellStyle name="40% - Accent2 4 4" xfId="13067"/>
    <cellStyle name="40% - Accent2 5" xfId="277"/>
    <cellStyle name="40% - Accent2 5 2" xfId="2370"/>
    <cellStyle name="40% - Accent2 5 2 2" xfId="6312"/>
    <cellStyle name="40% - Accent2 5 3" xfId="6138"/>
    <cellStyle name="40% - Accent2 5 4" xfId="13118"/>
    <cellStyle name="40% - Accent2 6" xfId="278"/>
    <cellStyle name="40% - Accent2 6 2" xfId="2415"/>
    <cellStyle name="40% - Accent2 6 2 2" xfId="6313"/>
    <cellStyle name="40% - Accent2 6 3" xfId="6183"/>
    <cellStyle name="40% - Accent2 6 4" xfId="13163"/>
    <cellStyle name="40% - Accent2 7" xfId="5947"/>
    <cellStyle name="40% - Accent2 7 2" xfId="11403"/>
    <cellStyle name="40% - Accent2 8" xfId="6026"/>
    <cellStyle name="40% - Accent2 9" xfId="13008"/>
    <cellStyle name="40% - Accent3" xfId="2161" builtinId="39" customBuiltin="1"/>
    <cellStyle name="40% - Accent3 10" xfId="6028"/>
    <cellStyle name="40% - Accent3 11" xfId="13010"/>
    <cellStyle name="40% - Accent3 2" xfId="17"/>
    <cellStyle name="40% - Accent3 2 2" xfId="280"/>
    <cellStyle name="40% - Accent3 2 3" xfId="279"/>
    <cellStyle name="40% - Accent3 2 3 2" xfId="5970"/>
    <cellStyle name="40% - Accent3 3" xfId="281"/>
    <cellStyle name="40% - Accent3 3 2" xfId="2338"/>
    <cellStyle name="40% - Accent3 3 2 2" xfId="6106"/>
    <cellStyle name="40% - Accent3 3 2 3" xfId="11437"/>
    <cellStyle name="40% - Accent3 3 2 4" xfId="13086"/>
    <cellStyle name="40% - Accent3 3 3" xfId="2389"/>
    <cellStyle name="40% - Accent3 3 3 2" xfId="6157"/>
    <cellStyle name="40% - Accent3 3 3 3" xfId="13137"/>
    <cellStyle name="40% - Accent3 3 4" xfId="2445"/>
    <cellStyle name="40% - Accent3 3 4 2" xfId="6213"/>
    <cellStyle name="40% - Accent3 3 4 3" xfId="13193"/>
    <cellStyle name="40% - Accent3 3 5" xfId="2200"/>
    <cellStyle name="40% - Accent3 3 5 2" xfId="6314"/>
    <cellStyle name="40% - Accent3 3 6" xfId="6055"/>
    <cellStyle name="40% - Accent3 3 7" xfId="13035"/>
    <cellStyle name="40% - Accent3 4" xfId="282"/>
    <cellStyle name="40% - Accent3 4 2" xfId="2320"/>
    <cellStyle name="40% - Accent3 4 2 2" xfId="6315"/>
    <cellStyle name="40% - Accent3 4 3" xfId="6089"/>
    <cellStyle name="40% - Accent3 4 4" xfId="13069"/>
    <cellStyle name="40% - Accent3 5" xfId="283"/>
    <cellStyle name="40% - Accent3 5 2" xfId="2372"/>
    <cellStyle name="40% - Accent3 5 2 2" xfId="6316"/>
    <cellStyle name="40% - Accent3 5 3" xfId="6140"/>
    <cellStyle name="40% - Accent3 5 4" xfId="13120"/>
    <cellStyle name="40% - Accent3 6" xfId="284"/>
    <cellStyle name="40% - Accent3 6 2" xfId="2417"/>
    <cellStyle name="40% - Accent3 6 2 2" xfId="6317"/>
    <cellStyle name="40% - Accent3 6 3" xfId="6185"/>
    <cellStyle name="40% - Accent3 6 4" xfId="13165"/>
    <cellStyle name="40% - Accent3 7" xfId="285"/>
    <cellStyle name="40% - Accent3 8" xfId="286"/>
    <cellStyle name="40% - Accent3 9" xfId="5951"/>
    <cellStyle name="40% - Accent3 9 2" xfId="11405"/>
    <cellStyle name="40% - Accent4" xfId="2165" builtinId="43" customBuiltin="1"/>
    <cellStyle name="40% - Accent4 10" xfId="6030"/>
    <cellStyle name="40% - Accent4 11" xfId="13012"/>
    <cellStyle name="40% - Accent4 2" xfId="18"/>
    <cellStyle name="40% - Accent4 2 2" xfId="288"/>
    <cellStyle name="40% - Accent4 2 3" xfId="287"/>
    <cellStyle name="40% - Accent4 2 3 2" xfId="5971"/>
    <cellStyle name="40% - Accent4 3" xfId="289"/>
    <cellStyle name="40% - Accent4 3 2" xfId="2340"/>
    <cellStyle name="40% - Accent4 3 2 2" xfId="6108"/>
    <cellStyle name="40% - Accent4 3 2 3" xfId="11439"/>
    <cellStyle name="40% - Accent4 3 2 4" xfId="13088"/>
    <cellStyle name="40% - Accent4 3 3" xfId="2391"/>
    <cellStyle name="40% - Accent4 3 3 2" xfId="6159"/>
    <cellStyle name="40% - Accent4 3 3 3" xfId="13139"/>
    <cellStyle name="40% - Accent4 3 4" xfId="2447"/>
    <cellStyle name="40% - Accent4 3 4 2" xfId="6215"/>
    <cellStyle name="40% - Accent4 3 4 3" xfId="13195"/>
    <cellStyle name="40% - Accent4 3 5" xfId="2202"/>
    <cellStyle name="40% - Accent4 3 5 2" xfId="6318"/>
    <cellStyle name="40% - Accent4 3 6" xfId="6057"/>
    <cellStyle name="40% - Accent4 3 7" xfId="13037"/>
    <cellStyle name="40% - Accent4 4" xfId="290"/>
    <cellStyle name="40% - Accent4 4 2" xfId="2322"/>
    <cellStyle name="40% - Accent4 4 2 2" xfId="6319"/>
    <cellStyle name="40% - Accent4 4 3" xfId="6091"/>
    <cellStyle name="40% - Accent4 4 4" xfId="13071"/>
    <cellStyle name="40% - Accent4 5" xfId="291"/>
    <cellStyle name="40% - Accent4 5 2" xfId="2374"/>
    <cellStyle name="40% - Accent4 5 2 2" xfId="6320"/>
    <cellStyle name="40% - Accent4 5 3" xfId="6142"/>
    <cellStyle name="40% - Accent4 5 4" xfId="13122"/>
    <cellStyle name="40% - Accent4 6" xfId="292"/>
    <cellStyle name="40% - Accent4 6 2" xfId="2419"/>
    <cellStyle name="40% - Accent4 6 2 2" xfId="6321"/>
    <cellStyle name="40% - Accent4 6 3" xfId="6187"/>
    <cellStyle name="40% - Accent4 6 4" xfId="13167"/>
    <cellStyle name="40% - Accent4 7" xfId="293"/>
    <cellStyle name="40% - Accent4 8" xfId="294"/>
    <cellStyle name="40% - Accent4 9" xfId="5955"/>
    <cellStyle name="40% - Accent4 9 2" xfId="11407"/>
    <cellStyle name="40% - Accent5" xfId="2169" builtinId="47" customBuiltin="1"/>
    <cellStyle name="40% - Accent5 2" xfId="19"/>
    <cellStyle name="40% - Accent5 2 2" xfId="295"/>
    <cellStyle name="40% - Accent5 3" xfId="296"/>
    <cellStyle name="40% - Accent5 3 2" xfId="2342"/>
    <cellStyle name="40% - Accent5 3 2 2" xfId="6110"/>
    <cellStyle name="40% - Accent5 3 2 3" xfId="11441"/>
    <cellStyle name="40% - Accent5 3 2 4" xfId="13090"/>
    <cellStyle name="40% - Accent5 3 3" xfId="2393"/>
    <cellStyle name="40% - Accent5 3 3 2" xfId="6161"/>
    <cellStyle name="40% - Accent5 3 3 3" xfId="13141"/>
    <cellStyle name="40% - Accent5 3 4" xfId="2449"/>
    <cellStyle name="40% - Accent5 3 4 2" xfId="6217"/>
    <cellStyle name="40% - Accent5 3 4 3" xfId="13197"/>
    <cellStyle name="40% - Accent5 3 5" xfId="2204"/>
    <cellStyle name="40% - Accent5 3 5 2" xfId="6322"/>
    <cellStyle name="40% - Accent5 3 6" xfId="6059"/>
    <cellStyle name="40% - Accent5 3 7" xfId="13039"/>
    <cellStyle name="40% - Accent5 4" xfId="297"/>
    <cellStyle name="40% - Accent5 4 2" xfId="2324"/>
    <cellStyle name="40% - Accent5 4 2 2" xfId="6323"/>
    <cellStyle name="40% - Accent5 4 3" xfId="6093"/>
    <cellStyle name="40% - Accent5 4 4" xfId="13073"/>
    <cellStyle name="40% - Accent5 5" xfId="298"/>
    <cellStyle name="40% - Accent5 5 2" xfId="2376"/>
    <cellStyle name="40% - Accent5 5 2 2" xfId="6324"/>
    <cellStyle name="40% - Accent5 5 3" xfId="6144"/>
    <cellStyle name="40% - Accent5 5 4" xfId="13124"/>
    <cellStyle name="40% - Accent5 6" xfId="299"/>
    <cellStyle name="40% - Accent5 6 2" xfId="2421"/>
    <cellStyle name="40% - Accent5 6 2 2" xfId="6325"/>
    <cellStyle name="40% - Accent5 6 3" xfId="6189"/>
    <cellStyle name="40% - Accent5 6 4" xfId="13169"/>
    <cellStyle name="40% - Accent5 7" xfId="5959"/>
    <cellStyle name="40% - Accent5 7 2" xfId="11409"/>
    <cellStyle name="40% - Accent5 8" xfId="6032"/>
    <cellStyle name="40% - Accent5 9" xfId="13014"/>
    <cellStyle name="40% - Accent6" xfId="2173" builtinId="51" customBuiltin="1"/>
    <cellStyle name="40% - Accent6 10" xfId="6034"/>
    <cellStyle name="40% - Accent6 11" xfId="13016"/>
    <cellStyle name="40% - Accent6 2" xfId="20"/>
    <cellStyle name="40% - Accent6 2 2" xfId="301"/>
    <cellStyle name="40% - Accent6 2 3" xfId="300"/>
    <cellStyle name="40% - Accent6 2 3 2" xfId="5972"/>
    <cellStyle name="40% - Accent6 3" xfId="302"/>
    <cellStyle name="40% - Accent6 3 2" xfId="2344"/>
    <cellStyle name="40% - Accent6 3 2 2" xfId="6112"/>
    <cellStyle name="40% - Accent6 3 2 3" xfId="11443"/>
    <cellStyle name="40% - Accent6 3 2 4" xfId="13092"/>
    <cellStyle name="40% - Accent6 3 3" xfId="2395"/>
    <cellStyle name="40% - Accent6 3 3 2" xfId="6163"/>
    <cellStyle name="40% - Accent6 3 3 3" xfId="13143"/>
    <cellStyle name="40% - Accent6 3 4" xfId="2451"/>
    <cellStyle name="40% - Accent6 3 4 2" xfId="6219"/>
    <cellStyle name="40% - Accent6 3 4 3" xfId="13199"/>
    <cellStyle name="40% - Accent6 3 5" xfId="2206"/>
    <cellStyle name="40% - Accent6 3 5 2" xfId="6326"/>
    <cellStyle name="40% - Accent6 3 6" xfId="6061"/>
    <cellStyle name="40% - Accent6 3 7" xfId="13041"/>
    <cellStyle name="40% - Accent6 4" xfId="303"/>
    <cellStyle name="40% - Accent6 4 2" xfId="2326"/>
    <cellStyle name="40% - Accent6 4 2 2" xfId="6327"/>
    <cellStyle name="40% - Accent6 4 3" xfId="6095"/>
    <cellStyle name="40% - Accent6 4 4" xfId="13075"/>
    <cellStyle name="40% - Accent6 5" xfId="304"/>
    <cellStyle name="40% - Accent6 5 2" xfId="2378"/>
    <cellStyle name="40% - Accent6 5 2 2" xfId="6328"/>
    <cellStyle name="40% - Accent6 5 3" xfId="6146"/>
    <cellStyle name="40% - Accent6 5 4" xfId="13126"/>
    <cellStyle name="40% - Accent6 6" xfId="305"/>
    <cellStyle name="40% - Accent6 6 2" xfId="2423"/>
    <cellStyle name="40% - Accent6 6 2 2" xfId="6329"/>
    <cellStyle name="40% - Accent6 6 3" xfId="6191"/>
    <cellStyle name="40% - Accent6 6 4" xfId="13171"/>
    <cellStyle name="40% - Accent6 7" xfId="306"/>
    <cellStyle name="40% - Accent6 8" xfId="307"/>
    <cellStyle name="40% - Accent6 9" xfId="5963"/>
    <cellStyle name="40% - Accent6 9 2" xfId="11411"/>
    <cellStyle name="60% - Accent1" xfId="2154" builtinId="32" customBuiltin="1"/>
    <cellStyle name="60% - Accent1 2" xfId="21"/>
    <cellStyle name="60% - Accent1 2 2" xfId="308"/>
    <cellStyle name="60% - Accent1 2 2 2" xfId="5973"/>
    <cellStyle name="60% - Accent1 3" xfId="309"/>
    <cellStyle name="60% - Accent1 4" xfId="310"/>
    <cellStyle name="60% - Accent1 5" xfId="311"/>
    <cellStyle name="60% - Accent1 6" xfId="312"/>
    <cellStyle name="60% - Accent1 7" xfId="313"/>
    <cellStyle name="60% - Accent1 8" xfId="314"/>
    <cellStyle name="60% - Accent1 9" xfId="5944"/>
    <cellStyle name="60% - Accent2" xfId="2158" builtinId="36" customBuiltin="1"/>
    <cellStyle name="60% - Accent2 2" xfId="22"/>
    <cellStyle name="60% - Accent2 3" xfId="315"/>
    <cellStyle name="60% - Accent2 4" xfId="316"/>
    <cellStyle name="60% - Accent2 5" xfId="317"/>
    <cellStyle name="60% - Accent2 6" xfId="318"/>
    <cellStyle name="60% - Accent2 7" xfId="5948"/>
    <cellStyle name="60% - Accent3" xfId="2162" builtinId="40" customBuiltin="1"/>
    <cellStyle name="60% - Accent3 2" xfId="23"/>
    <cellStyle name="60% - Accent3 2 2" xfId="319"/>
    <cellStyle name="60% - Accent3 2 2 2" xfId="5975"/>
    <cellStyle name="60% - Accent3 3" xfId="320"/>
    <cellStyle name="60% - Accent3 4" xfId="321"/>
    <cellStyle name="60% - Accent3 5" xfId="322"/>
    <cellStyle name="60% - Accent3 6" xfId="323"/>
    <cellStyle name="60% - Accent3 7" xfId="324"/>
    <cellStyle name="60% - Accent3 8" xfId="325"/>
    <cellStyle name="60% - Accent3 9" xfId="5952"/>
    <cellStyle name="60% - Accent4" xfId="2166" builtinId="44" customBuiltin="1"/>
    <cellStyle name="60% - Accent4 2" xfId="24"/>
    <cellStyle name="60% - Accent4 2 2" xfId="326"/>
    <cellStyle name="60% - Accent4 2 2 2" xfId="5976"/>
    <cellStyle name="60% - Accent4 3" xfId="327"/>
    <cellStyle name="60% - Accent4 4" xfId="328"/>
    <cellStyle name="60% - Accent4 5" xfId="329"/>
    <cellStyle name="60% - Accent4 6" xfId="330"/>
    <cellStyle name="60% - Accent4 7" xfId="331"/>
    <cellStyle name="60% - Accent4 8" xfId="332"/>
    <cellStyle name="60% - Accent4 9" xfId="5956"/>
    <cellStyle name="60% - Accent5" xfId="2170" builtinId="48" customBuiltin="1"/>
    <cellStyle name="60% - Accent5 2" xfId="25"/>
    <cellStyle name="60% - Accent5 3" xfId="333"/>
    <cellStyle name="60% - Accent5 4" xfId="334"/>
    <cellStyle name="60% - Accent5 5" xfId="335"/>
    <cellStyle name="60% - Accent5 6" xfId="336"/>
    <cellStyle name="60% - Accent5 7" xfId="5960"/>
    <cellStyle name="60% - Accent6" xfId="2174" builtinId="52" customBuiltin="1"/>
    <cellStyle name="60% - Accent6 2" xfId="26"/>
    <cellStyle name="60% - Accent6 2 2" xfId="337"/>
    <cellStyle name="60% - Accent6 2 2 2" xfId="5977"/>
    <cellStyle name="60% - Accent6 3" xfId="338"/>
    <cellStyle name="60% - Accent6 4" xfId="339"/>
    <cellStyle name="60% - Accent6 5" xfId="340"/>
    <cellStyle name="60% - Accent6 6" xfId="341"/>
    <cellStyle name="60% - Accent6 7" xfId="342"/>
    <cellStyle name="60% - Accent6 8" xfId="343"/>
    <cellStyle name="60% - Accent6 9" xfId="5964"/>
    <cellStyle name="Accent1" xfId="2151" builtinId="29" customBuiltin="1"/>
    <cellStyle name="Accent1 2" xfId="27"/>
    <cellStyle name="Accent1 2 2" xfId="344"/>
    <cellStyle name="Accent1 2 2 2" xfId="5978"/>
    <cellStyle name="Accent1 3" xfId="345"/>
    <cellStyle name="Accent1 4" xfId="346"/>
    <cellStyle name="Accent1 5" xfId="347"/>
    <cellStyle name="Accent1 6" xfId="348"/>
    <cellStyle name="Accent1 7" xfId="349"/>
    <cellStyle name="Accent1 8" xfId="350"/>
    <cellStyle name="Accent1 9" xfId="5941"/>
    <cellStyle name="Accent2" xfId="2155" builtinId="33" customBuiltin="1"/>
    <cellStyle name="Accent2 2" xfId="28"/>
    <cellStyle name="Accent2 3" xfId="351"/>
    <cellStyle name="Accent2 4" xfId="352"/>
    <cellStyle name="Accent2 5" xfId="353"/>
    <cellStyle name="Accent2 6" xfId="354"/>
    <cellStyle name="Accent2 7" xfId="5945"/>
    <cellStyle name="Accent3" xfId="2159" builtinId="37" customBuiltin="1"/>
    <cellStyle name="Accent3 2" xfId="29"/>
    <cellStyle name="Accent3 3" xfId="355"/>
    <cellStyle name="Accent3 4" xfId="356"/>
    <cellStyle name="Accent3 5" xfId="357"/>
    <cellStyle name="Accent3 6" xfId="358"/>
    <cellStyle name="Accent3 7" xfId="5949"/>
    <cellStyle name="Accent4" xfId="2163" builtinId="41" customBuiltin="1"/>
    <cellStyle name="Accent4 2" xfId="30"/>
    <cellStyle name="Accent4 2 2" xfId="359"/>
    <cellStyle name="Accent4 2 2 2" xfId="5979"/>
    <cellStyle name="Accent4 3" xfId="360"/>
    <cellStyle name="Accent4 4" xfId="361"/>
    <cellStyle name="Accent4 5" xfId="362"/>
    <cellStyle name="Accent4 6" xfId="363"/>
    <cellStyle name="Accent4 7" xfId="364"/>
    <cellStyle name="Accent4 8" xfId="365"/>
    <cellStyle name="Accent4 9" xfId="5953"/>
    <cellStyle name="Accent5" xfId="2167" builtinId="45" customBuiltin="1"/>
    <cellStyle name="Accent5 2" xfId="31"/>
    <cellStyle name="Accent5 3" xfId="366"/>
    <cellStyle name="Accent5 4" xfId="367"/>
    <cellStyle name="Accent5 5" xfId="368"/>
    <cellStyle name="Accent5 6" xfId="369"/>
    <cellStyle name="Accent5 7" xfId="5957"/>
    <cellStyle name="Accent6" xfId="2171" builtinId="49" customBuiltin="1"/>
    <cellStyle name="Accent6 2" xfId="32"/>
    <cellStyle name="Accent6 3" xfId="370"/>
    <cellStyle name="Accent6 4" xfId="371"/>
    <cellStyle name="Accent6 5" xfId="372"/>
    <cellStyle name="Accent6 6" xfId="373"/>
    <cellStyle name="Accent6 7" xfId="5961"/>
    <cellStyle name="Bad" xfId="2141" builtinId="27" customBuiltin="1"/>
    <cellStyle name="Bad 2" xfId="33"/>
    <cellStyle name="Bad 2 2" xfId="374"/>
    <cellStyle name="Bad 2 2 2" xfId="5980"/>
    <cellStyle name="Bad 3" xfId="375"/>
    <cellStyle name="Bad 4" xfId="376"/>
    <cellStyle name="Bad 5" xfId="377"/>
    <cellStyle name="Bad 6" xfId="378"/>
    <cellStyle name="Bad 7" xfId="379"/>
    <cellStyle name="Bad 8" xfId="380"/>
    <cellStyle name="Bad 9" xfId="5931"/>
    <cellStyle name="Calculation" xfId="2145" builtinId="22" customBuiltin="1"/>
    <cellStyle name="Calculation 2" xfId="34"/>
    <cellStyle name="Calculation 3" xfId="381"/>
    <cellStyle name="Calculation 4" xfId="382"/>
    <cellStyle name="Calculation 5" xfId="383"/>
    <cellStyle name="Calculation 6" xfId="384"/>
    <cellStyle name="Calculation 7" xfId="5935"/>
    <cellStyle name="Check Cell" xfId="2147" builtinId="23" customBuiltin="1"/>
    <cellStyle name="Check Cell 2" xfId="35"/>
    <cellStyle name="Check Cell 2 2" xfId="385"/>
    <cellStyle name="Check Cell 2 2 2" xfId="5981"/>
    <cellStyle name="Check Cell 3" xfId="386"/>
    <cellStyle name="Check Cell 4" xfId="387"/>
    <cellStyle name="Check Cell 5" xfId="388"/>
    <cellStyle name="Check Cell 6" xfId="389"/>
    <cellStyle name="Check Cell 7" xfId="390"/>
    <cellStyle name="Check Cell 8" xfId="391"/>
    <cellStyle name="Check Cell 9" xfId="5937"/>
    <cellStyle name="Comma" xfId="1" builtinId="3"/>
    <cellStyle name="Comma 10" xfId="392"/>
    <cellStyle name="Comma 11" xfId="393"/>
    <cellStyle name="Comma 12" xfId="394"/>
    <cellStyle name="Comma 13" xfId="395"/>
    <cellStyle name="Comma 14" xfId="396"/>
    <cellStyle name="Comma 15" xfId="397"/>
    <cellStyle name="Comma 16" xfId="224"/>
    <cellStyle name="Comma 17" xfId="398"/>
    <cellStyle name="Comma 17 10" xfId="4923"/>
    <cellStyle name="Comma 17 10 2" xfId="10394"/>
    <cellStyle name="Comma 17 11" xfId="5421"/>
    <cellStyle name="Comma 17 11 2" xfId="10896"/>
    <cellStyle name="Comma 17 12" xfId="2186"/>
    <cellStyle name="Comma 17 13" xfId="6330"/>
    <cellStyle name="Comma 17 14" xfId="7886"/>
    <cellStyle name="Comma 17 15" xfId="11496"/>
    <cellStyle name="Comma 17 16" xfId="13242"/>
    <cellStyle name="Comma 17 2" xfId="636"/>
    <cellStyle name="Comma 17 2 10" xfId="2485"/>
    <cellStyle name="Comma 17 2 11" xfId="6381"/>
    <cellStyle name="Comma 17 2 12" xfId="7908"/>
    <cellStyle name="Comma 17 2 13" xfId="11518"/>
    <cellStyle name="Comma 17 2 14" xfId="13264"/>
    <cellStyle name="Comma 17 2 2" xfId="685"/>
    <cellStyle name="Comma 17 2 2 10" xfId="6425"/>
    <cellStyle name="Comma 17 2 2 11" xfId="7949"/>
    <cellStyle name="Comma 17 2 2 12" xfId="11559"/>
    <cellStyle name="Comma 17 2 2 13" xfId="13305"/>
    <cellStyle name="Comma 17 2 2 2" xfId="809"/>
    <cellStyle name="Comma 17 2 2 2 10" xfId="8073"/>
    <cellStyle name="Comma 17 2 2 2 11" xfId="11683"/>
    <cellStyle name="Comma 17 2 2 2 12" xfId="13429"/>
    <cellStyle name="Comma 17 2 2 2 2" xfId="1057"/>
    <cellStyle name="Comma 17 2 2 2 2 10" xfId="11931"/>
    <cellStyle name="Comma 17 2 2 2 2 11" xfId="13677"/>
    <cellStyle name="Comma 17 2 2 2 2 2" xfId="1563"/>
    <cellStyle name="Comma 17 2 2 2 2 2 2" xfId="4378"/>
    <cellStyle name="Comma 17 2 2 2 2 2 2 2" xfId="9825"/>
    <cellStyle name="Comma 17 2 2 2 2 2 3" xfId="3368"/>
    <cellStyle name="Comma 17 2 2 2 2 2 4" xfId="7303"/>
    <cellStyle name="Comma 17 2 2 2 2 2 5" xfId="8817"/>
    <cellStyle name="Comma 17 2 2 2 2 2 6" xfId="12437"/>
    <cellStyle name="Comma 17 2 2 2 2 2 7" xfId="14183"/>
    <cellStyle name="Comma 17 2 2 2 2 3" xfId="2071"/>
    <cellStyle name="Comma 17 2 2 2 2 3 2" xfId="3884"/>
    <cellStyle name="Comma 17 2 2 2 2 3 3" xfId="7811"/>
    <cellStyle name="Comma 17 2 2 2 2 3 4" xfId="9329"/>
    <cellStyle name="Comma 17 2 2 2 2 3 5" xfId="12943"/>
    <cellStyle name="Comma 17 2 2 2 2 3 6" xfId="14689"/>
    <cellStyle name="Comma 17 2 2 2 2 4" xfId="4856"/>
    <cellStyle name="Comma 17 2 2 2 2 4 2" xfId="10327"/>
    <cellStyle name="Comma 17 2 2 2 2 5" xfId="5354"/>
    <cellStyle name="Comma 17 2 2 2 2 5 2" xfId="10829"/>
    <cellStyle name="Comma 17 2 2 2 2 6" xfId="5856"/>
    <cellStyle name="Comma 17 2 2 2 2 6 2" xfId="11331"/>
    <cellStyle name="Comma 17 2 2 2 2 7" xfId="2874"/>
    <cellStyle name="Comma 17 2 2 2 2 8" xfId="6797"/>
    <cellStyle name="Comma 17 2 2 2 2 9" xfId="8321"/>
    <cellStyle name="Comma 17 2 2 2 3" xfId="1315"/>
    <cellStyle name="Comma 17 2 2 2 3 2" xfId="4130"/>
    <cellStyle name="Comma 17 2 2 2 3 2 2" xfId="9577"/>
    <cellStyle name="Comma 17 2 2 2 3 3" xfId="3120"/>
    <cellStyle name="Comma 17 2 2 2 3 4" xfId="7055"/>
    <cellStyle name="Comma 17 2 2 2 3 5" xfId="8569"/>
    <cellStyle name="Comma 17 2 2 2 3 6" xfId="12189"/>
    <cellStyle name="Comma 17 2 2 2 3 7" xfId="13935"/>
    <cellStyle name="Comma 17 2 2 2 4" xfId="1823"/>
    <cellStyle name="Comma 17 2 2 2 4 2" xfId="3636"/>
    <cellStyle name="Comma 17 2 2 2 4 3" xfId="7563"/>
    <cellStyle name="Comma 17 2 2 2 4 4" xfId="9081"/>
    <cellStyle name="Comma 17 2 2 2 4 5" xfId="12695"/>
    <cellStyle name="Comma 17 2 2 2 4 6" xfId="14441"/>
    <cellStyle name="Comma 17 2 2 2 5" xfId="4618"/>
    <cellStyle name="Comma 17 2 2 2 5 2" xfId="10079"/>
    <cellStyle name="Comma 17 2 2 2 6" xfId="5106"/>
    <cellStyle name="Comma 17 2 2 2 6 2" xfId="10581"/>
    <cellStyle name="Comma 17 2 2 2 7" xfId="5608"/>
    <cellStyle name="Comma 17 2 2 2 7 2" xfId="11083"/>
    <cellStyle name="Comma 17 2 2 2 8" xfId="2634"/>
    <cellStyle name="Comma 17 2 2 2 9" xfId="6549"/>
    <cellStyle name="Comma 17 2 2 3" xfId="933"/>
    <cellStyle name="Comma 17 2 2 3 10" xfId="11807"/>
    <cellStyle name="Comma 17 2 2 3 11" xfId="13553"/>
    <cellStyle name="Comma 17 2 2 3 2" xfId="1439"/>
    <cellStyle name="Comma 17 2 2 3 2 2" xfId="4254"/>
    <cellStyle name="Comma 17 2 2 3 2 2 2" xfId="9701"/>
    <cellStyle name="Comma 17 2 2 3 2 3" xfId="3244"/>
    <cellStyle name="Comma 17 2 2 3 2 4" xfId="7179"/>
    <cellStyle name="Comma 17 2 2 3 2 5" xfId="8693"/>
    <cellStyle name="Comma 17 2 2 3 2 6" xfId="12313"/>
    <cellStyle name="Comma 17 2 2 3 2 7" xfId="14059"/>
    <cellStyle name="Comma 17 2 2 3 3" xfId="1947"/>
    <cellStyle name="Comma 17 2 2 3 3 2" xfId="3760"/>
    <cellStyle name="Comma 17 2 2 3 3 3" xfId="7687"/>
    <cellStyle name="Comma 17 2 2 3 3 4" xfId="9205"/>
    <cellStyle name="Comma 17 2 2 3 3 5" xfId="12819"/>
    <cellStyle name="Comma 17 2 2 3 3 6" xfId="14565"/>
    <cellStyle name="Comma 17 2 2 3 4" xfId="4734"/>
    <cellStyle name="Comma 17 2 2 3 4 2" xfId="10203"/>
    <cellStyle name="Comma 17 2 2 3 5" xfId="5230"/>
    <cellStyle name="Comma 17 2 2 3 5 2" xfId="10705"/>
    <cellStyle name="Comma 17 2 2 3 6" xfId="5732"/>
    <cellStyle name="Comma 17 2 2 3 6 2" xfId="11207"/>
    <cellStyle name="Comma 17 2 2 3 7" xfId="2752"/>
    <cellStyle name="Comma 17 2 2 3 8" xfId="6673"/>
    <cellStyle name="Comma 17 2 2 3 9" xfId="8197"/>
    <cellStyle name="Comma 17 2 2 4" xfId="1191"/>
    <cellStyle name="Comma 17 2 2 4 2" xfId="4008"/>
    <cellStyle name="Comma 17 2 2 4 2 2" xfId="9453"/>
    <cellStyle name="Comma 17 2 2 4 3" xfId="2998"/>
    <cellStyle name="Comma 17 2 2 4 4" xfId="6931"/>
    <cellStyle name="Comma 17 2 2 4 5" xfId="8445"/>
    <cellStyle name="Comma 17 2 2 4 6" xfId="12065"/>
    <cellStyle name="Comma 17 2 2 4 7" xfId="13811"/>
    <cellStyle name="Comma 17 2 2 5" xfId="1699"/>
    <cellStyle name="Comma 17 2 2 5 2" xfId="3512"/>
    <cellStyle name="Comma 17 2 2 5 3" xfId="7439"/>
    <cellStyle name="Comma 17 2 2 5 4" xfId="8957"/>
    <cellStyle name="Comma 17 2 2 5 5" xfId="12571"/>
    <cellStyle name="Comma 17 2 2 5 6" xfId="14317"/>
    <cellStyle name="Comma 17 2 2 6" xfId="4506"/>
    <cellStyle name="Comma 17 2 2 6 2" xfId="9955"/>
    <cellStyle name="Comma 17 2 2 7" xfId="4982"/>
    <cellStyle name="Comma 17 2 2 7 2" xfId="10457"/>
    <cellStyle name="Comma 17 2 2 8" xfId="5484"/>
    <cellStyle name="Comma 17 2 2 8 2" xfId="10959"/>
    <cellStyle name="Comma 17 2 2 9" xfId="2522"/>
    <cellStyle name="Comma 17 2 3" xfId="768"/>
    <cellStyle name="Comma 17 2 3 10" xfId="8032"/>
    <cellStyle name="Comma 17 2 3 11" xfId="11642"/>
    <cellStyle name="Comma 17 2 3 12" xfId="13388"/>
    <cellStyle name="Comma 17 2 3 2" xfId="1016"/>
    <cellStyle name="Comma 17 2 3 2 10" xfId="11890"/>
    <cellStyle name="Comma 17 2 3 2 11" xfId="13636"/>
    <cellStyle name="Comma 17 2 3 2 2" xfId="1522"/>
    <cellStyle name="Comma 17 2 3 2 2 2" xfId="4337"/>
    <cellStyle name="Comma 17 2 3 2 2 2 2" xfId="9784"/>
    <cellStyle name="Comma 17 2 3 2 2 3" xfId="3327"/>
    <cellStyle name="Comma 17 2 3 2 2 4" xfId="7262"/>
    <cellStyle name="Comma 17 2 3 2 2 5" xfId="8776"/>
    <cellStyle name="Comma 17 2 3 2 2 6" xfId="12396"/>
    <cellStyle name="Comma 17 2 3 2 2 7" xfId="14142"/>
    <cellStyle name="Comma 17 2 3 2 3" xfId="2030"/>
    <cellStyle name="Comma 17 2 3 2 3 2" xfId="3843"/>
    <cellStyle name="Comma 17 2 3 2 3 3" xfId="7770"/>
    <cellStyle name="Comma 17 2 3 2 3 4" xfId="9288"/>
    <cellStyle name="Comma 17 2 3 2 3 5" xfId="12902"/>
    <cellStyle name="Comma 17 2 3 2 3 6" xfId="14648"/>
    <cellStyle name="Comma 17 2 3 2 4" xfId="4815"/>
    <cellStyle name="Comma 17 2 3 2 4 2" xfId="10286"/>
    <cellStyle name="Comma 17 2 3 2 5" xfId="5313"/>
    <cellStyle name="Comma 17 2 3 2 5 2" xfId="10788"/>
    <cellStyle name="Comma 17 2 3 2 6" xfId="5815"/>
    <cellStyle name="Comma 17 2 3 2 6 2" xfId="11290"/>
    <cellStyle name="Comma 17 2 3 2 7" xfId="2833"/>
    <cellStyle name="Comma 17 2 3 2 8" xfId="6756"/>
    <cellStyle name="Comma 17 2 3 2 9" xfId="8280"/>
    <cellStyle name="Comma 17 2 3 3" xfId="1274"/>
    <cellStyle name="Comma 17 2 3 3 2" xfId="4089"/>
    <cellStyle name="Comma 17 2 3 3 2 2" xfId="9536"/>
    <cellStyle name="Comma 17 2 3 3 3" xfId="3079"/>
    <cellStyle name="Comma 17 2 3 3 4" xfId="7014"/>
    <cellStyle name="Comma 17 2 3 3 5" xfId="8528"/>
    <cellStyle name="Comma 17 2 3 3 6" xfId="12148"/>
    <cellStyle name="Comma 17 2 3 3 7" xfId="13894"/>
    <cellStyle name="Comma 17 2 3 4" xfId="1782"/>
    <cellStyle name="Comma 17 2 3 4 2" xfId="3595"/>
    <cellStyle name="Comma 17 2 3 4 3" xfId="7522"/>
    <cellStyle name="Comma 17 2 3 4 4" xfId="9040"/>
    <cellStyle name="Comma 17 2 3 4 5" xfId="12654"/>
    <cellStyle name="Comma 17 2 3 4 6" xfId="14400"/>
    <cellStyle name="Comma 17 2 3 5" xfId="4581"/>
    <cellStyle name="Comma 17 2 3 5 2" xfId="10038"/>
    <cellStyle name="Comma 17 2 3 6" xfId="5065"/>
    <cellStyle name="Comma 17 2 3 6 2" xfId="10540"/>
    <cellStyle name="Comma 17 2 3 7" xfId="5567"/>
    <cellStyle name="Comma 17 2 3 7 2" xfId="11042"/>
    <cellStyle name="Comma 17 2 3 8" xfId="2597"/>
    <cellStyle name="Comma 17 2 3 9" xfId="6508"/>
    <cellStyle name="Comma 17 2 4" xfId="892"/>
    <cellStyle name="Comma 17 2 4 10" xfId="11766"/>
    <cellStyle name="Comma 17 2 4 11" xfId="13512"/>
    <cellStyle name="Comma 17 2 4 2" xfId="1398"/>
    <cellStyle name="Comma 17 2 4 2 2" xfId="4213"/>
    <cellStyle name="Comma 17 2 4 2 2 2" xfId="9660"/>
    <cellStyle name="Comma 17 2 4 2 3" xfId="3203"/>
    <cellStyle name="Comma 17 2 4 2 4" xfId="7138"/>
    <cellStyle name="Comma 17 2 4 2 5" xfId="8652"/>
    <cellStyle name="Comma 17 2 4 2 6" xfId="12272"/>
    <cellStyle name="Comma 17 2 4 2 7" xfId="14018"/>
    <cellStyle name="Comma 17 2 4 3" xfId="1906"/>
    <cellStyle name="Comma 17 2 4 3 2" xfId="3719"/>
    <cellStyle name="Comma 17 2 4 3 3" xfId="7646"/>
    <cellStyle name="Comma 17 2 4 3 4" xfId="9164"/>
    <cellStyle name="Comma 17 2 4 3 5" xfId="12778"/>
    <cellStyle name="Comma 17 2 4 3 6" xfId="14524"/>
    <cellStyle name="Comma 17 2 4 4" xfId="4697"/>
    <cellStyle name="Comma 17 2 4 4 2" xfId="10162"/>
    <cellStyle name="Comma 17 2 4 5" xfId="5189"/>
    <cellStyle name="Comma 17 2 4 5 2" xfId="10664"/>
    <cellStyle name="Comma 17 2 4 6" xfId="5691"/>
    <cellStyle name="Comma 17 2 4 6 2" xfId="11166"/>
    <cellStyle name="Comma 17 2 4 7" xfId="2715"/>
    <cellStyle name="Comma 17 2 4 8" xfId="6632"/>
    <cellStyle name="Comma 17 2 4 9" xfId="8156"/>
    <cellStyle name="Comma 17 2 5" xfId="1150"/>
    <cellStyle name="Comma 17 2 5 2" xfId="3967"/>
    <cellStyle name="Comma 17 2 5 2 2" xfId="9412"/>
    <cellStyle name="Comma 17 2 5 3" xfId="2957"/>
    <cellStyle name="Comma 17 2 5 4" xfId="6890"/>
    <cellStyle name="Comma 17 2 5 5" xfId="8404"/>
    <cellStyle name="Comma 17 2 5 6" xfId="12024"/>
    <cellStyle name="Comma 17 2 5 7" xfId="13770"/>
    <cellStyle name="Comma 17 2 6" xfId="1658"/>
    <cellStyle name="Comma 17 2 6 2" xfId="3471"/>
    <cellStyle name="Comma 17 2 6 3" xfId="7398"/>
    <cellStyle name="Comma 17 2 6 4" xfId="8916"/>
    <cellStyle name="Comma 17 2 6 5" xfId="12530"/>
    <cellStyle name="Comma 17 2 6 6" xfId="14276"/>
    <cellStyle name="Comma 17 2 7" xfId="4467"/>
    <cellStyle name="Comma 17 2 7 2" xfId="9914"/>
    <cellStyle name="Comma 17 2 8" xfId="4943"/>
    <cellStyle name="Comma 17 2 8 2" xfId="10416"/>
    <cellStyle name="Comma 17 2 9" xfId="5443"/>
    <cellStyle name="Comma 17 2 9 2" xfId="10918"/>
    <cellStyle name="Comma 17 3" xfId="664"/>
    <cellStyle name="Comma 17 3 10" xfId="2503"/>
    <cellStyle name="Comma 17 3 11" xfId="6404"/>
    <cellStyle name="Comma 17 3 12" xfId="7928"/>
    <cellStyle name="Comma 17 3 13" xfId="11538"/>
    <cellStyle name="Comma 17 3 14" xfId="13284"/>
    <cellStyle name="Comma 17 3 2" xfId="686"/>
    <cellStyle name="Comma 17 3 2 10" xfId="6426"/>
    <cellStyle name="Comma 17 3 2 11" xfId="7950"/>
    <cellStyle name="Comma 17 3 2 12" xfId="11560"/>
    <cellStyle name="Comma 17 3 2 13" xfId="13306"/>
    <cellStyle name="Comma 17 3 2 2" xfId="810"/>
    <cellStyle name="Comma 17 3 2 2 10" xfId="8074"/>
    <cellStyle name="Comma 17 3 2 2 11" xfId="11684"/>
    <cellStyle name="Comma 17 3 2 2 12" xfId="13430"/>
    <cellStyle name="Comma 17 3 2 2 2" xfId="1058"/>
    <cellStyle name="Comma 17 3 2 2 2 10" xfId="11932"/>
    <cellStyle name="Comma 17 3 2 2 2 11" xfId="13678"/>
    <cellStyle name="Comma 17 3 2 2 2 2" xfId="1564"/>
    <cellStyle name="Comma 17 3 2 2 2 2 2" xfId="4379"/>
    <cellStyle name="Comma 17 3 2 2 2 2 2 2" xfId="9826"/>
    <cellStyle name="Comma 17 3 2 2 2 2 3" xfId="3369"/>
    <cellStyle name="Comma 17 3 2 2 2 2 4" xfId="7304"/>
    <cellStyle name="Comma 17 3 2 2 2 2 5" xfId="8818"/>
    <cellStyle name="Comma 17 3 2 2 2 2 6" xfId="12438"/>
    <cellStyle name="Comma 17 3 2 2 2 2 7" xfId="14184"/>
    <cellStyle name="Comma 17 3 2 2 2 3" xfId="2072"/>
    <cellStyle name="Comma 17 3 2 2 2 3 2" xfId="3885"/>
    <cellStyle name="Comma 17 3 2 2 2 3 3" xfId="7812"/>
    <cellStyle name="Comma 17 3 2 2 2 3 4" xfId="9330"/>
    <cellStyle name="Comma 17 3 2 2 2 3 5" xfId="12944"/>
    <cellStyle name="Comma 17 3 2 2 2 3 6" xfId="14690"/>
    <cellStyle name="Comma 17 3 2 2 2 4" xfId="4857"/>
    <cellStyle name="Comma 17 3 2 2 2 4 2" xfId="10328"/>
    <cellStyle name="Comma 17 3 2 2 2 5" xfId="5355"/>
    <cellStyle name="Comma 17 3 2 2 2 5 2" xfId="10830"/>
    <cellStyle name="Comma 17 3 2 2 2 6" xfId="5857"/>
    <cellStyle name="Comma 17 3 2 2 2 6 2" xfId="11332"/>
    <cellStyle name="Comma 17 3 2 2 2 7" xfId="2875"/>
    <cellStyle name="Comma 17 3 2 2 2 8" xfId="6798"/>
    <cellStyle name="Comma 17 3 2 2 2 9" xfId="8322"/>
    <cellStyle name="Comma 17 3 2 2 3" xfId="1316"/>
    <cellStyle name="Comma 17 3 2 2 3 2" xfId="4131"/>
    <cellStyle name="Comma 17 3 2 2 3 2 2" xfId="9578"/>
    <cellStyle name="Comma 17 3 2 2 3 3" xfId="3121"/>
    <cellStyle name="Comma 17 3 2 2 3 4" xfId="7056"/>
    <cellStyle name="Comma 17 3 2 2 3 5" xfId="8570"/>
    <cellStyle name="Comma 17 3 2 2 3 6" xfId="12190"/>
    <cellStyle name="Comma 17 3 2 2 3 7" xfId="13936"/>
    <cellStyle name="Comma 17 3 2 2 4" xfId="1824"/>
    <cellStyle name="Comma 17 3 2 2 4 2" xfId="3637"/>
    <cellStyle name="Comma 17 3 2 2 4 3" xfId="7564"/>
    <cellStyle name="Comma 17 3 2 2 4 4" xfId="9082"/>
    <cellStyle name="Comma 17 3 2 2 4 5" xfId="12696"/>
    <cellStyle name="Comma 17 3 2 2 4 6" xfId="14442"/>
    <cellStyle name="Comma 17 3 2 2 5" xfId="4619"/>
    <cellStyle name="Comma 17 3 2 2 5 2" xfId="10080"/>
    <cellStyle name="Comma 17 3 2 2 6" xfId="5107"/>
    <cellStyle name="Comma 17 3 2 2 6 2" xfId="10582"/>
    <cellStyle name="Comma 17 3 2 2 7" xfId="5609"/>
    <cellStyle name="Comma 17 3 2 2 7 2" xfId="11084"/>
    <cellStyle name="Comma 17 3 2 2 8" xfId="2635"/>
    <cellStyle name="Comma 17 3 2 2 9" xfId="6550"/>
    <cellStyle name="Comma 17 3 2 3" xfId="934"/>
    <cellStyle name="Comma 17 3 2 3 10" xfId="11808"/>
    <cellStyle name="Comma 17 3 2 3 11" xfId="13554"/>
    <cellStyle name="Comma 17 3 2 3 2" xfId="1440"/>
    <cellStyle name="Comma 17 3 2 3 2 2" xfId="4255"/>
    <cellStyle name="Comma 17 3 2 3 2 2 2" xfId="9702"/>
    <cellStyle name="Comma 17 3 2 3 2 3" xfId="3245"/>
    <cellStyle name="Comma 17 3 2 3 2 4" xfId="7180"/>
    <cellStyle name="Comma 17 3 2 3 2 5" xfId="8694"/>
    <cellStyle name="Comma 17 3 2 3 2 6" xfId="12314"/>
    <cellStyle name="Comma 17 3 2 3 2 7" xfId="14060"/>
    <cellStyle name="Comma 17 3 2 3 3" xfId="1948"/>
    <cellStyle name="Comma 17 3 2 3 3 2" xfId="3761"/>
    <cellStyle name="Comma 17 3 2 3 3 3" xfId="7688"/>
    <cellStyle name="Comma 17 3 2 3 3 4" xfId="9206"/>
    <cellStyle name="Comma 17 3 2 3 3 5" xfId="12820"/>
    <cellStyle name="Comma 17 3 2 3 3 6" xfId="14566"/>
    <cellStyle name="Comma 17 3 2 3 4" xfId="4735"/>
    <cellStyle name="Comma 17 3 2 3 4 2" xfId="10204"/>
    <cellStyle name="Comma 17 3 2 3 5" xfId="5231"/>
    <cellStyle name="Comma 17 3 2 3 5 2" xfId="10706"/>
    <cellStyle name="Comma 17 3 2 3 6" xfId="5733"/>
    <cellStyle name="Comma 17 3 2 3 6 2" xfId="11208"/>
    <cellStyle name="Comma 17 3 2 3 7" xfId="2753"/>
    <cellStyle name="Comma 17 3 2 3 8" xfId="6674"/>
    <cellStyle name="Comma 17 3 2 3 9" xfId="8198"/>
    <cellStyle name="Comma 17 3 2 4" xfId="1192"/>
    <cellStyle name="Comma 17 3 2 4 2" xfId="4009"/>
    <cellStyle name="Comma 17 3 2 4 2 2" xfId="9454"/>
    <cellStyle name="Comma 17 3 2 4 3" xfId="2999"/>
    <cellStyle name="Comma 17 3 2 4 4" xfId="6932"/>
    <cellStyle name="Comma 17 3 2 4 5" xfId="8446"/>
    <cellStyle name="Comma 17 3 2 4 6" xfId="12066"/>
    <cellStyle name="Comma 17 3 2 4 7" xfId="13812"/>
    <cellStyle name="Comma 17 3 2 5" xfId="1700"/>
    <cellStyle name="Comma 17 3 2 5 2" xfId="3513"/>
    <cellStyle name="Comma 17 3 2 5 3" xfId="7440"/>
    <cellStyle name="Comma 17 3 2 5 4" xfId="8958"/>
    <cellStyle name="Comma 17 3 2 5 5" xfId="12572"/>
    <cellStyle name="Comma 17 3 2 5 6" xfId="14318"/>
    <cellStyle name="Comma 17 3 2 6" xfId="4507"/>
    <cellStyle name="Comma 17 3 2 6 2" xfId="9956"/>
    <cellStyle name="Comma 17 3 2 7" xfId="4983"/>
    <cellStyle name="Comma 17 3 2 7 2" xfId="10458"/>
    <cellStyle name="Comma 17 3 2 8" xfId="5485"/>
    <cellStyle name="Comma 17 3 2 8 2" xfId="10960"/>
    <cellStyle name="Comma 17 3 2 9" xfId="2523"/>
    <cellStyle name="Comma 17 3 3" xfId="788"/>
    <cellStyle name="Comma 17 3 3 10" xfId="8052"/>
    <cellStyle name="Comma 17 3 3 11" xfId="11662"/>
    <cellStyle name="Comma 17 3 3 12" xfId="13408"/>
    <cellStyle name="Comma 17 3 3 2" xfId="1036"/>
    <cellStyle name="Comma 17 3 3 2 10" xfId="11910"/>
    <cellStyle name="Comma 17 3 3 2 11" xfId="13656"/>
    <cellStyle name="Comma 17 3 3 2 2" xfId="1542"/>
    <cellStyle name="Comma 17 3 3 2 2 2" xfId="4357"/>
    <cellStyle name="Comma 17 3 3 2 2 2 2" xfId="9804"/>
    <cellStyle name="Comma 17 3 3 2 2 3" xfId="3347"/>
    <cellStyle name="Comma 17 3 3 2 2 4" xfId="7282"/>
    <cellStyle name="Comma 17 3 3 2 2 5" xfId="8796"/>
    <cellStyle name="Comma 17 3 3 2 2 6" xfId="12416"/>
    <cellStyle name="Comma 17 3 3 2 2 7" xfId="14162"/>
    <cellStyle name="Comma 17 3 3 2 3" xfId="2050"/>
    <cellStyle name="Comma 17 3 3 2 3 2" xfId="3863"/>
    <cellStyle name="Comma 17 3 3 2 3 3" xfId="7790"/>
    <cellStyle name="Comma 17 3 3 2 3 4" xfId="9308"/>
    <cellStyle name="Comma 17 3 3 2 3 5" xfId="12922"/>
    <cellStyle name="Comma 17 3 3 2 3 6" xfId="14668"/>
    <cellStyle name="Comma 17 3 3 2 4" xfId="4835"/>
    <cellStyle name="Comma 17 3 3 2 4 2" xfId="10306"/>
    <cellStyle name="Comma 17 3 3 2 5" xfId="5333"/>
    <cellStyle name="Comma 17 3 3 2 5 2" xfId="10808"/>
    <cellStyle name="Comma 17 3 3 2 6" xfId="5835"/>
    <cellStyle name="Comma 17 3 3 2 6 2" xfId="11310"/>
    <cellStyle name="Comma 17 3 3 2 7" xfId="2853"/>
    <cellStyle name="Comma 17 3 3 2 8" xfId="6776"/>
    <cellStyle name="Comma 17 3 3 2 9" xfId="8300"/>
    <cellStyle name="Comma 17 3 3 3" xfId="1294"/>
    <cellStyle name="Comma 17 3 3 3 2" xfId="4109"/>
    <cellStyle name="Comma 17 3 3 3 2 2" xfId="9556"/>
    <cellStyle name="Comma 17 3 3 3 3" xfId="3099"/>
    <cellStyle name="Comma 17 3 3 3 4" xfId="7034"/>
    <cellStyle name="Comma 17 3 3 3 5" xfId="8548"/>
    <cellStyle name="Comma 17 3 3 3 6" xfId="12168"/>
    <cellStyle name="Comma 17 3 3 3 7" xfId="13914"/>
    <cellStyle name="Comma 17 3 3 4" xfId="1802"/>
    <cellStyle name="Comma 17 3 3 4 2" xfId="3615"/>
    <cellStyle name="Comma 17 3 3 4 3" xfId="7542"/>
    <cellStyle name="Comma 17 3 3 4 4" xfId="9060"/>
    <cellStyle name="Comma 17 3 3 4 5" xfId="12674"/>
    <cellStyle name="Comma 17 3 3 4 6" xfId="14420"/>
    <cellStyle name="Comma 17 3 3 5" xfId="4599"/>
    <cellStyle name="Comma 17 3 3 5 2" xfId="10058"/>
    <cellStyle name="Comma 17 3 3 6" xfId="5085"/>
    <cellStyle name="Comma 17 3 3 6 2" xfId="10560"/>
    <cellStyle name="Comma 17 3 3 7" xfId="5587"/>
    <cellStyle name="Comma 17 3 3 7 2" xfId="11062"/>
    <cellStyle name="Comma 17 3 3 8" xfId="2615"/>
    <cellStyle name="Comma 17 3 3 9" xfId="6528"/>
    <cellStyle name="Comma 17 3 4" xfId="912"/>
    <cellStyle name="Comma 17 3 4 10" xfId="11786"/>
    <cellStyle name="Comma 17 3 4 11" xfId="13532"/>
    <cellStyle name="Comma 17 3 4 2" xfId="1418"/>
    <cellStyle name="Comma 17 3 4 2 2" xfId="4233"/>
    <cellStyle name="Comma 17 3 4 2 2 2" xfId="9680"/>
    <cellStyle name="Comma 17 3 4 2 3" xfId="3223"/>
    <cellStyle name="Comma 17 3 4 2 4" xfId="7158"/>
    <cellStyle name="Comma 17 3 4 2 5" xfId="8672"/>
    <cellStyle name="Comma 17 3 4 2 6" xfId="12292"/>
    <cellStyle name="Comma 17 3 4 2 7" xfId="14038"/>
    <cellStyle name="Comma 17 3 4 3" xfId="1926"/>
    <cellStyle name="Comma 17 3 4 3 2" xfId="3739"/>
    <cellStyle name="Comma 17 3 4 3 3" xfId="7666"/>
    <cellStyle name="Comma 17 3 4 3 4" xfId="9184"/>
    <cellStyle name="Comma 17 3 4 3 5" xfId="12798"/>
    <cellStyle name="Comma 17 3 4 3 6" xfId="14544"/>
    <cellStyle name="Comma 17 3 4 4" xfId="4715"/>
    <cellStyle name="Comma 17 3 4 4 2" xfId="10182"/>
    <cellStyle name="Comma 17 3 4 5" xfId="5209"/>
    <cellStyle name="Comma 17 3 4 5 2" xfId="10684"/>
    <cellStyle name="Comma 17 3 4 6" xfId="5711"/>
    <cellStyle name="Comma 17 3 4 6 2" xfId="11186"/>
    <cellStyle name="Comma 17 3 4 7" xfId="2733"/>
    <cellStyle name="Comma 17 3 4 8" xfId="6652"/>
    <cellStyle name="Comma 17 3 4 9" xfId="8176"/>
    <cellStyle name="Comma 17 3 5" xfId="1170"/>
    <cellStyle name="Comma 17 3 5 2" xfId="3987"/>
    <cellStyle name="Comma 17 3 5 2 2" xfId="9432"/>
    <cellStyle name="Comma 17 3 5 3" xfId="2977"/>
    <cellStyle name="Comma 17 3 5 4" xfId="6910"/>
    <cellStyle name="Comma 17 3 5 5" xfId="8424"/>
    <cellStyle name="Comma 17 3 5 6" xfId="12044"/>
    <cellStyle name="Comma 17 3 5 7" xfId="13790"/>
    <cellStyle name="Comma 17 3 6" xfId="1678"/>
    <cellStyle name="Comma 17 3 6 2" xfId="3491"/>
    <cellStyle name="Comma 17 3 6 3" xfId="7418"/>
    <cellStyle name="Comma 17 3 6 4" xfId="8936"/>
    <cellStyle name="Comma 17 3 6 5" xfId="12550"/>
    <cellStyle name="Comma 17 3 6 6" xfId="14296"/>
    <cellStyle name="Comma 17 3 7" xfId="4487"/>
    <cellStyle name="Comma 17 3 7 2" xfId="9934"/>
    <cellStyle name="Comma 17 3 8" xfId="4961"/>
    <cellStyle name="Comma 17 3 8 2" xfId="10436"/>
    <cellStyle name="Comma 17 3 9" xfId="5463"/>
    <cellStyle name="Comma 17 3 9 2" xfId="10938"/>
    <cellStyle name="Comma 17 4" xfId="684"/>
    <cellStyle name="Comma 17 4 10" xfId="6424"/>
    <cellStyle name="Comma 17 4 11" xfId="7948"/>
    <cellStyle name="Comma 17 4 12" xfId="11558"/>
    <cellStyle name="Comma 17 4 13" xfId="13304"/>
    <cellStyle name="Comma 17 4 2" xfId="808"/>
    <cellStyle name="Comma 17 4 2 10" xfId="8072"/>
    <cellStyle name="Comma 17 4 2 11" xfId="11682"/>
    <cellStyle name="Comma 17 4 2 12" xfId="13428"/>
    <cellStyle name="Comma 17 4 2 2" xfId="1056"/>
    <cellStyle name="Comma 17 4 2 2 10" xfId="11930"/>
    <cellStyle name="Comma 17 4 2 2 11" xfId="13676"/>
    <cellStyle name="Comma 17 4 2 2 2" xfId="1562"/>
    <cellStyle name="Comma 17 4 2 2 2 2" xfId="4377"/>
    <cellStyle name="Comma 17 4 2 2 2 2 2" xfId="9824"/>
    <cellStyle name="Comma 17 4 2 2 2 3" xfId="3367"/>
    <cellStyle name="Comma 17 4 2 2 2 4" xfId="7302"/>
    <cellStyle name="Comma 17 4 2 2 2 5" xfId="8816"/>
    <cellStyle name="Comma 17 4 2 2 2 6" xfId="12436"/>
    <cellStyle name="Comma 17 4 2 2 2 7" xfId="14182"/>
    <cellStyle name="Comma 17 4 2 2 3" xfId="2070"/>
    <cellStyle name="Comma 17 4 2 2 3 2" xfId="3883"/>
    <cellStyle name="Comma 17 4 2 2 3 3" xfId="7810"/>
    <cellStyle name="Comma 17 4 2 2 3 4" xfId="9328"/>
    <cellStyle name="Comma 17 4 2 2 3 5" xfId="12942"/>
    <cellStyle name="Comma 17 4 2 2 3 6" xfId="14688"/>
    <cellStyle name="Comma 17 4 2 2 4" xfId="4855"/>
    <cellStyle name="Comma 17 4 2 2 4 2" xfId="10326"/>
    <cellStyle name="Comma 17 4 2 2 5" xfId="5353"/>
    <cellStyle name="Comma 17 4 2 2 5 2" xfId="10828"/>
    <cellStyle name="Comma 17 4 2 2 6" xfId="5855"/>
    <cellStyle name="Comma 17 4 2 2 6 2" xfId="11330"/>
    <cellStyle name="Comma 17 4 2 2 7" xfId="2873"/>
    <cellStyle name="Comma 17 4 2 2 8" xfId="6796"/>
    <cellStyle name="Comma 17 4 2 2 9" xfId="8320"/>
    <cellStyle name="Comma 17 4 2 3" xfId="1314"/>
    <cellStyle name="Comma 17 4 2 3 2" xfId="4129"/>
    <cellStyle name="Comma 17 4 2 3 2 2" xfId="9576"/>
    <cellStyle name="Comma 17 4 2 3 3" xfId="3119"/>
    <cellStyle name="Comma 17 4 2 3 4" xfId="7054"/>
    <cellStyle name="Comma 17 4 2 3 5" xfId="8568"/>
    <cellStyle name="Comma 17 4 2 3 6" xfId="12188"/>
    <cellStyle name="Comma 17 4 2 3 7" xfId="13934"/>
    <cellStyle name="Comma 17 4 2 4" xfId="1822"/>
    <cellStyle name="Comma 17 4 2 4 2" xfId="3635"/>
    <cellStyle name="Comma 17 4 2 4 3" xfId="7562"/>
    <cellStyle name="Comma 17 4 2 4 4" xfId="9080"/>
    <cellStyle name="Comma 17 4 2 4 5" xfId="12694"/>
    <cellStyle name="Comma 17 4 2 4 6" xfId="14440"/>
    <cellStyle name="Comma 17 4 2 5" xfId="4617"/>
    <cellStyle name="Comma 17 4 2 5 2" xfId="10078"/>
    <cellStyle name="Comma 17 4 2 6" xfId="5105"/>
    <cellStyle name="Comma 17 4 2 6 2" xfId="10580"/>
    <cellStyle name="Comma 17 4 2 7" xfId="5607"/>
    <cellStyle name="Comma 17 4 2 7 2" xfId="11082"/>
    <cellStyle name="Comma 17 4 2 8" xfId="2633"/>
    <cellStyle name="Comma 17 4 2 9" xfId="6548"/>
    <cellStyle name="Comma 17 4 3" xfId="932"/>
    <cellStyle name="Comma 17 4 3 10" xfId="11806"/>
    <cellStyle name="Comma 17 4 3 11" xfId="13552"/>
    <cellStyle name="Comma 17 4 3 2" xfId="1438"/>
    <cellStyle name="Comma 17 4 3 2 2" xfId="4253"/>
    <cellStyle name="Comma 17 4 3 2 2 2" xfId="9700"/>
    <cellStyle name="Comma 17 4 3 2 3" xfId="3243"/>
    <cellStyle name="Comma 17 4 3 2 4" xfId="7178"/>
    <cellStyle name="Comma 17 4 3 2 5" xfId="8692"/>
    <cellStyle name="Comma 17 4 3 2 6" xfId="12312"/>
    <cellStyle name="Comma 17 4 3 2 7" xfId="14058"/>
    <cellStyle name="Comma 17 4 3 3" xfId="1946"/>
    <cellStyle name="Comma 17 4 3 3 2" xfId="3759"/>
    <cellStyle name="Comma 17 4 3 3 3" xfId="7686"/>
    <cellStyle name="Comma 17 4 3 3 4" xfId="9204"/>
    <cellStyle name="Comma 17 4 3 3 5" xfId="12818"/>
    <cellStyle name="Comma 17 4 3 3 6" xfId="14564"/>
    <cellStyle name="Comma 17 4 3 4" xfId="4733"/>
    <cellStyle name="Comma 17 4 3 4 2" xfId="10202"/>
    <cellStyle name="Comma 17 4 3 5" xfId="5229"/>
    <cellStyle name="Comma 17 4 3 5 2" xfId="10704"/>
    <cellStyle name="Comma 17 4 3 6" xfId="5731"/>
    <cellStyle name="Comma 17 4 3 6 2" xfId="11206"/>
    <cellStyle name="Comma 17 4 3 7" xfId="2751"/>
    <cellStyle name="Comma 17 4 3 8" xfId="6672"/>
    <cellStyle name="Comma 17 4 3 9" xfId="8196"/>
    <cellStyle name="Comma 17 4 4" xfId="1190"/>
    <cellStyle name="Comma 17 4 4 2" xfId="4007"/>
    <cellStyle name="Comma 17 4 4 2 2" xfId="9452"/>
    <cellStyle name="Comma 17 4 4 3" xfId="2997"/>
    <cellStyle name="Comma 17 4 4 4" xfId="6930"/>
    <cellStyle name="Comma 17 4 4 5" xfId="8444"/>
    <cellStyle name="Comma 17 4 4 6" xfId="12064"/>
    <cellStyle name="Comma 17 4 4 7" xfId="13810"/>
    <cellStyle name="Comma 17 4 5" xfId="1698"/>
    <cellStyle name="Comma 17 4 5 2" xfId="3511"/>
    <cellStyle name="Comma 17 4 5 3" xfId="7438"/>
    <cellStyle name="Comma 17 4 5 4" xfId="8956"/>
    <cellStyle name="Comma 17 4 5 5" xfId="12570"/>
    <cellStyle name="Comma 17 4 5 6" xfId="14316"/>
    <cellStyle name="Comma 17 4 6" xfId="4505"/>
    <cellStyle name="Comma 17 4 6 2" xfId="9954"/>
    <cellStyle name="Comma 17 4 7" xfId="4981"/>
    <cellStyle name="Comma 17 4 7 2" xfId="10456"/>
    <cellStyle name="Comma 17 4 8" xfId="5483"/>
    <cellStyle name="Comma 17 4 8 2" xfId="10958"/>
    <cellStyle name="Comma 17 4 9" xfId="2521"/>
    <cellStyle name="Comma 17 5" xfId="746"/>
    <cellStyle name="Comma 17 5 10" xfId="8010"/>
    <cellStyle name="Comma 17 5 11" xfId="11620"/>
    <cellStyle name="Comma 17 5 12" xfId="13366"/>
    <cellStyle name="Comma 17 5 2" xfId="994"/>
    <cellStyle name="Comma 17 5 2 10" xfId="11868"/>
    <cellStyle name="Comma 17 5 2 11" xfId="13614"/>
    <cellStyle name="Comma 17 5 2 2" xfId="1500"/>
    <cellStyle name="Comma 17 5 2 2 2" xfId="4315"/>
    <cellStyle name="Comma 17 5 2 2 2 2" xfId="9762"/>
    <cellStyle name="Comma 17 5 2 2 3" xfId="3305"/>
    <cellStyle name="Comma 17 5 2 2 4" xfId="7240"/>
    <cellStyle name="Comma 17 5 2 2 5" xfId="8754"/>
    <cellStyle name="Comma 17 5 2 2 6" xfId="12374"/>
    <cellStyle name="Comma 17 5 2 2 7" xfId="14120"/>
    <cellStyle name="Comma 17 5 2 3" xfId="2008"/>
    <cellStyle name="Comma 17 5 2 3 2" xfId="3821"/>
    <cellStyle name="Comma 17 5 2 3 3" xfId="7748"/>
    <cellStyle name="Comma 17 5 2 3 4" xfId="9266"/>
    <cellStyle name="Comma 17 5 2 3 5" xfId="12880"/>
    <cellStyle name="Comma 17 5 2 3 6" xfId="14626"/>
    <cellStyle name="Comma 17 5 2 4" xfId="4793"/>
    <cellStyle name="Comma 17 5 2 4 2" xfId="10264"/>
    <cellStyle name="Comma 17 5 2 5" xfId="5291"/>
    <cellStyle name="Comma 17 5 2 5 2" xfId="10766"/>
    <cellStyle name="Comma 17 5 2 6" xfId="5793"/>
    <cellStyle name="Comma 17 5 2 6 2" xfId="11268"/>
    <cellStyle name="Comma 17 5 2 7" xfId="2811"/>
    <cellStyle name="Comma 17 5 2 8" xfId="6734"/>
    <cellStyle name="Comma 17 5 2 9" xfId="8258"/>
    <cellStyle name="Comma 17 5 3" xfId="1252"/>
    <cellStyle name="Comma 17 5 3 2" xfId="4067"/>
    <cellStyle name="Comma 17 5 3 2 2" xfId="9514"/>
    <cellStyle name="Comma 17 5 3 3" xfId="3057"/>
    <cellStyle name="Comma 17 5 3 4" xfId="6992"/>
    <cellStyle name="Comma 17 5 3 5" xfId="8506"/>
    <cellStyle name="Comma 17 5 3 6" xfId="12126"/>
    <cellStyle name="Comma 17 5 3 7" xfId="13872"/>
    <cellStyle name="Comma 17 5 4" xfId="1760"/>
    <cellStyle name="Comma 17 5 4 2" xfId="3573"/>
    <cellStyle name="Comma 17 5 4 3" xfId="7500"/>
    <cellStyle name="Comma 17 5 4 4" xfId="9018"/>
    <cellStyle name="Comma 17 5 4 5" xfId="12632"/>
    <cellStyle name="Comma 17 5 4 6" xfId="14378"/>
    <cellStyle name="Comma 17 5 5" xfId="4561"/>
    <cellStyle name="Comma 17 5 5 2" xfId="10016"/>
    <cellStyle name="Comma 17 5 6" xfId="5043"/>
    <cellStyle name="Comma 17 5 6 2" xfId="10518"/>
    <cellStyle name="Comma 17 5 7" xfId="5545"/>
    <cellStyle name="Comma 17 5 7 2" xfId="11020"/>
    <cellStyle name="Comma 17 5 8" xfId="2577"/>
    <cellStyle name="Comma 17 5 9" xfId="6486"/>
    <cellStyle name="Comma 17 6" xfId="870"/>
    <cellStyle name="Comma 17 6 10" xfId="11744"/>
    <cellStyle name="Comma 17 6 11" xfId="13490"/>
    <cellStyle name="Comma 17 6 2" xfId="1376"/>
    <cellStyle name="Comma 17 6 2 2" xfId="4191"/>
    <cellStyle name="Comma 17 6 2 2 2" xfId="9638"/>
    <cellStyle name="Comma 17 6 2 3" xfId="3181"/>
    <cellStyle name="Comma 17 6 2 4" xfId="7116"/>
    <cellStyle name="Comma 17 6 2 5" xfId="8630"/>
    <cellStyle name="Comma 17 6 2 6" xfId="12250"/>
    <cellStyle name="Comma 17 6 2 7" xfId="13996"/>
    <cellStyle name="Comma 17 6 3" xfId="1884"/>
    <cellStyle name="Comma 17 6 3 2" xfId="3697"/>
    <cellStyle name="Comma 17 6 3 3" xfId="7624"/>
    <cellStyle name="Comma 17 6 3 4" xfId="9142"/>
    <cellStyle name="Comma 17 6 3 5" xfId="12756"/>
    <cellStyle name="Comma 17 6 3 6" xfId="14502"/>
    <cellStyle name="Comma 17 6 4" xfId="4677"/>
    <cellStyle name="Comma 17 6 4 2" xfId="10140"/>
    <cellStyle name="Comma 17 6 5" xfId="5167"/>
    <cellStyle name="Comma 17 6 5 2" xfId="10642"/>
    <cellStyle name="Comma 17 6 6" xfId="5669"/>
    <cellStyle name="Comma 17 6 6 2" xfId="11144"/>
    <cellStyle name="Comma 17 6 7" xfId="2693"/>
    <cellStyle name="Comma 17 6 8" xfId="6610"/>
    <cellStyle name="Comma 17 6 9" xfId="8134"/>
    <cellStyle name="Comma 17 7" xfId="1128"/>
    <cellStyle name="Comma 17 7 2" xfId="3945"/>
    <cellStyle name="Comma 17 7 2 2" xfId="9390"/>
    <cellStyle name="Comma 17 7 3" xfId="2935"/>
    <cellStyle name="Comma 17 7 4" xfId="6868"/>
    <cellStyle name="Comma 17 7 5" xfId="8382"/>
    <cellStyle name="Comma 17 7 6" xfId="12002"/>
    <cellStyle name="Comma 17 7 7" xfId="13748"/>
    <cellStyle name="Comma 17 8" xfId="1635"/>
    <cellStyle name="Comma 17 8 2" xfId="3449"/>
    <cellStyle name="Comma 17 8 3" xfId="7375"/>
    <cellStyle name="Comma 17 8 4" xfId="8894"/>
    <cellStyle name="Comma 17 8 5" xfId="12508"/>
    <cellStyle name="Comma 17 8 6" xfId="14254"/>
    <cellStyle name="Comma 17 9" xfId="4445"/>
    <cellStyle name="Comma 17 9 2" xfId="9892"/>
    <cellStyle name="Comma 18" xfId="399"/>
    <cellStyle name="Comma 19" xfId="225"/>
    <cellStyle name="Comma 2" xfId="7"/>
    <cellStyle name="Comma 2 10" xfId="6237"/>
    <cellStyle name="Comma 2 10 2" xfId="13214"/>
    <cellStyle name="Comma 2 11" xfId="11468"/>
    <cellStyle name="Comma 2 2" xfId="36"/>
    <cellStyle name="Comma 2 2 2" xfId="37"/>
    <cellStyle name="Comma 2 2 2 2" xfId="38"/>
    <cellStyle name="Comma 2 2 2 2 2" xfId="2264"/>
    <cellStyle name="Comma 2 2 2 3" xfId="2211"/>
    <cellStyle name="Comma 2 2 3" xfId="39"/>
    <cellStyle name="Comma 2 2 3 2" xfId="40"/>
    <cellStyle name="Comma 2 2 3 2 2" xfId="2265"/>
    <cellStyle name="Comma 2 2 3 3" xfId="637"/>
    <cellStyle name="Comma 2 2 3 3 2" xfId="2212"/>
    <cellStyle name="Comma 2 2 3 3 2 2" xfId="6382"/>
    <cellStyle name="Comma 2 2 4" xfId="41"/>
    <cellStyle name="Comma 2 2 4 2" xfId="42"/>
    <cellStyle name="Comma 2 2 4 2 2" xfId="2266"/>
    <cellStyle name="Comma 2 2 4 3" xfId="2213"/>
    <cellStyle name="Comma 2 2 5" xfId="43"/>
    <cellStyle name="Comma 2 2 5 2" xfId="3440"/>
    <cellStyle name="Comma 2 2 6" xfId="400"/>
    <cellStyle name="Comma 2 3" xfId="44"/>
    <cellStyle name="Comma 2 3 2" xfId="45"/>
    <cellStyle name="Comma 2 3 2 2" xfId="46"/>
    <cellStyle name="Comma 2 3 2 2 2" xfId="2267"/>
    <cellStyle name="Comma 2 3 2 3" xfId="2215"/>
    <cellStyle name="Comma 2 3 3" xfId="47"/>
    <cellStyle name="Comma 2 3 3 2" xfId="48"/>
    <cellStyle name="Comma 2 3 3 2 2" xfId="2268"/>
    <cellStyle name="Comma 2 3 3 3" xfId="2216"/>
    <cellStyle name="Comma 2 3 4" xfId="49"/>
    <cellStyle name="Comma 2 3 4 2" xfId="50"/>
    <cellStyle name="Comma 2 3 4 2 2" xfId="2269"/>
    <cellStyle name="Comma 2 3 4 3" xfId="2217"/>
    <cellStyle name="Comma 2 3 5" xfId="2214"/>
    <cellStyle name="Comma 2 4" xfId="51"/>
    <cellStyle name="Comma 2 4 2" xfId="52"/>
    <cellStyle name="Comma 2 4 2 2" xfId="2270"/>
    <cellStyle name="Comma 2 4 3" xfId="401"/>
    <cellStyle name="Comma 2 4 3 2" xfId="2218"/>
    <cellStyle name="Comma 2 4 3 2 2" xfId="6331"/>
    <cellStyle name="Comma 2 5" xfId="53"/>
    <cellStyle name="Comma 2 5 2" xfId="54"/>
    <cellStyle name="Comma 2 5 2 2" xfId="2271"/>
    <cellStyle name="Comma 2 5 3" xfId="2219"/>
    <cellStyle name="Comma 2 6" xfId="55"/>
    <cellStyle name="Comma 2 6 2" xfId="56"/>
    <cellStyle name="Comma 2 6 2 2" xfId="2272"/>
    <cellStyle name="Comma 2 6 3" xfId="2220"/>
    <cellStyle name="Comma 2 7" xfId="57"/>
    <cellStyle name="Comma 2 7 2" xfId="3436"/>
    <cellStyle name="Comma 2 8" xfId="58"/>
    <cellStyle name="Comma 2 8 2" xfId="2258"/>
    <cellStyle name="Comma 2 9" xfId="210"/>
    <cellStyle name="Comma 2 9 2" xfId="6276"/>
    <cellStyle name="Comma 2 9 3" xfId="6036"/>
    <cellStyle name="Comma 2_Allocators" xfId="402"/>
    <cellStyle name="Comma 20" xfId="403"/>
    <cellStyle name="Comma 20 10" xfId="4924"/>
    <cellStyle name="Comma 20 10 2" xfId="10395"/>
    <cellStyle name="Comma 20 11" xfId="5422"/>
    <cellStyle name="Comma 20 11 2" xfId="10897"/>
    <cellStyle name="Comma 20 12" xfId="2188"/>
    <cellStyle name="Comma 20 13" xfId="6332"/>
    <cellStyle name="Comma 20 14" xfId="7887"/>
    <cellStyle name="Comma 20 15" xfId="11497"/>
    <cellStyle name="Comma 20 16" xfId="13243"/>
    <cellStyle name="Comma 20 2" xfId="638"/>
    <cellStyle name="Comma 20 2 10" xfId="2486"/>
    <cellStyle name="Comma 20 2 11" xfId="6383"/>
    <cellStyle name="Comma 20 2 12" xfId="7909"/>
    <cellStyle name="Comma 20 2 13" xfId="11519"/>
    <cellStyle name="Comma 20 2 14" xfId="13265"/>
    <cellStyle name="Comma 20 2 2" xfId="688"/>
    <cellStyle name="Comma 20 2 2 10" xfId="6428"/>
    <cellStyle name="Comma 20 2 2 11" xfId="7952"/>
    <cellStyle name="Comma 20 2 2 12" xfId="11562"/>
    <cellStyle name="Comma 20 2 2 13" xfId="13308"/>
    <cellStyle name="Comma 20 2 2 2" xfId="812"/>
    <cellStyle name="Comma 20 2 2 2 10" xfId="8076"/>
    <cellStyle name="Comma 20 2 2 2 11" xfId="11686"/>
    <cellStyle name="Comma 20 2 2 2 12" xfId="13432"/>
    <cellStyle name="Comma 20 2 2 2 2" xfId="1060"/>
    <cellStyle name="Comma 20 2 2 2 2 10" xfId="11934"/>
    <cellStyle name="Comma 20 2 2 2 2 11" xfId="13680"/>
    <cellStyle name="Comma 20 2 2 2 2 2" xfId="1566"/>
    <cellStyle name="Comma 20 2 2 2 2 2 2" xfId="4381"/>
    <cellStyle name="Comma 20 2 2 2 2 2 2 2" xfId="9828"/>
    <cellStyle name="Comma 20 2 2 2 2 2 3" xfId="3371"/>
    <cellStyle name="Comma 20 2 2 2 2 2 4" xfId="7306"/>
    <cellStyle name="Comma 20 2 2 2 2 2 5" xfId="8820"/>
    <cellStyle name="Comma 20 2 2 2 2 2 6" xfId="12440"/>
    <cellStyle name="Comma 20 2 2 2 2 2 7" xfId="14186"/>
    <cellStyle name="Comma 20 2 2 2 2 3" xfId="2074"/>
    <cellStyle name="Comma 20 2 2 2 2 3 2" xfId="3887"/>
    <cellStyle name="Comma 20 2 2 2 2 3 3" xfId="7814"/>
    <cellStyle name="Comma 20 2 2 2 2 3 4" xfId="9332"/>
    <cellStyle name="Comma 20 2 2 2 2 3 5" xfId="12946"/>
    <cellStyle name="Comma 20 2 2 2 2 3 6" xfId="14692"/>
    <cellStyle name="Comma 20 2 2 2 2 4" xfId="4859"/>
    <cellStyle name="Comma 20 2 2 2 2 4 2" xfId="10330"/>
    <cellStyle name="Comma 20 2 2 2 2 5" xfId="5357"/>
    <cellStyle name="Comma 20 2 2 2 2 5 2" xfId="10832"/>
    <cellStyle name="Comma 20 2 2 2 2 6" xfId="5859"/>
    <cellStyle name="Comma 20 2 2 2 2 6 2" xfId="11334"/>
    <cellStyle name="Comma 20 2 2 2 2 7" xfId="2877"/>
    <cellStyle name="Comma 20 2 2 2 2 8" xfId="6800"/>
    <cellStyle name="Comma 20 2 2 2 2 9" xfId="8324"/>
    <cellStyle name="Comma 20 2 2 2 3" xfId="1318"/>
    <cellStyle name="Comma 20 2 2 2 3 2" xfId="4133"/>
    <cellStyle name="Comma 20 2 2 2 3 2 2" xfId="9580"/>
    <cellStyle name="Comma 20 2 2 2 3 3" xfId="3123"/>
    <cellStyle name="Comma 20 2 2 2 3 4" xfId="7058"/>
    <cellStyle name="Comma 20 2 2 2 3 5" xfId="8572"/>
    <cellStyle name="Comma 20 2 2 2 3 6" xfId="12192"/>
    <cellStyle name="Comma 20 2 2 2 3 7" xfId="13938"/>
    <cellStyle name="Comma 20 2 2 2 4" xfId="1826"/>
    <cellStyle name="Comma 20 2 2 2 4 2" xfId="3639"/>
    <cellStyle name="Comma 20 2 2 2 4 3" xfId="7566"/>
    <cellStyle name="Comma 20 2 2 2 4 4" xfId="9084"/>
    <cellStyle name="Comma 20 2 2 2 4 5" xfId="12698"/>
    <cellStyle name="Comma 20 2 2 2 4 6" xfId="14444"/>
    <cellStyle name="Comma 20 2 2 2 5" xfId="4621"/>
    <cellStyle name="Comma 20 2 2 2 5 2" xfId="10082"/>
    <cellStyle name="Comma 20 2 2 2 6" xfId="5109"/>
    <cellStyle name="Comma 20 2 2 2 6 2" xfId="10584"/>
    <cellStyle name="Comma 20 2 2 2 7" xfId="5611"/>
    <cellStyle name="Comma 20 2 2 2 7 2" xfId="11086"/>
    <cellStyle name="Comma 20 2 2 2 8" xfId="2637"/>
    <cellStyle name="Comma 20 2 2 2 9" xfId="6552"/>
    <cellStyle name="Comma 20 2 2 3" xfId="936"/>
    <cellStyle name="Comma 20 2 2 3 10" xfId="11810"/>
    <cellStyle name="Comma 20 2 2 3 11" xfId="13556"/>
    <cellStyle name="Comma 20 2 2 3 2" xfId="1442"/>
    <cellStyle name="Comma 20 2 2 3 2 2" xfId="4257"/>
    <cellStyle name="Comma 20 2 2 3 2 2 2" xfId="9704"/>
    <cellStyle name="Comma 20 2 2 3 2 3" xfId="3247"/>
    <cellStyle name="Comma 20 2 2 3 2 4" xfId="7182"/>
    <cellStyle name="Comma 20 2 2 3 2 5" xfId="8696"/>
    <cellStyle name="Comma 20 2 2 3 2 6" xfId="12316"/>
    <cellStyle name="Comma 20 2 2 3 2 7" xfId="14062"/>
    <cellStyle name="Comma 20 2 2 3 3" xfId="1950"/>
    <cellStyle name="Comma 20 2 2 3 3 2" xfId="3763"/>
    <cellStyle name="Comma 20 2 2 3 3 3" xfId="7690"/>
    <cellStyle name="Comma 20 2 2 3 3 4" xfId="9208"/>
    <cellStyle name="Comma 20 2 2 3 3 5" xfId="12822"/>
    <cellStyle name="Comma 20 2 2 3 3 6" xfId="14568"/>
    <cellStyle name="Comma 20 2 2 3 4" xfId="4737"/>
    <cellStyle name="Comma 20 2 2 3 4 2" xfId="10206"/>
    <cellStyle name="Comma 20 2 2 3 5" xfId="5233"/>
    <cellStyle name="Comma 20 2 2 3 5 2" xfId="10708"/>
    <cellStyle name="Comma 20 2 2 3 6" xfId="5735"/>
    <cellStyle name="Comma 20 2 2 3 6 2" xfId="11210"/>
    <cellStyle name="Comma 20 2 2 3 7" xfId="2755"/>
    <cellStyle name="Comma 20 2 2 3 8" xfId="6676"/>
    <cellStyle name="Comma 20 2 2 3 9" xfId="8200"/>
    <cellStyle name="Comma 20 2 2 4" xfId="1194"/>
    <cellStyle name="Comma 20 2 2 4 2" xfId="4011"/>
    <cellStyle name="Comma 20 2 2 4 2 2" xfId="9456"/>
    <cellStyle name="Comma 20 2 2 4 3" xfId="3001"/>
    <cellStyle name="Comma 20 2 2 4 4" xfId="6934"/>
    <cellStyle name="Comma 20 2 2 4 5" xfId="8448"/>
    <cellStyle name="Comma 20 2 2 4 6" xfId="12068"/>
    <cellStyle name="Comma 20 2 2 4 7" xfId="13814"/>
    <cellStyle name="Comma 20 2 2 5" xfId="1702"/>
    <cellStyle name="Comma 20 2 2 5 2" xfId="3515"/>
    <cellStyle name="Comma 20 2 2 5 3" xfId="7442"/>
    <cellStyle name="Comma 20 2 2 5 4" xfId="8960"/>
    <cellStyle name="Comma 20 2 2 5 5" xfId="12574"/>
    <cellStyle name="Comma 20 2 2 5 6" xfId="14320"/>
    <cellStyle name="Comma 20 2 2 6" xfId="4509"/>
    <cellStyle name="Comma 20 2 2 6 2" xfId="9958"/>
    <cellStyle name="Comma 20 2 2 7" xfId="4985"/>
    <cellStyle name="Comma 20 2 2 7 2" xfId="10460"/>
    <cellStyle name="Comma 20 2 2 8" xfId="5487"/>
    <cellStyle name="Comma 20 2 2 8 2" xfId="10962"/>
    <cellStyle name="Comma 20 2 2 9" xfId="2525"/>
    <cellStyle name="Comma 20 2 3" xfId="769"/>
    <cellStyle name="Comma 20 2 3 10" xfId="8033"/>
    <cellStyle name="Comma 20 2 3 11" xfId="11643"/>
    <cellStyle name="Comma 20 2 3 12" xfId="13389"/>
    <cellStyle name="Comma 20 2 3 2" xfId="1017"/>
    <cellStyle name="Comma 20 2 3 2 10" xfId="11891"/>
    <cellStyle name="Comma 20 2 3 2 11" xfId="13637"/>
    <cellStyle name="Comma 20 2 3 2 2" xfId="1523"/>
    <cellStyle name="Comma 20 2 3 2 2 2" xfId="4338"/>
    <cellStyle name="Comma 20 2 3 2 2 2 2" xfId="9785"/>
    <cellStyle name="Comma 20 2 3 2 2 3" xfId="3328"/>
    <cellStyle name="Comma 20 2 3 2 2 4" xfId="7263"/>
    <cellStyle name="Comma 20 2 3 2 2 5" xfId="8777"/>
    <cellStyle name="Comma 20 2 3 2 2 6" xfId="12397"/>
    <cellStyle name="Comma 20 2 3 2 2 7" xfId="14143"/>
    <cellStyle name="Comma 20 2 3 2 3" xfId="2031"/>
    <cellStyle name="Comma 20 2 3 2 3 2" xfId="3844"/>
    <cellStyle name="Comma 20 2 3 2 3 3" xfId="7771"/>
    <cellStyle name="Comma 20 2 3 2 3 4" xfId="9289"/>
    <cellStyle name="Comma 20 2 3 2 3 5" xfId="12903"/>
    <cellStyle name="Comma 20 2 3 2 3 6" xfId="14649"/>
    <cellStyle name="Comma 20 2 3 2 4" xfId="4816"/>
    <cellStyle name="Comma 20 2 3 2 4 2" xfId="10287"/>
    <cellStyle name="Comma 20 2 3 2 5" xfId="5314"/>
    <cellStyle name="Comma 20 2 3 2 5 2" xfId="10789"/>
    <cellStyle name="Comma 20 2 3 2 6" xfId="5816"/>
    <cellStyle name="Comma 20 2 3 2 6 2" xfId="11291"/>
    <cellStyle name="Comma 20 2 3 2 7" xfId="2834"/>
    <cellStyle name="Comma 20 2 3 2 8" xfId="6757"/>
    <cellStyle name="Comma 20 2 3 2 9" xfId="8281"/>
    <cellStyle name="Comma 20 2 3 3" xfId="1275"/>
    <cellStyle name="Comma 20 2 3 3 2" xfId="4090"/>
    <cellStyle name="Comma 20 2 3 3 2 2" xfId="9537"/>
    <cellStyle name="Comma 20 2 3 3 3" xfId="3080"/>
    <cellStyle name="Comma 20 2 3 3 4" xfId="7015"/>
    <cellStyle name="Comma 20 2 3 3 5" xfId="8529"/>
    <cellStyle name="Comma 20 2 3 3 6" xfId="12149"/>
    <cellStyle name="Comma 20 2 3 3 7" xfId="13895"/>
    <cellStyle name="Comma 20 2 3 4" xfId="1783"/>
    <cellStyle name="Comma 20 2 3 4 2" xfId="3596"/>
    <cellStyle name="Comma 20 2 3 4 3" xfId="7523"/>
    <cellStyle name="Comma 20 2 3 4 4" xfId="9041"/>
    <cellStyle name="Comma 20 2 3 4 5" xfId="12655"/>
    <cellStyle name="Comma 20 2 3 4 6" xfId="14401"/>
    <cellStyle name="Comma 20 2 3 5" xfId="4582"/>
    <cellStyle name="Comma 20 2 3 5 2" xfId="10039"/>
    <cellStyle name="Comma 20 2 3 6" xfId="5066"/>
    <cellStyle name="Comma 20 2 3 6 2" xfId="10541"/>
    <cellStyle name="Comma 20 2 3 7" xfId="5568"/>
    <cellStyle name="Comma 20 2 3 7 2" xfId="11043"/>
    <cellStyle name="Comma 20 2 3 8" xfId="2598"/>
    <cellStyle name="Comma 20 2 3 9" xfId="6509"/>
    <cellStyle name="Comma 20 2 4" xfId="893"/>
    <cellStyle name="Comma 20 2 4 10" xfId="11767"/>
    <cellStyle name="Comma 20 2 4 11" xfId="13513"/>
    <cellStyle name="Comma 20 2 4 2" xfId="1399"/>
    <cellStyle name="Comma 20 2 4 2 2" xfId="4214"/>
    <cellStyle name="Comma 20 2 4 2 2 2" xfId="9661"/>
    <cellStyle name="Comma 20 2 4 2 3" xfId="3204"/>
    <cellStyle name="Comma 20 2 4 2 4" xfId="7139"/>
    <cellStyle name="Comma 20 2 4 2 5" xfId="8653"/>
    <cellStyle name="Comma 20 2 4 2 6" xfId="12273"/>
    <cellStyle name="Comma 20 2 4 2 7" xfId="14019"/>
    <cellStyle name="Comma 20 2 4 3" xfId="1907"/>
    <cellStyle name="Comma 20 2 4 3 2" xfId="3720"/>
    <cellStyle name="Comma 20 2 4 3 3" xfId="7647"/>
    <cellStyle name="Comma 20 2 4 3 4" xfId="9165"/>
    <cellStyle name="Comma 20 2 4 3 5" xfId="12779"/>
    <cellStyle name="Comma 20 2 4 3 6" xfId="14525"/>
    <cellStyle name="Comma 20 2 4 4" xfId="4698"/>
    <cellStyle name="Comma 20 2 4 4 2" xfId="10163"/>
    <cellStyle name="Comma 20 2 4 5" xfId="5190"/>
    <cellStyle name="Comma 20 2 4 5 2" xfId="10665"/>
    <cellStyle name="Comma 20 2 4 6" xfId="5692"/>
    <cellStyle name="Comma 20 2 4 6 2" xfId="11167"/>
    <cellStyle name="Comma 20 2 4 7" xfId="2716"/>
    <cellStyle name="Comma 20 2 4 8" xfId="6633"/>
    <cellStyle name="Comma 20 2 4 9" xfId="8157"/>
    <cellStyle name="Comma 20 2 5" xfId="1151"/>
    <cellStyle name="Comma 20 2 5 2" xfId="3968"/>
    <cellStyle name="Comma 20 2 5 2 2" xfId="9413"/>
    <cellStyle name="Comma 20 2 5 3" xfId="2958"/>
    <cellStyle name="Comma 20 2 5 4" xfId="6891"/>
    <cellStyle name="Comma 20 2 5 5" xfId="8405"/>
    <cellStyle name="Comma 20 2 5 6" xfId="12025"/>
    <cellStyle name="Comma 20 2 5 7" xfId="13771"/>
    <cellStyle name="Comma 20 2 6" xfId="1659"/>
    <cellStyle name="Comma 20 2 6 2" xfId="3472"/>
    <cellStyle name="Comma 20 2 6 3" xfId="7399"/>
    <cellStyle name="Comma 20 2 6 4" xfId="8917"/>
    <cellStyle name="Comma 20 2 6 5" xfId="12531"/>
    <cellStyle name="Comma 20 2 6 6" xfId="14277"/>
    <cellStyle name="Comma 20 2 7" xfId="4468"/>
    <cellStyle name="Comma 20 2 7 2" xfId="9915"/>
    <cellStyle name="Comma 20 2 8" xfId="4944"/>
    <cellStyle name="Comma 20 2 8 2" xfId="10417"/>
    <cellStyle name="Comma 20 2 9" xfId="5444"/>
    <cellStyle name="Comma 20 2 9 2" xfId="10919"/>
    <cellStyle name="Comma 20 3" xfId="665"/>
    <cellStyle name="Comma 20 3 10" xfId="2504"/>
    <cellStyle name="Comma 20 3 11" xfId="6405"/>
    <cellStyle name="Comma 20 3 12" xfId="7929"/>
    <cellStyle name="Comma 20 3 13" xfId="11539"/>
    <cellStyle name="Comma 20 3 14" xfId="13285"/>
    <cellStyle name="Comma 20 3 2" xfId="689"/>
    <cellStyle name="Comma 20 3 2 10" xfId="6429"/>
    <cellStyle name="Comma 20 3 2 11" xfId="7953"/>
    <cellStyle name="Comma 20 3 2 12" xfId="11563"/>
    <cellStyle name="Comma 20 3 2 13" xfId="13309"/>
    <cellStyle name="Comma 20 3 2 2" xfId="813"/>
    <cellStyle name="Comma 20 3 2 2 10" xfId="8077"/>
    <cellStyle name="Comma 20 3 2 2 11" xfId="11687"/>
    <cellStyle name="Comma 20 3 2 2 12" xfId="13433"/>
    <cellStyle name="Comma 20 3 2 2 2" xfId="1061"/>
    <cellStyle name="Comma 20 3 2 2 2 10" xfId="11935"/>
    <cellStyle name="Comma 20 3 2 2 2 11" xfId="13681"/>
    <cellStyle name="Comma 20 3 2 2 2 2" xfId="1567"/>
    <cellStyle name="Comma 20 3 2 2 2 2 2" xfId="4382"/>
    <cellStyle name="Comma 20 3 2 2 2 2 2 2" xfId="9829"/>
    <cellStyle name="Comma 20 3 2 2 2 2 3" xfId="3372"/>
    <cellStyle name="Comma 20 3 2 2 2 2 4" xfId="7307"/>
    <cellStyle name="Comma 20 3 2 2 2 2 5" xfId="8821"/>
    <cellStyle name="Comma 20 3 2 2 2 2 6" xfId="12441"/>
    <cellStyle name="Comma 20 3 2 2 2 2 7" xfId="14187"/>
    <cellStyle name="Comma 20 3 2 2 2 3" xfId="2075"/>
    <cellStyle name="Comma 20 3 2 2 2 3 2" xfId="3888"/>
    <cellStyle name="Comma 20 3 2 2 2 3 3" xfId="7815"/>
    <cellStyle name="Comma 20 3 2 2 2 3 4" xfId="9333"/>
    <cellStyle name="Comma 20 3 2 2 2 3 5" xfId="12947"/>
    <cellStyle name="Comma 20 3 2 2 2 3 6" xfId="14693"/>
    <cellStyle name="Comma 20 3 2 2 2 4" xfId="4860"/>
    <cellStyle name="Comma 20 3 2 2 2 4 2" xfId="10331"/>
    <cellStyle name="Comma 20 3 2 2 2 5" xfId="5358"/>
    <cellStyle name="Comma 20 3 2 2 2 5 2" xfId="10833"/>
    <cellStyle name="Comma 20 3 2 2 2 6" xfId="5860"/>
    <cellStyle name="Comma 20 3 2 2 2 6 2" xfId="11335"/>
    <cellStyle name="Comma 20 3 2 2 2 7" xfId="2878"/>
    <cellStyle name="Comma 20 3 2 2 2 8" xfId="6801"/>
    <cellStyle name="Comma 20 3 2 2 2 9" xfId="8325"/>
    <cellStyle name="Comma 20 3 2 2 3" xfId="1319"/>
    <cellStyle name="Comma 20 3 2 2 3 2" xfId="4134"/>
    <cellStyle name="Comma 20 3 2 2 3 2 2" xfId="9581"/>
    <cellStyle name="Comma 20 3 2 2 3 3" xfId="3124"/>
    <cellStyle name="Comma 20 3 2 2 3 4" xfId="7059"/>
    <cellStyle name="Comma 20 3 2 2 3 5" xfId="8573"/>
    <cellStyle name="Comma 20 3 2 2 3 6" xfId="12193"/>
    <cellStyle name="Comma 20 3 2 2 3 7" xfId="13939"/>
    <cellStyle name="Comma 20 3 2 2 4" xfId="1827"/>
    <cellStyle name="Comma 20 3 2 2 4 2" xfId="3640"/>
    <cellStyle name="Comma 20 3 2 2 4 3" xfId="7567"/>
    <cellStyle name="Comma 20 3 2 2 4 4" xfId="9085"/>
    <cellStyle name="Comma 20 3 2 2 4 5" xfId="12699"/>
    <cellStyle name="Comma 20 3 2 2 4 6" xfId="14445"/>
    <cellStyle name="Comma 20 3 2 2 5" xfId="4622"/>
    <cellStyle name="Comma 20 3 2 2 5 2" xfId="10083"/>
    <cellStyle name="Comma 20 3 2 2 6" xfId="5110"/>
    <cellStyle name="Comma 20 3 2 2 6 2" xfId="10585"/>
    <cellStyle name="Comma 20 3 2 2 7" xfId="5612"/>
    <cellStyle name="Comma 20 3 2 2 7 2" xfId="11087"/>
    <cellStyle name="Comma 20 3 2 2 8" xfId="2638"/>
    <cellStyle name="Comma 20 3 2 2 9" xfId="6553"/>
    <cellStyle name="Comma 20 3 2 3" xfId="937"/>
    <cellStyle name="Comma 20 3 2 3 10" xfId="11811"/>
    <cellStyle name="Comma 20 3 2 3 11" xfId="13557"/>
    <cellStyle name="Comma 20 3 2 3 2" xfId="1443"/>
    <cellStyle name="Comma 20 3 2 3 2 2" xfId="4258"/>
    <cellStyle name="Comma 20 3 2 3 2 2 2" xfId="9705"/>
    <cellStyle name="Comma 20 3 2 3 2 3" xfId="3248"/>
    <cellStyle name="Comma 20 3 2 3 2 4" xfId="7183"/>
    <cellStyle name="Comma 20 3 2 3 2 5" xfId="8697"/>
    <cellStyle name="Comma 20 3 2 3 2 6" xfId="12317"/>
    <cellStyle name="Comma 20 3 2 3 2 7" xfId="14063"/>
    <cellStyle name="Comma 20 3 2 3 3" xfId="1951"/>
    <cellStyle name="Comma 20 3 2 3 3 2" xfId="3764"/>
    <cellStyle name="Comma 20 3 2 3 3 3" xfId="7691"/>
    <cellStyle name="Comma 20 3 2 3 3 4" xfId="9209"/>
    <cellStyle name="Comma 20 3 2 3 3 5" xfId="12823"/>
    <cellStyle name="Comma 20 3 2 3 3 6" xfId="14569"/>
    <cellStyle name="Comma 20 3 2 3 4" xfId="4738"/>
    <cellStyle name="Comma 20 3 2 3 4 2" xfId="10207"/>
    <cellStyle name="Comma 20 3 2 3 5" xfId="5234"/>
    <cellStyle name="Comma 20 3 2 3 5 2" xfId="10709"/>
    <cellStyle name="Comma 20 3 2 3 6" xfId="5736"/>
    <cellStyle name="Comma 20 3 2 3 6 2" xfId="11211"/>
    <cellStyle name="Comma 20 3 2 3 7" xfId="2756"/>
    <cellStyle name="Comma 20 3 2 3 8" xfId="6677"/>
    <cellStyle name="Comma 20 3 2 3 9" xfId="8201"/>
    <cellStyle name="Comma 20 3 2 4" xfId="1195"/>
    <cellStyle name="Comma 20 3 2 4 2" xfId="4012"/>
    <cellStyle name="Comma 20 3 2 4 2 2" xfId="9457"/>
    <cellStyle name="Comma 20 3 2 4 3" xfId="3002"/>
    <cellStyle name="Comma 20 3 2 4 4" xfId="6935"/>
    <cellStyle name="Comma 20 3 2 4 5" xfId="8449"/>
    <cellStyle name="Comma 20 3 2 4 6" xfId="12069"/>
    <cellStyle name="Comma 20 3 2 4 7" xfId="13815"/>
    <cellStyle name="Comma 20 3 2 5" xfId="1703"/>
    <cellStyle name="Comma 20 3 2 5 2" xfId="3516"/>
    <cellStyle name="Comma 20 3 2 5 3" xfId="7443"/>
    <cellStyle name="Comma 20 3 2 5 4" xfId="8961"/>
    <cellStyle name="Comma 20 3 2 5 5" xfId="12575"/>
    <cellStyle name="Comma 20 3 2 5 6" xfId="14321"/>
    <cellStyle name="Comma 20 3 2 6" xfId="4510"/>
    <cellStyle name="Comma 20 3 2 6 2" xfId="9959"/>
    <cellStyle name="Comma 20 3 2 7" xfId="4986"/>
    <cellStyle name="Comma 20 3 2 7 2" xfId="10461"/>
    <cellStyle name="Comma 20 3 2 8" xfId="5488"/>
    <cellStyle name="Comma 20 3 2 8 2" xfId="10963"/>
    <cellStyle name="Comma 20 3 2 9" xfId="2526"/>
    <cellStyle name="Comma 20 3 3" xfId="789"/>
    <cellStyle name="Comma 20 3 3 10" xfId="8053"/>
    <cellStyle name="Comma 20 3 3 11" xfId="11663"/>
    <cellStyle name="Comma 20 3 3 12" xfId="13409"/>
    <cellStyle name="Comma 20 3 3 2" xfId="1037"/>
    <cellStyle name="Comma 20 3 3 2 10" xfId="11911"/>
    <cellStyle name="Comma 20 3 3 2 11" xfId="13657"/>
    <cellStyle name="Comma 20 3 3 2 2" xfId="1543"/>
    <cellStyle name="Comma 20 3 3 2 2 2" xfId="4358"/>
    <cellStyle name="Comma 20 3 3 2 2 2 2" xfId="9805"/>
    <cellStyle name="Comma 20 3 3 2 2 3" xfId="3348"/>
    <cellStyle name="Comma 20 3 3 2 2 4" xfId="7283"/>
    <cellStyle name="Comma 20 3 3 2 2 5" xfId="8797"/>
    <cellStyle name="Comma 20 3 3 2 2 6" xfId="12417"/>
    <cellStyle name="Comma 20 3 3 2 2 7" xfId="14163"/>
    <cellStyle name="Comma 20 3 3 2 3" xfId="2051"/>
    <cellStyle name="Comma 20 3 3 2 3 2" xfId="3864"/>
    <cellStyle name="Comma 20 3 3 2 3 3" xfId="7791"/>
    <cellStyle name="Comma 20 3 3 2 3 4" xfId="9309"/>
    <cellStyle name="Comma 20 3 3 2 3 5" xfId="12923"/>
    <cellStyle name="Comma 20 3 3 2 3 6" xfId="14669"/>
    <cellStyle name="Comma 20 3 3 2 4" xfId="4836"/>
    <cellStyle name="Comma 20 3 3 2 4 2" xfId="10307"/>
    <cellStyle name="Comma 20 3 3 2 5" xfId="5334"/>
    <cellStyle name="Comma 20 3 3 2 5 2" xfId="10809"/>
    <cellStyle name="Comma 20 3 3 2 6" xfId="5836"/>
    <cellStyle name="Comma 20 3 3 2 6 2" xfId="11311"/>
    <cellStyle name="Comma 20 3 3 2 7" xfId="2854"/>
    <cellStyle name="Comma 20 3 3 2 8" xfId="6777"/>
    <cellStyle name="Comma 20 3 3 2 9" xfId="8301"/>
    <cellStyle name="Comma 20 3 3 3" xfId="1295"/>
    <cellStyle name="Comma 20 3 3 3 2" xfId="4110"/>
    <cellStyle name="Comma 20 3 3 3 2 2" xfId="9557"/>
    <cellStyle name="Comma 20 3 3 3 3" xfId="3100"/>
    <cellStyle name="Comma 20 3 3 3 4" xfId="7035"/>
    <cellStyle name="Comma 20 3 3 3 5" xfId="8549"/>
    <cellStyle name="Comma 20 3 3 3 6" xfId="12169"/>
    <cellStyle name="Comma 20 3 3 3 7" xfId="13915"/>
    <cellStyle name="Comma 20 3 3 4" xfId="1803"/>
    <cellStyle name="Comma 20 3 3 4 2" xfId="3616"/>
    <cellStyle name="Comma 20 3 3 4 3" xfId="7543"/>
    <cellStyle name="Comma 20 3 3 4 4" xfId="9061"/>
    <cellStyle name="Comma 20 3 3 4 5" xfId="12675"/>
    <cellStyle name="Comma 20 3 3 4 6" xfId="14421"/>
    <cellStyle name="Comma 20 3 3 5" xfId="4600"/>
    <cellStyle name="Comma 20 3 3 5 2" xfId="10059"/>
    <cellStyle name="Comma 20 3 3 6" xfId="5086"/>
    <cellStyle name="Comma 20 3 3 6 2" xfId="10561"/>
    <cellStyle name="Comma 20 3 3 7" xfId="5588"/>
    <cellStyle name="Comma 20 3 3 7 2" xfId="11063"/>
    <cellStyle name="Comma 20 3 3 8" xfId="2616"/>
    <cellStyle name="Comma 20 3 3 9" xfId="6529"/>
    <cellStyle name="Comma 20 3 4" xfId="913"/>
    <cellStyle name="Comma 20 3 4 10" xfId="11787"/>
    <cellStyle name="Comma 20 3 4 11" xfId="13533"/>
    <cellStyle name="Comma 20 3 4 2" xfId="1419"/>
    <cellStyle name="Comma 20 3 4 2 2" xfId="4234"/>
    <cellStyle name="Comma 20 3 4 2 2 2" xfId="9681"/>
    <cellStyle name="Comma 20 3 4 2 3" xfId="3224"/>
    <cellStyle name="Comma 20 3 4 2 4" xfId="7159"/>
    <cellStyle name="Comma 20 3 4 2 5" xfId="8673"/>
    <cellStyle name="Comma 20 3 4 2 6" xfId="12293"/>
    <cellStyle name="Comma 20 3 4 2 7" xfId="14039"/>
    <cellStyle name="Comma 20 3 4 3" xfId="1927"/>
    <cellStyle name="Comma 20 3 4 3 2" xfId="3740"/>
    <cellStyle name="Comma 20 3 4 3 3" xfId="7667"/>
    <cellStyle name="Comma 20 3 4 3 4" xfId="9185"/>
    <cellStyle name="Comma 20 3 4 3 5" xfId="12799"/>
    <cellStyle name="Comma 20 3 4 3 6" xfId="14545"/>
    <cellStyle name="Comma 20 3 4 4" xfId="4716"/>
    <cellStyle name="Comma 20 3 4 4 2" xfId="10183"/>
    <cellStyle name="Comma 20 3 4 5" xfId="5210"/>
    <cellStyle name="Comma 20 3 4 5 2" xfId="10685"/>
    <cellStyle name="Comma 20 3 4 6" xfId="5712"/>
    <cellStyle name="Comma 20 3 4 6 2" xfId="11187"/>
    <cellStyle name="Comma 20 3 4 7" xfId="2734"/>
    <cellStyle name="Comma 20 3 4 8" xfId="6653"/>
    <cellStyle name="Comma 20 3 4 9" xfId="8177"/>
    <cellStyle name="Comma 20 3 5" xfId="1171"/>
    <cellStyle name="Comma 20 3 5 2" xfId="3988"/>
    <cellStyle name="Comma 20 3 5 2 2" xfId="9433"/>
    <cellStyle name="Comma 20 3 5 3" xfId="2978"/>
    <cellStyle name="Comma 20 3 5 4" xfId="6911"/>
    <cellStyle name="Comma 20 3 5 5" xfId="8425"/>
    <cellStyle name="Comma 20 3 5 6" xfId="12045"/>
    <cellStyle name="Comma 20 3 5 7" xfId="13791"/>
    <cellStyle name="Comma 20 3 6" xfId="1679"/>
    <cellStyle name="Comma 20 3 6 2" xfId="3492"/>
    <cellStyle name="Comma 20 3 6 3" xfId="7419"/>
    <cellStyle name="Comma 20 3 6 4" xfId="8937"/>
    <cellStyle name="Comma 20 3 6 5" xfId="12551"/>
    <cellStyle name="Comma 20 3 6 6" xfId="14297"/>
    <cellStyle name="Comma 20 3 7" xfId="4488"/>
    <cellStyle name="Comma 20 3 7 2" xfId="9935"/>
    <cellStyle name="Comma 20 3 8" xfId="4962"/>
    <cellStyle name="Comma 20 3 8 2" xfId="10437"/>
    <cellStyle name="Comma 20 3 9" xfId="5464"/>
    <cellStyle name="Comma 20 3 9 2" xfId="10939"/>
    <cellStyle name="Comma 20 4" xfId="687"/>
    <cellStyle name="Comma 20 4 10" xfId="6427"/>
    <cellStyle name="Comma 20 4 11" xfId="7951"/>
    <cellStyle name="Comma 20 4 12" xfId="11561"/>
    <cellStyle name="Comma 20 4 13" xfId="13307"/>
    <cellStyle name="Comma 20 4 2" xfId="811"/>
    <cellStyle name="Comma 20 4 2 10" xfId="8075"/>
    <cellStyle name="Comma 20 4 2 11" xfId="11685"/>
    <cellStyle name="Comma 20 4 2 12" xfId="13431"/>
    <cellStyle name="Comma 20 4 2 2" xfId="1059"/>
    <cellStyle name="Comma 20 4 2 2 10" xfId="11933"/>
    <cellStyle name="Comma 20 4 2 2 11" xfId="13679"/>
    <cellStyle name="Comma 20 4 2 2 2" xfId="1565"/>
    <cellStyle name="Comma 20 4 2 2 2 2" xfId="4380"/>
    <cellStyle name="Comma 20 4 2 2 2 2 2" xfId="9827"/>
    <cellStyle name="Comma 20 4 2 2 2 3" xfId="3370"/>
    <cellStyle name="Comma 20 4 2 2 2 4" xfId="7305"/>
    <cellStyle name="Comma 20 4 2 2 2 5" xfId="8819"/>
    <cellStyle name="Comma 20 4 2 2 2 6" xfId="12439"/>
    <cellStyle name="Comma 20 4 2 2 2 7" xfId="14185"/>
    <cellStyle name="Comma 20 4 2 2 3" xfId="2073"/>
    <cellStyle name="Comma 20 4 2 2 3 2" xfId="3886"/>
    <cellStyle name="Comma 20 4 2 2 3 3" xfId="7813"/>
    <cellStyle name="Comma 20 4 2 2 3 4" xfId="9331"/>
    <cellStyle name="Comma 20 4 2 2 3 5" xfId="12945"/>
    <cellStyle name="Comma 20 4 2 2 3 6" xfId="14691"/>
    <cellStyle name="Comma 20 4 2 2 4" xfId="4858"/>
    <cellStyle name="Comma 20 4 2 2 4 2" xfId="10329"/>
    <cellStyle name="Comma 20 4 2 2 5" xfId="5356"/>
    <cellStyle name="Comma 20 4 2 2 5 2" xfId="10831"/>
    <cellStyle name="Comma 20 4 2 2 6" xfId="5858"/>
    <cellStyle name="Comma 20 4 2 2 6 2" xfId="11333"/>
    <cellStyle name="Comma 20 4 2 2 7" xfId="2876"/>
    <cellStyle name="Comma 20 4 2 2 8" xfId="6799"/>
    <cellStyle name="Comma 20 4 2 2 9" xfId="8323"/>
    <cellStyle name="Comma 20 4 2 3" xfId="1317"/>
    <cellStyle name="Comma 20 4 2 3 2" xfId="4132"/>
    <cellStyle name="Comma 20 4 2 3 2 2" xfId="9579"/>
    <cellStyle name="Comma 20 4 2 3 3" xfId="3122"/>
    <cellStyle name="Comma 20 4 2 3 4" xfId="7057"/>
    <cellStyle name="Comma 20 4 2 3 5" xfId="8571"/>
    <cellStyle name="Comma 20 4 2 3 6" xfId="12191"/>
    <cellStyle name="Comma 20 4 2 3 7" xfId="13937"/>
    <cellStyle name="Comma 20 4 2 4" xfId="1825"/>
    <cellStyle name="Comma 20 4 2 4 2" xfId="3638"/>
    <cellStyle name="Comma 20 4 2 4 3" xfId="7565"/>
    <cellStyle name="Comma 20 4 2 4 4" xfId="9083"/>
    <cellStyle name="Comma 20 4 2 4 5" xfId="12697"/>
    <cellStyle name="Comma 20 4 2 4 6" xfId="14443"/>
    <cellStyle name="Comma 20 4 2 5" xfId="4620"/>
    <cellStyle name="Comma 20 4 2 5 2" xfId="10081"/>
    <cellStyle name="Comma 20 4 2 6" xfId="5108"/>
    <cellStyle name="Comma 20 4 2 6 2" xfId="10583"/>
    <cellStyle name="Comma 20 4 2 7" xfId="5610"/>
    <cellStyle name="Comma 20 4 2 7 2" xfId="11085"/>
    <cellStyle name="Comma 20 4 2 8" xfId="2636"/>
    <cellStyle name="Comma 20 4 2 9" xfId="6551"/>
    <cellStyle name="Comma 20 4 3" xfId="935"/>
    <cellStyle name="Comma 20 4 3 10" xfId="11809"/>
    <cellStyle name="Comma 20 4 3 11" xfId="13555"/>
    <cellStyle name="Comma 20 4 3 2" xfId="1441"/>
    <cellStyle name="Comma 20 4 3 2 2" xfId="4256"/>
    <cellStyle name="Comma 20 4 3 2 2 2" xfId="9703"/>
    <cellStyle name="Comma 20 4 3 2 3" xfId="3246"/>
    <cellStyle name="Comma 20 4 3 2 4" xfId="7181"/>
    <cellStyle name="Comma 20 4 3 2 5" xfId="8695"/>
    <cellStyle name="Comma 20 4 3 2 6" xfId="12315"/>
    <cellStyle name="Comma 20 4 3 2 7" xfId="14061"/>
    <cellStyle name="Comma 20 4 3 3" xfId="1949"/>
    <cellStyle name="Comma 20 4 3 3 2" xfId="3762"/>
    <cellStyle name="Comma 20 4 3 3 3" xfId="7689"/>
    <cellStyle name="Comma 20 4 3 3 4" xfId="9207"/>
    <cellStyle name="Comma 20 4 3 3 5" xfId="12821"/>
    <cellStyle name="Comma 20 4 3 3 6" xfId="14567"/>
    <cellStyle name="Comma 20 4 3 4" xfId="4736"/>
    <cellStyle name="Comma 20 4 3 4 2" xfId="10205"/>
    <cellStyle name="Comma 20 4 3 5" xfId="5232"/>
    <cellStyle name="Comma 20 4 3 5 2" xfId="10707"/>
    <cellStyle name="Comma 20 4 3 6" xfId="5734"/>
    <cellStyle name="Comma 20 4 3 6 2" xfId="11209"/>
    <cellStyle name="Comma 20 4 3 7" xfId="2754"/>
    <cellStyle name="Comma 20 4 3 8" xfId="6675"/>
    <cellStyle name="Comma 20 4 3 9" xfId="8199"/>
    <cellStyle name="Comma 20 4 4" xfId="1193"/>
    <cellStyle name="Comma 20 4 4 2" xfId="4010"/>
    <cellStyle name="Comma 20 4 4 2 2" xfId="9455"/>
    <cellStyle name="Comma 20 4 4 3" xfId="3000"/>
    <cellStyle name="Comma 20 4 4 4" xfId="6933"/>
    <cellStyle name="Comma 20 4 4 5" xfId="8447"/>
    <cellStyle name="Comma 20 4 4 6" xfId="12067"/>
    <cellStyle name="Comma 20 4 4 7" xfId="13813"/>
    <cellStyle name="Comma 20 4 5" xfId="1701"/>
    <cellStyle name="Comma 20 4 5 2" xfId="3514"/>
    <cellStyle name="Comma 20 4 5 3" xfId="7441"/>
    <cellStyle name="Comma 20 4 5 4" xfId="8959"/>
    <cellStyle name="Comma 20 4 5 5" xfId="12573"/>
    <cellStyle name="Comma 20 4 5 6" xfId="14319"/>
    <cellStyle name="Comma 20 4 6" xfId="4508"/>
    <cellStyle name="Comma 20 4 6 2" xfId="9957"/>
    <cellStyle name="Comma 20 4 7" xfId="4984"/>
    <cellStyle name="Comma 20 4 7 2" xfId="10459"/>
    <cellStyle name="Comma 20 4 8" xfId="5486"/>
    <cellStyle name="Comma 20 4 8 2" xfId="10961"/>
    <cellStyle name="Comma 20 4 9" xfId="2524"/>
    <cellStyle name="Comma 20 5" xfId="747"/>
    <cellStyle name="Comma 20 5 10" xfId="8011"/>
    <cellStyle name="Comma 20 5 11" xfId="11621"/>
    <cellStyle name="Comma 20 5 12" xfId="13367"/>
    <cellStyle name="Comma 20 5 2" xfId="995"/>
    <cellStyle name="Comma 20 5 2 10" xfId="11869"/>
    <cellStyle name="Comma 20 5 2 11" xfId="13615"/>
    <cellStyle name="Comma 20 5 2 2" xfId="1501"/>
    <cellStyle name="Comma 20 5 2 2 2" xfId="4316"/>
    <cellStyle name="Comma 20 5 2 2 2 2" xfId="9763"/>
    <cellStyle name="Comma 20 5 2 2 3" xfId="3306"/>
    <cellStyle name="Comma 20 5 2 2 4" xfId="7241"/>
    <cellStyle name="Comma 20 5 2 2 5" xfId="8755"/>
    <cellStyle name="Comma 20 5 2 2 6" xfId="12375"/>
    <cellStyle name="Comma 20 5 2 2 7" xfId="14121"/>
    <cellStyle name="Comma 20 5 2 3" xfId="2009"/>
    <cellStyle name="Comma 20 5 2 3 2" xfId="3822"/>
    <cellStyle name="Comma 20 5 2 3 3" xfId="7749"/>
    <cellStyle name="Comma 20 5 2 3 4" xfId="9267"/>
    <cellStyle name="Comma 20 5 2 3 5" xfId="12881"/>
    <cellStyle name="Comma 20 5 2 3 6" xfId="14627"/>
    <cellStyle name="Comma 20 5 2 4" xfId="4794"/>
    <cellStyle name="Comma 20 5 2 4 2" xfId="10265"/>
    <cellStyle name="Comma 20 5 2 5" xfId="5292"/>
    <cellStyle name="Comma 20 5 2 5 2" xfId="10767"/>
    <cellStyle name="Comma 20 5 2 6" xfId="5794"/>
    <cellStyle name="Comma 20 5 2 6 2" xfId="11269"/>
    <cellStyle name="Comma 20 5 2 7" xfId="2812"/>
    <cellStyle name="Comma 20 5 2 8" xfId="6735"/>
    <cellStyle name="Comma 20 5 2 9" xfId="8259"/>
    <cellStyle name="Comma 20 5 3" xfId="1253"/>
    <cellStyle name="Comma 20 5 3 2" xfId="4068"/>
    <cellStyle name="Comma 20 5 3 2 2" xfId="9515"/>
    <cellStyle name="Comma 20 5 3 3" xfId="3058"/>
    <cellStyle name="Comma 20 5 3 4" xfId="6993"/>
    <cellStyle name="Comma 20 5 3 5" xfId="8507"/>
    <cellStyle name="Comma 20 5 3 6" xfId="12127"/>
    <cellStyle name="Comma 20 5 3 7" xfId="13873"/>
    <cellStyle name="Comma 20 5 4" xfId="1761"/>
    <cellStyle name="Comma 20 5 4 2" xfId="3574"/>
    <cellStyle name="Comma 20 5 4 3" xfId="7501"/>
    <cellStyle name="Comma 20 5 4 4" xfId="9019"/>
    <cellStyle name="Comma 20 5 4 5" xfId="12633"/>
    <cellStyle name="Comma 20 5 4 6" xfId="14379"/>
    <cellStyle name="Comma 20 5 5" xfId="4562"/>
    <cellStyle name="Comma 20 5 5 2" xfId="10017"/>
    <cellStyle name="Comma 20 5 6" xfId="5044"/>
    <cellStyle name="Comma 20 5 6 2" xfId="10519"/>
    <cellStyle name="Comma 20 5 7" xfId="5546"/>
    <cellStyle name="Comma 20 5 7 2" xfId="11021"/>
    <cellStyle name="Comma 20 5 8" xfId="2578"/>
    <cellStyle name="Comma 20 5 9" xfId="6487"/>
    <cellStyle name="Comma 20 6" xfId="871"/>
    <cellStyle name="Comma 20 6 10" xfId="11745"/>
    <cellStyle name="Comma 20 6 11" xfId="13491"/>
    <cellStyle name="Comma 20 6 2" xfId="1377"/>
    <cellStyle name="Comma 20 6 2 2" xfId="4192"/>
    <cellStyle name="Comma 20 6 2 2 2" xfId="9639"/>
    <cellStyle name="Comma 20 6 2 3" xfId="3182"/>
    <cellStyle name="Comma 20 6 2 4" xfId="7117"/>
    <cellStyle name="Comma 20 6 2 5" xfId="8631"/>
    <cellStyle name="Comma 20 6 2 6" xfId="12251"/>
    <cellStyle name="Comma 20 6 2 7" xfId="13997"/>
    <cellStyle name="Comma 20 6 3" xfId="1885"/>
    <cellStyle name="Comma 20 6 3 2" xfId="3698"/>
    <cellStyle name="Comma 20 6 3 3" xfId="7625"/>
    <cellStyle name="Comma 20 6 3 4" xfId="9143"/>
    <cellStyle name="Comma 20 6 3 5" xfId="12757"/>
    <cellStyle name="Comma 20 6 3 6" xfId="14503"/>
    <cellStyle name="Comma 20 6 4" xfId="4678"/>
    <cellStyle name="Comma 20 6 4 2" xfId="10141"/>
    <cellStyle name="Comma 20 6 5" xfId="5168"/>
    <cellStyle name="Comma 20 6 5 2" xfId="10643"/>
    <cellStyle name="Comma 20 6 6" xfId="5670"/>
    <cellStyle name="Comma 20 6 6 2" xfId="11145"/>
    <cellStyle name="Comma 20 6 7" xfId="2694"/>
    <cellStyle name="Comma 20 6 8" xfId="6611"/>
    <cellStyle name="Comma 20 6 9" xfId="8135"/>
    <cellStyle name="Comma 20 7" xfId="1129"/>
    <cellStyle name="Comma 20 7 2" xfId="3946"/>
    <cellStyle name="Comma 20 7 2 2" xfId="9391"/>
    <cellStyle name="Comma 20 7 3" xfId="2936"/>
    <cellStyle name="Comma 20 7 4" xfId="6869"/>
    <cellStyle name="Comma 20 7 5" xfId="8383"/>
    <cellStyle name="Comma 20 7 6" xfId="12003"/>
    <cellStyle name="Comma 20 7 7" xfId="13749"/>
    <cellStyle name="Comma 20 8" xfId="1636"/>
    <cellStyle name="Comma 20 8 2" xfId="3450"/>
    <cellStyle name="Comma 20 8 3" xfId="7376"/>
    <cellStyle name="Comma 20 8 4" xfId="8895"/>
    <cellStyle name="Comma 20 8 5" xfId="12509"/>
    <cellStyle name="Comma 20 8 6" xfId="14255"/>
    <cellStyle name="Comma 20 9" xfId="4446"/>
    <cellStyle name="Comma 20 9 2" xfId="9893"/>
    <cellStyle name="Comma 21" xfId="5924"/>
    <cellStyle name="Comma 21 2" xfId="11399"/>
    <cellStyle name="Comma 22" xfId="6002"/>
    <cellStyle name="Comma 22 2" xfId="11426"/>
    <cellStyle name="Comma 23" xfId="6000"/>
    <cellStyle name="Comma 23 2" xfId="11425"/>
    <cellStyle name="Comma 24" xfId="6018"/>
    <cellStyle name="Comma 24 2" xfId="11463"/>
    <cellStyle name="Comma 25" xfId="5992"/>
    <cellStyle name="Comma 25 2" xfId="11415"/>
    <cellStyle name="Comma 26" xfId="6017"/>
    <cellStyle name="Comma 26 2" xfId="11462"/>
    <cellStyle name="Comma 27" xfId="5974"/>
    <cellStyle name="Comma 27 2" xfId="11412"/>
    <cellStyle name="Comma 28" xfId="5983"/>
    <cellStyle name="Comma 28 2" xfId="11413"/>
    <cellStyle name="Comma 29" xfId="6021"/>
    <cellStyle name="Comma 29 2" xfId="11466"/>
    <cellStyle name="Comma 3" xfId="59"/>
    <cellStyle name="Comma 3 10" xfId="632"/>
    <cellStyle name="Comma 3 10 10" xfId="4939"/>
    <cellStyle name="Comma 3 10 10 2" xfId="10412"/>
    <cellStyle name="Comma 3 10 11" xfId="5439"/>
    <cellStyle name="Comma 3 10 11 2" xfId="10914"/>
    <cellStyle name="Comma 3 10 12" xfId="2481"/>
    <cellStyle name="Comma 3 10 13" xfId="6377"/>
    <cellStyle name="Comma 3 10 14" xfId="7904"/>
    <cellStyle name="Comma 3 10 15" xfId="11514"/>
    <cellStyle name="Comma 3 10 16" xfId="13260"/>
    <cellStyle name="Comma 3 10 2" xfId="662"/>
    <cellStyle name="Comma 3 10 2 10" xfId="2501"/>
    <cellStyle name="Comma 3 10 2 11" xfId="6402"/>
    <cellStyle name="Comma 3 10 2 12" xfId="7926"/>
    <cellStyle name="Comma 3 10 2 13" xfId="11536"/>
    <cellStyle name="Comma 3 10 2 14" xfId="13282"/>
    <cellStyle name="Comma 3 10 2 2" xfId="691"/>
    <cellStyle name="Comma 3 10 2 2 10" xfId="6431"/>
    <cellStyle name="Comma 3 10 2 2 11" xfId="7955"/>
    <cellStyle name="Comma 3 10 2 2 12" xfId="11565"/>
    <cellStyle name="Comma 3 10 2 2 13" xfId="13311"/>
    <cellStyle name="Comma 3 10 2 2 2" xfId="815"/>
    <cellStyle name="Comma 3 10 2 2 2 10" xfId="8079"/>
    <cellStyle name="Comma 3 10 2 2 2 11" xfId="11689"/>
    <cellStyle name="Comma 3 10 2 2 2 12" xfId="13435"/>
    <cellStyle name="Comma 3 10 2 2 2 2" xfId="1063"/>
    <cellStyle name="Comma 3 10 2 2 2 2 10" xfId="11937"/>
    <cellStyle name="Comma 3 10 2 2 2 2 11" xfId="13683"/>
    <cellStyle name="Comma 3 10 2 2 2 2 2" xfId="1569"/>
    <cellStyle name="Comma 3 10 2 2 2 2 2 2" xfId="4384"/>
    <cellStyle name="Comma 3 10 2 2 2 2 2 2 2" xfId="9831"/>
    <cellStyle name="Comma 3 10 2 2 2 2 2 3" xfId="3374"/>
    <cellStyle name="Comma 3 10 2 2 2 2 2 4" xfId="7309"/>
    <cellStyle name="Comma 3 10 2 2 2 2 2 5" xfId="8823"/>
    <cellStyle name="Comma 3 10 2 2 2 2 2 6" xfId="12443"/>
    <cellStyle name="Comma 3 10 2 2 2 2 2 7" xfId="14189"/>
    <cellStyle name="Comma 3 10 2 2 2 2 3" xfId="2077"/>
    <cellStyle name="Comma 3 10 2 2 2 2 3 2" xfId="3890"/>
    <cellStyle name="Comma 3 10 2 2 2 2 3 3" xfId="7817"/>
    <cellStyle name="Comma 3 10 2 2 2 2 3 4" xfId="9335"/>
    <cellStyle name="Comma 3 10 2 2 2 2 3 5" xfId="12949"/>
    <cellStyle name="Comma 3 10 2 2 2 2 3 6" xfId="14695"/>
    <cellStyle name="Comma 3 10 2 2 2 2 4" xfId="4862"/>
    <cellStyle name="Comma 3 10 2 2 2 2 4 2" xfId="10333"/>
    <cellStyle name="Comma 3 10 2 2 2 2 5" xfId="5360"/>
    <cellStyle name="Comma 3 10 2 2 2 2 5 2" xfId="10835"/>
    <cellStyle name="Comma 3 10 2 2 2 2 6" xfId="5862"/>
    <cellStyle name="Comma 3 10 2 2 2 2 6 2" xfId="11337"/>
    <cellStyle name="Comma 3 10 2 2 2 2 7" xfId="2880"/>
    <cellStyle name="Comma 3 10 2 2 2 2 8" xfId="6803"/>
    <cellStyle name="Comma 3 10 2 2 2 2 9" xfId="8327"/>
    <cellStyle name="Comma 3 10 2 2 2 3" xfId="1321"/>
    <cellStyle name="Comma 3 10 2 2 2 3 2" xfId="4136"/>
    <cellStyle name="Comma 3 10 2 2 2 3 2 2" xfId="9583"/>
    <cellStyle name="Comma 3 10 2 2 2 3 3" xfId="3126"/>
    <cellStyle name="Comma 3 10 2 2 2 3 4" xfId="7061"/>
    <cellStyle name="Comma 3 10 2 2 2 3 5" xfId="8575"/>
    <cellStyle name="Comma 3 10 2 2 2 3 6" xfId="12195"/>
    <cellStyle name="Comma 3 10 2 2 2 3 7" xfId="13941"/>
    <cellStyle name="Comma 3 10 2 2 2 4" xfId="1829"/>
    <cellStyle name="Comma 3 10 2 2 2 4 2" xfId="3642"/>
    <cellStyle name="Comma 3 10 2 2 2 4 3" xfId="7569"/>
    <cellStyle name="Comma 3 10 2 2 2 4 4" xfId="9087"/>
    <cellStyle name="Comma 3 10 2 2 2 4 5" xfId="12701"/>
    <cellStyle name="Comma 3 10 2 2 2 4 6" xfId="14447"/>
    <cellStyle name="Comma 3 10 2 2 2 5" xfId="4624"/>
    <cellStyle name="Comma 3 10 2 2 2 5 2" xfId="10085"/>
    <cellStyle name="Comma 3 10 2 2 2 6" xfId="5112"/>
    <cellStyle name="Comma 3 10 2 2 2 6 2" xfId="10587"/>
    <cellStyle name="Comma 3 10 2 2 2 7" xfId="5614"/>
    <cellStyle name="Comma 3 10 2 2 2 7 2" xfId="11089"/>
    <cellStyle name="Comma 3 10 2 2 2 8" xfId="2640"/>
    <cellStyle name="Comma 3 10 2 2 2 9" xfId="6555"/>
    <cellStyle name="Comma 3 10 2 2 3" xfId="939"/>
    <cellStyle name="Comma 3 10 2 2 3 10" xfId="11813"/>
    <cellStyle name="Comma 3 10 2 2 3 11" xfId="13559"/>
    <cellStyle name="Comma 3 10 2 2 3 2" xfId="1445"/>
    <cellStyle name="Comma 3 10 2 2 3 2 2" xfId="4260"/>
    <cellStyle name="Comma 3 10 2 2 3 2 2 2" xfId="9707"/>
    <cellStyle name="Comma 3 10 2 2 3 2 3" xfId="3250"/>
    <cellStyle name="Comma 3 10 2 2 3 2 4" xfId="7185"/>
    <cellStyle name="Comma 3 10 2 2 3 2 5" xfId="8699"/>
    <cellStyle name="Comma 3 10 2 2 3 2 6" xfId="12319"/>
    <cellStyle name="Comma 3 10 2 2 3 2 7" xfId="14065"/>
    <cellStyle name="Comma 3 10 2 2 3 3" xfId="1953"/>
    <cellStyle name="Comma 3 10 2 2 3 3 2" xfId="3766"/>
    <cellStyle name="Comma 3 10 2 2 3 3 3" xfId="7693"/>
    <cellStyle name="Comma 3 10 2 2 3 3 4" xfId="9211"/>
    <cellStyle name="Comma 3 10 2 2 3 3 5" xfId="12825"/>
    <cellStyle name="Comma 3 10 2 2 3 3 6" xfId="14571"/>
    <cellStyle name="Comma 3 10 2 2 3 4" xfId="4740"/>
    <cellStyle name="Comma 3 10 2 2 3 4 2" xfId="10209"/>
    <cellStyle name="Comma 3 10 2 2 3 5" xfId="5236"/>
    <cellStyle name="Comma 3 10 2 2 3 5 2" xfId="10711"/>
    <cellStyle name="Comma 3 10 2 2 3 6" xfId="5738"/>
    <cellStyle name="Comma 3 10 2 2 3 6 2" xfId="11213"/>
    <cellStyle name="Comma 3 10 2 2 3 7" xfId="2758"/>
    <cellStyle name="Comma 3 10 2 2 3 8" xfId="6679"/>
    <cellStyle name="Comma 3 10 2 2 3 9" xfId="8203"/>
    <cellStyle name="Comma 3 10 2 2 4" xfId="1197"/>
    <cellStyle name="Comma 3 10 2 2 4 2" xfId="4014"/>
    <cellStyle name="Comma 3 10 2 2 4 2 2" xfId="9459"/>
    <cellStyle name="Comma 3 10 2 2 4 3" xfId="3004"/>
    <cellStyle name="Comma 3 10 2 2 4 4" xfId="6937"/>
    <cellStyle name="Comma 3 10 2 2 4 5" xfId="8451"/>
    <cellStyle name="Comma 3 10 2 2 4 6" xfId="12071"/>
    <cellStyle name="Comma 3 10 2 2 4 7" xfId="13817"/>
    <cellStyle name="Comma 3 10 2 2 5" xfId="1705"/>
    <cellStyle name="Comma 3 10 2 2 5 2" xfId="3518"/>
    <cellStyle name="Comma 3 10 2 2 5 3" xfId="7445"/>
    <cellStyle name="Comma 3 10 2 2 5 4" xfId="8963"/>
    <cellStyle name="Comma 3 10 2 2 5 5" xfId="12577"/>
    <cellStyle name="Comma 3 10 2 2 5 6" xfId="14323"/>
    <cellStyle name="Comma 3 10 2 2 6" xfId="4512"/>
    <cellStyle name="Comma 3 10 2 2 6 2" xfId="9961"/>
    <cellStyle name="Comma 3 10 2 2 7" xfId="4988"/>
    <cellStyle name="Comma 3 10 2 2 7 2" xfId="10463"/>
    <cellStyle name="Comma 3 10 2 2 8" xfId="5490"/>
    <cellStyle name="Comma 3 10 2 2 8 2" xfId="10965"/>
    <cellStyle name="Comma 3 10 2 2 9" xfId="2528"/>
    <cellStyle name="Comma 3 10 2 3" xfId="786"/>
    <cellStyle name="Comma 3 10 2 3 10" xfId="8050"/>
    <cellStyle name="Comma 3 10 2 3 11" xfId="11660"/>
    <cellStyle name="Comma 3 10 2 3 12" xfId="13406"/>
    <cellStyle name="Comma 3 10 2 3 2" xfId="1034"/>
    <cellStyle name="Comma 3 10 2 3 2 10" xfId="11908"/>
    <cellStyle name="Comma 3 10 2 3 2 11" xfId="13654"/>
    <cellStyle name="Comma 3 10 2 3 2 2" xfId="1540"/>
    <cellStyle name="Comma 3 10 2 3 2 2 2" xfId="4355"/>
    <cellStyle name="Comma 3 10 2 3 2 2 2 2" xfId="9802"/>
    <cellStyle name="Comma 3 10 2 3 2 2 3" xfId="3345"/>
    <cellStyle name="Comma 3 10 2 3 2 2 4" xfId="7280"/>
    <cellStyle name="Comma 3 10 2 3 2 2 5" xfId="8794"/>
    <cellStyle name="Comma 3 10 2 3 2 2 6" xfId="12414"/>
    <cellStyle name="Comma 3 10 2 3 2 2 7" xfId="14160"/>
    <cellStyle name="Comma 3 10 2 3 2 3" xfId="2048"/>
    <cellStyle name="Comma 3 10 2 3 2 3 2" xfId="3861"/>
    <cellStyle name="Comma 3 10 2 3 2 3 3" xfId="7788"/>
    <cellStyle name="Comma 3 10 2 3 2 3 4" xfId="9306"/>
    <cellStyle name="Comma 3 10 2 3 2 3 5" xfId="12920"/>
    <cellStyle name="Comma 3 10 2 3 2 3 6" xfId="14666"/>
    <cellStyle name="Comma 3 10 2 3 2 4" xfId="4833"/>
    <cellStyle name="Comma 3 10 2 3 2 4 2" xfId="10304"/>
    <cellStyle name="Comma 3 10 2 3 2 5" xfId="5331"/>
    <cellStyle name="Comma 3 10 2 3 2 5 2" xfId="10806"/>
    <cellStyle name="Comma 3 10 2 3 2 6" xfId="5833"/>
    <cellStyle name="Comma 3 10 2 3 2 6 2" xfId="11308"/>
    <cellStyle name="Comma 3 10 2 3 2 7" xfId="2851"/>
    <cellStyle name="Comma 3 10 2 3 2 8" xfId="6774"/>
    <cellStyle name="Comma 3 10 2 3 2 9" xfId="8298"/>
    <cellStyle name="Comma 3 10 2 3 3" xfId="1292"/>
    <cellStyle name="Comma 3 10 2 3 3 2" xfId="4107"/>
    <cellStyle name="Comma 3 10 2 3 3 2 2" xfId="9554"/>
    <cellStyle name="Comma 3 10 2 3 3 3" xfId="3097"/>
    <cellStyle name="Comma 3 10 2 3 3 4" xfId="7032"/>
    <cellStyle name="Comma 3 10 2 3 3 5" xfId="8546"/>
    <cellStyle name="Comma 3 10 2 3 3 6" xfId="12166"/>
    <cellStyle name="Comma 3 10 2 3 3 7" xfId="13912"/>
    <cellStyle name="Comma 3 10 2 3 4" xfId="1800"/>
    <cellStyle name="Comma 3 10 2 3 4 2" xfId="3613"/>
    <cellStyle name="Comma 3 10 2 3 4 3" xfId="7540"/>
    <cellStyle name="Comma 3 10 2 3 4 4" xfId="9058"/>
    <cellStyle name="Comma 3 10 2 3 4 5" xfId="12672"/>
    <cellStyle name="Comma 3 10 2 3 4 6" xfId="14418"/>
    <cellStyle name="Comma 3 10 2 3 5" xfId="4597"/>
    <cellStyle name="Comma 3 10 2 3 5 2" xfId="10056"/>
    <cellStyle name="Comma 3 10 2 3 6" xfId="5083"/>
    <cellStyle name="Comma 3 10 2 3 6 2" xfId="10558"/>
    <cellStyle name="Comma 3 10 2 3 7" xfId="5585"/>
    <cellStyle name="Comma 3 10 2 3 7 2" xfId="11060"/>
    <cellStyle name="Comma 3 10 2 3 8" xfId="2613"/>
    <cellStyle name="Comma 3 10 2 3 9" xfId="6526"/>
    <cellStyle name="Comma 3 10 2 4" xfId="910"/>
    <cellStyle name="Comma 3 10 2 4 10" xfId="11784"/>
    <cellStyle name="Comma 3 10 2 4 11" xfId="13530"/>
    <cellStyle name="Comma 3 10 2 4 2" xfId="1416"/>
    <cellStyle name="Comma 3 10 2 4 2 2" xfId="4231"/>
    <cellStyle name="Comma 3 10 2 4 2 2 2" xfId="9678"/>
    <cellStyle name="Comma 3 10 2 4 2 3" xfId="3221"/>
    <cellStyle name="Comma 3 10 2 4 2 4" xfId="7156"/>
    <cellStyle name="Comma 3 10 2 4 2 5" xfId="8670"/>
    <cellStyle name="Comma 3 10 2 4 2 6" xfId="12290"/>
    <cellStyle name="Comma 3 10 2 4 2 7" xfId="14036"/>
    <cellStyle name="Comma 3 10 2 4 3" xfId="1924"/>
    <cellStyle name="Comma 3 10 2 4 3 2" xfId="3737"/>
    <cellStyle name="Comma 3 10 2 4 3 3" xfId="7664"/>
    <cellStyle name="Comma 3 10 2 4 3 4" xfId="9182"/>
    <cellStyle name="Comma 3 10 2 4 3 5" xfId="12796"/>
    <cellStyle name="Comma 3 10 2 4 3 6" xfId="14542"/>
    <cellStyle name="Comma 3 10 2 4 4" xfId="4713"/>
    <cellStyle name="Comma 3 10 2 4 4 2" xfId="10180"/>
    <cellStyle name="Comma 3 10 2 4 5" xfId="5207"/>
    <cellStyle name="Comma 3 10 2 4 5 2" xfId="10682"/>
    <cellStyle name="Comma 3 10 2 4 6" xfId="5709"/>
    <cellStyle name="Comma 3 10 2 4 6 2" xfId="11184"/>
    <cellStyle name="Comma 3 10 2 4 7" xfId="2731"/>
    <cellStyle name="Comma 3 10 2 4 8" xfId="6650"/>
    <cellStyle name="Comma 3 10 2 4 9" xfId="8174"/>
    <cellStyle name="Comma 3 10 2 5" xfId="1168"/>
    <cellStyle name="Comma 3 10 2 5 2" xfId="3985"/>
    <cellStyle name="Comma 3 10 2 5 2 2" xfId="9430"/>
    <cellStyle name="Comma 3 10 2 5 3" xfId="2975"/>
    <cellStyle name="Comma 3 10 2 5 4" xfId="6908"/>
    <cellStyle name="Comma 3 10 2 5 5" xfId="8422"/>
    <cellStyle name="Comma 3 10 2 5 6" xfId="12042"/>
    <cellStyle name="Comma 3 10 2 5 7" xfId="13788"/>
    <cellStyle name="Comma 3 10 2 6" xfId="1676"/>
    <cellStyle name="Comma 3 10 2 6 2" xfId="3489"/>
    <cellStyle name="Comma 3 10 2 6 3" xfId="7416"/>
    <cellStyle name="Comma 3 10 2 6 4" xfId="8934"/>
    <cellStyle name="Comma 3 10 2 6 5" xfId="12548"/>
    <cellStyle name="Comma 3 10 2 6 6" xfId="14294"/>
    <cellStyle name="Comma 3 10 2 7" xfId="4485"/>
    <cellStyle name="Comma 3 10 2 7 2" xfId="9932"/>
    <cellStyle name="Comma 3 10 2 8" xfId="4959"/>
    <cellStyle name="Comma 3 10 2 8 2" xfId="10434"/>
    <cellStyle name="Comma 3 10 2 9" xfId="5461"/>
    <cellStyle name="Comma 3 10 2 9 2" xfId="10936"/>
    <cellStyle name="Comma 3 10 3" xfId="682"/>
    <cellStyle name="Comma 3 10 3 10" xfId="2519"/>
    <cellStyle name="Comma 3 10 3 11" xfId="6422"/>
    <cellStyle name="Comma 3 10 3 12" xfId="7946"/>
    <cellStyle name="Comma 3 10 3 13" xfId="11556"/>
    <cellStyle name="Comma 3 10 3 14" xfId="13302"/>
    <cellStyle name="Comma 3 10 3 2" xfId="692"/>
    <cellStyle name="Comma 3 10 3 2 10" xfId="6432"/>
    <cellStyle name="Comma 3 10 3 2 11" xfId="7956"/>
    <cellStyle name="Comma 3 10 3 2 12" xfId="11566"/>
    <cellStyle name="Comma 3 10 3 2 13" xfId="13312"/>
    <cellStyle name="Comma 3 10 3 2 2" xfId="816"/>
    <cellStyle name="Comma 3 10 3 2 2 10" xfId="8080"/>
    <cellStyle name="Comma 3 10 3 2 2 11" xfId="11690"/>
    <cellStyle name="Comma 3 10 3 2 2 12" xfId="13436"/>
    <cellStyle name="Comma 3 10 3 2 2 2" xfId="1064"/>
    <cellStyle name="Comma 3 10 3 2 2 2 10" xfId="11938"/>
    <cellStyle name="Comma 3 10 3 2 2 2 11" xfId="13684"/>
    <cellStyle name="Comma 3 10 3 2 2 2 2" xfId="1570"/>
    <cellStyle name="Comma 3 10 3 2 2 2 2 2" xfId="4385"/>
    <cellStyle name="Comma 3 10 3 2 2 2 2 2 2" xfId="9832"/>
    <cellStyle name="Comma 3 10 3 2 2 2 2 3" xfId="3375"/>
    <cellStyle name="Comma 3 10 3 2 2 2 2 4" xfId="7310"/>
    <cellStyle name="Comma 3 10 3 2 2 2 2 5" xfId="8824"/>
    <cellStyle name="Comma 3 10 3 2 2 2 2 6" xfId="12444"/>
    <cellStyle name="Comma 3 10 3 2 2 2 2 7" xfId="14190"/>
    <cellStyle name="Comma 3 10 3 2 2 2 3" xfId="2078"/>
    <cellStyle name="Comma 3 10 3 2 2 2 3 2" xfId="3891"/>
    <cellStyle name="Comma 3 10 3 2 2 2 3 3" xfId="7818"/>
    <cellStyle name="Comma 3 10 3 2 2 2 3 4" xfId="9336"/>
    <cellStyle name="Comma 3 10 3 2 2 2 3 5" xfId="12950"/>
    <cellStyle name="Comma 3 10 3 2 2 2 3 6" xfId="14696"/>
    <cellStyle name="Comma 3 10 3 2 2 2 4" xfId="4863"/>
    <cellStyle name="Comma 3 10 3 2 2 2 4 2" xfId="10334"/>
    <cellStyle name="Comma 3 10 3 2 2 2 5" xfId="5361"/>
    <cellStyle name="Comma 3 10 3 2 2 2 5 2" xfId="10836"/>
    <cellStyle name="Comma 3 10 3 2 2 2 6" xfId="5863"/>
    <cellStyle name="Comma 3 10 3 2 2 2 6 2" xfId="11338"/>
    <cellStyle name="Comma 3 10 3 2 2 2 7" xfId="2881"/>
    <cellStyle name="Comma 3 10 3 2 2 2 8" xfId="6804"/>
    <cellStyle name="Comma 3 10 3 2 2 2 9" xfId="8328"/>
    <cellStyle name="Comma 3 10 3 2 2 3" xfId="1322"/>
    <cellStyle name="Comma 3 10 3 2 2 3 2" xfId="4137"/>
    <cellStyle name="Comma 3 10 3 2 2 3 2 2" xfId="9584"/>
    <cellStyle name="Comma 3 10 3 2 2 3 3" xfId="3127"/>
    <cellStyle name="Comma 3 10 3 2 2 3 4" xfId="7062"/>
    <cellStyle name="Comma 3 10 3 2 2 3 5" xfId="8576"/>
    <cellStyle name="Comma 3 10 3 2 2 3 6" xfId="12196"/>
    <cellStyle name="Comma 3 10 3 2 2 3 7" xfId="13942"/>
    <cellStyle name="Comma 3 10 3 2 2 4" xfId="1830"/>
    <cellStyle name="Comma 3 10 3 2 2 4 2" xfId="3643"/>
    <cellStyle name="Comma 3 10 3 2 2 4 3" xfId="7570"/>
    <cellStyle name="Comma 3 10 3 2 2 4 4" xfId="9088"/>
    <cellStyle name="Comma 3 10 3 2 2 4 5" xfId="12702"/>
    <cellStyle name="Comma 3 10 3 2 2 4 6" xfId="14448"/>
    <cellStyle name="Comma 3 10 3 2 2 5" xfId="4625"/>
    <cellStyle name="Comma 3 10 3 2 2 5 2" xfId="10086"/>
    <cellStyle name="Comma 3 10 3 2 2 6" xfId="5113"/>
    <cellStyle name="Comma 3 10 3 2 2 6 2" xfId="10588"/>
    <cellStyle name="Comma 3 10 3 2 2 7" xfId="5615"/>
    <cellStyle name="Comma 3 10 3 2 2 7 2" xfId="11090"/>
    <cellStyle name="Comma 3 10 3 2 2 8" xfId="2641"/>
    <cellStyle name="Comma 3 10 3 2 2 9" xfId="6556"/>
    <cellStyle name="Comma 3 10 3 2 3" xfId="940"/>
    <cellStyle name="Comma 3 10 3 2 3 10" xfId="11814"/>
    <cellStyle name="Comma 3 10 3 2 3 11" xfId="13560"/>
    <cellStyle name="Comma 3 10 3 2 3 2" xfId="1446"/>
    <cellStyle name="Comma 3 10 3 2 3 2 2" xfId="4261"/>
    <cellStyle name="Comma 3 10 3 2 3 2 2 2" xfId="9708"/>
    <cellStyle name="Comma 3 10 3 2 3 2 3" xfId="3251"/>
    <cellStyle name="Comma 3 10 3 2 3 2 4" xfId="7186"/>
    <cellStyle name="Comma 3 10 3 2 3 2 5" xfId="8700"/>
    <cellStyle name="Comma 3 10 3 2 3 2 6" xfId="12320"/>
    <cellStyle name="Comma 3 10 3 2 3 2 7" xfId="14066"/>
    <cellStyle name="Comma 3 10 3 2 3 3" xfId="1954"/>
    <cellStyle name="Comma 3 10 3 2 3 3 2" xfId="3767"/>
    <cellStyle name="Comma 3 10 3 2 3 3 3" xfId="7694"/>
    <cellStyle name="Comma 3 10 3 2 3 3 4" xfId="9212"/>
    <cellStyle name="Comma 3 10 3 2 3 3 5" xfId="12826"/>
    <cellStyle name="Comma 3 10 3 2 3 3 6" xfId="14572"/>
    <cellStyle name="Comma 3 10 3 2 3 4" xfId="4741"/>
    <cellStyle name="Comma 3 10 3 2 3 4 2" xfId="10210"/>
    <cellStyle name="Comma 3 10 3 2 3 5" xfId="5237"/>
    <cellStyle name="Comma 3 10 3 2 3 5 2" xfId="10712"/>
    <cellStyle name="Comma 3 10 3 2 3 6" xfId="5739"/>
    <cellStyle name="Comma 3 10 3 2 3 6 2" xfId="11214"/>
    <cellStyle name="Comma 3 10 3 2 3 7" xfId="2759"/>
    <cellStyle name="Comma 3 10 3 2 3 8" xfId="6680"/>
    <cellStyle name="Comma 3 10 3 2 3 9" xfId="8204"/>
    <cellStyle name="Comma 3 10 3 2 4" xfId="1198"/>
    <cellStyle name="Comma 3 10 3 2 4 2" xfId="4015"/>
    <cellStyle name="Comma 3 10 3 2 4 2 2" xfId="9460"/>
    <cellStyle name="Comma 3 10 3 2 4 3" xfId="3005"/>
    <cellStyle name="Comma 3 10 3 2 4 4" xfId="6938"/>
    <cellStyle name="Comma 3 10 3 2 4 5" xfId="8452"/>
    <cellStyle name="Comma 3 10 3 2 4 6" xfId="12072"/>
    <cellStyle name="Comma 3 10 3 2 4 7" xfId="13818"/>
    <cellStyle name="Comma 3 10 3 2 5" xfId="1706"/>
    <cellStyle name="Comma 3 10 3 2 5 2" xfId="3519"/>
    <cellStyle name="Comma 3 10 3 2 5 3" xfId="7446"/>
    <cellStyle name="Comma 3 10 3 2 5 4" xfId="8964"/>
    <cellStyle name="Comma 3 10 3 2 5 5" xfId="12578"/>
    <cellStyle name="Comma 3 10 3 2 5 6" xfId="14324"/>
    <cellStyle name="Comma 3 10 3 2 6" xfId="4513"/>
    <cellStyle name="Comma 3 10 3 2 6 2" xfId="9962"/>
    <cellStyle name="Comma 3 10 3 2 7" xfId="4989"/>
    <cellStyle name="Comma 3 10 3 2 7 2" xfId="10464"/>
    <cellStyle name="Comma 3 10 3 2 8" xfId="5491"/>
    <cellStyle name="Comma 3 10 3 2 8 2" xfId="10966"/>
    <cellStyle name="Comma 3 10 3 2 9" xfId="2529"/>
    <cellStyle name="Comma 3 10 3 3" xfId="806"/>
    <cellStyle name="Comma 3 10 3 3 10" xfId="8070"/>
    <cellStyle name="Comma 3 10 3 3 11" xfId="11680"/>
    <cellStyle name="Comma 3 10 3 3 12" xfId="13426"/>
    <cellStyle name="Comma 3 10 3 3 2" xfId="1054"/>
    <cellStyle name="Comma 3 10 3 3 2 10" xfId="11928"/>
    <cellStyle name="Comma 3 10 3 3 2 11" xfId="13674"/>
    <cellStyle name="Comma 3 10 3 3 2 2" xfId="1560"/>
    <cellStyle name="Comma 3 10 3 3 2 2 2" xfId="4375"/>
    <cellStyle name="Comma 3 10 3 3 2 2 2 2" xfId="9822"/>
    <cellStyle name="Comma 3 10 3 3 2 2 3" xfId="3365"/>
    <cellStyle name="Comma 3 10 3 3 2 2 4" xfId="7300"/>
    <cellStyle name="Comma 3 10 3 3 2 2 5" xfId="8814"/>
    <cellStyle name="Comma 3 10 3 3 2 2 6" xfId="12434"/>
    <cellStyle name="Comma 3 10 3 3 2 2 7" xfId="14180"/>
    <cellStyle name="Comma 3 10 3 3 2 3" xfId="2068"/>
    <cellStyle name="Comma 3 10 3 3 2 3 2" xfId="3881"/>
    <cellStyle name="Comma 3 10 3 3 2 3 3" xfId="7808"/>
    <cellStyle name="Comma 3 10 3 3 2 3 4" xfId="9326"/>
    <cellStyle name="Comma 3 10 3 3 2 3 5" xfId="12940"/>
    <cellStyle name="Comma 3 10 3 3 2 3 6" xfId="14686"/>
    <cellStyle name="Comma 3 10 3 3 2 4" xfId="4853"/>
    <cellStyle name="Comma 3 10 3 3 2 4 2" xfId="10324"/>
    <cellStyle name="Comma 3 10 3 3 2 5" xfId="5351"/>
    <cellStyle name="Comma 3 10 3 3 2 5 2" xfId="10826"/>
    <cellStyle name="Comma 3 10 3 3 2 6" xfId="5853"/>
    <cellStyle name="Comma 3 10 3 3 2 6 2" xfId="11328"/>
    <cellStyle name="Comma 3 10 3 3 2 7" xfId="2871"/>
    <cellStyle name="Comma 3 10 3 3 2 8" xfId="6794"/>
    <cellStyle name="Comma 3 10 3 3 2 9" xfId="8318"/>
    <cellStyle name="Comma 3 10 3 3 3" xfId="1312"/>
    <cellStyle name="Comma 3 10 3 3 3 2" xfId="4127"/>
    <cellStyle name="Comma 3 10 3 3 3 2 2" xfId="9574"/>
    <cellStyle name="Comma 3 10 3 3 3 3" xfId="3117"/>
    <cellStyle name="Comma 3 10 3 3 3 4" xfId="7052"/>
    <cellStyle name="Comma 3 10 3 3 3 5" xfId="8566"/>
    <cellStyle name="Comma 3 10 3 3 3 6" xfId="12186"/>
    <cellStyle name="Comma 3 10 3 3 3 7" xfId="13932"/>
    <cellStyle name="Comma 3 10 3 3 4" xfId="1820"/>
    <cellStyle name="Comma 3 10 3 3 4 2" xfId="3633"/>
    <cellStyle name="Comma 3 10 3 3 4 3" xfId="7560"/>
    <cellStyle name="Comma 3 10 3 3 4 4" xfId="9078"/>
    <cellStyle name="Comma 3 10 3 3 4 5" xfId="12692"/>
    <cellStyle name="Comma 3 10 3 3 4 6" xfId="14438"/>
    <cellStyle name="Comma 3 10 3 3 5" xfId="4615"/>
    <cellStyle name="Comma 3 10 3 3 5 2" xfId="10076"/>
    <cellStyle name="Comma 3 10 3 3 6" xfId="5103"/>
    <cellStyle name="Comma 3 10 3 3 6 2" xfId="10578"/>
    <cellStyle name="Comma 3 10 3 3 7" xfId="5605"/>
    <cellStyle name="Comma 3 10 3 3 7 2" xfId="11080"/>
    <cellStyle name="Comma 3 10 3 3 8" xfId="2631"/>
    <cellStyle name="Comma 3 10 3 3 9" xfId="6546"/>
    <cellStyle name="Comma 3 10 3 4" xfId="930"/>
    <cellStyle name="Comma 3 10 3 4 10" xfId="11804"/>
    <cellStyle name="Comma 3 10 3 4 11" xfId="13550"/>
    <cellStyle name="Comma 3 10 3 4 2" xfId="1436"/>
    <cellStyle name="Comma 3 10 3 4 2 2" xfId="4251"/>
    <cellStyle name="Comma 3 10 3 4 2 2 2" xfId="9698"/>
    <cellStyle name="Comma 3 10 3 4 2 3" xfId="3241"/>
    <cellStyle name="Comma 3 10 3 4 2 4" xfId="7176"/>
    <cellStyle name="Comma 3 10 3 4 2 5" xfId="8690"/>
    <cellStyle name="Comma 3 10 3 4 2 6" xfId="12310"/>
    <cellStyle name="Comma 3 10 3 4 2 7" xfId="14056"/>
    <cellStyle name="Comma 3 10 3 4 3" xfId="1944"/>
    <cellStyle name="Comma 3 10 3 4 3 2" xfId="3757"/>
    <cellStyle name="Comma 3 10 3 4 3 3" xfId="7684"/>
    <cellStyle name="Comma 3 10 3 4 3 4" xfId="9202"/>
    <cellStyle name="Comma 3 10 3 4 3 5" xfId="12816"/>
    <cellStyle name="Comma 3 10 3 4 3 6" xfId="14562"/>
    <cellStyle name="Comma 3 10 3 4 4" xfId="4731"/>
    <cellStyle name="Comma 3 10 3 4 4 2" xfId="10200"/>
    <cellStyle name="Comma 3 10 3 4 5" xfId="5227"/>
    <cellStyle name="Comma 3 10 3 4 5 2" xfId="10702"/>
    <cellStyle name="Comma 3 10 3 4 6" xfId="5729"/>
    <cellStyle name="Comma 3 10 3 4 6 2" xfId="11204"/>
    <cellStyle name="Comma 3 10 3 4 7" xfId="2749"/>
    <cellStyle name="Comma 3 10 3 4 8" xfId="6670"/>
    <cellStyle name="Comma 3 10 3 4 9" xfId="8194"/>
    <cellStyle name="Comma 3 10 3 5" xfId="1188"/>
    <cellStyle name="Comma 3 10 3 5 2" xfId="4005"/>
    <cellStyle name="Comma 3 10 3 5 2 2" xfId="9450"/>
    <cellStyle name="Comma 3 10 3 5 3" xfId="2995"/>
    <cellStyle name="Comma 3 10 3 5 4" xfId="6928"/>
    <cellStyle name="Comma 3 10 3 5 5" xfId="8442"/>
    <cellStyle name="Comma 3 10 3 5 6" xfId="12062"/>
    <cellStyle name="Comma 3 10 3 5 7" xfId="13808"/>
    <cellStyle name="Comma 3 10 3 6" xfId="1696"/>
    <cellStyle name="Comma 3 10 3 6 2" xfId="3509"/>
    <cellStyle name="Comma 3 10 3 6 3" xfId="7436"/>
    <cellStyle name="Comma 3 10 3 6 4" xfId="8954"/>
    <cellStyle name="Comma 3 10 3 6 5" xfId="12568"/>
    <cellStyle name="Comma 3 10 3 6 6" xfId="14314"/>
    <cellStyle name="Comma 3 10 3 7" xfId="4503"/>
    <cellStyle name="Comma 3 10 3 7 2" xfId="9952"/>
    <cellStyle name="Comma 3 10 3 8" xfId="4979"/>
    <cellStyle name="Comma 3 10 3 8 2" xfId="10454"/>
    <cellStyle name="Comma 3 10 3 9" xfId="5481"/>
    <cellStyle name="Comma 3 10 3 9 2" xfId="10956"/>
    <cellStyle name="Comma 3 10 4" xfId="690"/>
    <cellStyle name="Comma 3 10 4 10" xfId="6430"/>
    <cellStyle name="Comma 3 10 4 11" xfId="7954"/>
    <cellStyle name="Comma 3 10 4 12" xfId="11564"/>
    <cellStyle name="Comma 3 10 4 13" xfId="13310"/>
    <cellStyle name="Comma 3 10 4 2" xfId="814"/>
    <cellStyle name="Comma 3 10 4 2 10" xfId="8078"/>
    <cellStyle name="Comma 3 10 4 2 11" xfId="11688"/>
    <cellStyle name="Comma 3 10 4 2 12" xfId="13434"/>
    <cellStyle name="Comma 3 10 4 2 2" xfId="1062"/>
    <cellStyle name="Comma 3 10 4 2 2 10" xfId="11936"/>
    <cellStyle name="Comma 3 10 4 2 2 11" xfId="13682"/>
    <cellStyle name="Comma 3 10 4 2 2 2" xfId="1568"/>
    <cellStyle name="Comma 3 10 4 2 2 2 2" xfId="4383"/>
    <cellStyle name="Comma 3 10 4 2 2 2 2 2" xfId="9830"/>
    <cellStyle name="Comma 3 10 4 2 2 2 3" xfId="3373"/>
    <cellStyle name="Comma 3 10 4 2 2 2 4" xfId="7308"/>
    <cellStyle name="Comma 3 10 4 2 2 2 5" xfId="8822"/>
    <cellStyle name="Comma 3 10 4 2 2 2 6" xfId="12442"/>
    <cellStyle name="Comma 3 10 4 2 2 2 7" xfId="14188"/>
    <cellStyle name="Comma 3 10 4 2 2 3" xfId="2076"/>
    <cellStyle name="Comma 3 10 4 2 2 3 2" xfId="3889"/>
    <cellStyle name="Comma 3 10 4 2 2 3 3" xfId="7816"/>
    <cellStyle name="Comma 3 10 4 2 2 3 4" xfId="9334"/>
    <cellStyle name="Comma 3 10 4 2 2 3 5" xfId="12948"/>
    <cellStyle name="Comma 3 10 4 2 2 3 6" xfId="14694"/>
    <cellStyle name="Comma 3 10 4 2 2 4" xfId="4861"/>
    <cellStyle name="Comma 3 10 4 2 2 4 2" xfId="10332"/>
    <cellStyle name="Comma 3 10 4 2 2 5" xfId="5359"/>
    <cellStyle name="Comma 3 10 4 2 2 5 2" xfId="10834"/>
    <cellStyle name="Comma 3 10 4 2 2 6" xfId="5861"/>
    <cellStyle name="Comma 3 10 4 2 2 6 2" xfId="11336"/>
    <cellStyle name="Comma 3 10 4 2 2 7" xfId="2879"/>
    <cellStyle name="Comma 3 10 4 2 2 8" xfId="6802"/>
    <cellStyle name="Comma 3 10 4 2 2 9" xfId="8326"/>
    <cellStyle name="Comma 3 10 4 2 3" xfId="1320"/>
    <cellStyle name="Comma 3 10 4 2 3 2" xfId="4135"/>
    <cellStyle name="Comma 3 10 4 2 3 2 2" xfId="9582"/>
    <cellStyle name="Comma 3 10 4 2 3 3" xfId="3125"/>
    <cellStyle name="Comma 3 10 4 2 3 4" xfId="7060"/>
    <cellStyle name="Comma 3 10 4 2 3 5" xfId="8574"/>
    <cellStyle name="Comma 3 10 4 2 3 6" xfId="12194"/>
    <cellStyle name="Comma 3 10 4 2 3 7" xfId="13940"/>
    <cellStyle name="Comma 3 10 4 2 4" xfId="1828"/>
    <cellStyle name="Comma 3 10 4 2 4 2" xfId="3641"/>
    <cellStyle name="Comma 3 10 4 2 4 3" xfId="7568"/>
    <cellStyle name="Comma 3 10 4 2 4 4" xfId="9086"/>
    <cellStyle name="Comma 3 10 4 2 4 5" xfId="12700"/>
    <cellStyle name="Comma 3 10 4 2 4 6" xfId="14446"/>
    <cellStyle name="Comma 3 10 4 2 5" xfId="4623"/>
    <cellStyle name="Comma 3 10 4 2 5 2" xfId="10084"/>
    <cellStyle name="Comma 3 10 4 2 6" xfId="5111"/>
    <cellStyle name="Comma 3 10 4 2 6 2" xfId="10586"/>
    <cellStyle name="Comma 3 10 4 2 7" xfId="5613"/>
    <cellStyle name="Comma 3 10 4 2 7 2" xfId="11088"/>
    <cellStyle name="Comma 3 10 4 2 8" xfId="2639"/>
    <cellStyle name="Comma 3 10 4 2 9" xfId="6554"/>
    <cellStyle name="Comma 3 10 4 3" xfId="938"/>
    <cellStyle name="Comma 3 10 4 3 10" xfId="11812"/>
    <cellStyle name="Comma 3 10 4 3 11" xfId="13558"/>
    <cellStyle name="Comma 3 10 4 3 2" xfId="1444"/>
    <cellStyle name="Comma 3 10 4 3 2 2" xfId="4259"/>
    <cellStyle name="Comma 3 10 4 3 2 2 2" xfId="9706"/>
    <cellStyle name="Comma 3 10 4 3 2 3" xfId="3249"/>
    <cellStyle name="Comma 3 10 4 3 2 4" xfId="7184"/>
    <cellStyle name="Comma 3 10 4 3 2 5" xfId="8698"/>
    <cellStyle name="Comma 3 10 4 3 2 6" xfId="12318"/>
    <cellStyle name="Comma 3 10 4 3 2 7" xfId="14064"/>
    <cellStyle name="Comma 3 10 4 3 3" xfId="1952"/>
    <cellStyle name="Comma 3 10 4 3 3 2" xfId="3765"/>
    <cellStyle name="Comma 3 10 4 3 3 3" xfId="7692"/>
    <cellStyle name="Comma 3 10 4 3 3 4" xfId="9210"/>
    <cellStyle name="Comma 3 10 4 3 3 5" xfId="12824"/>
    <cellStyle name="Comma 3 10 4 3 3 6" xfId="14570"/>
    <cellStyle name="Comma 3 10 4 3 4" xfId="4739"/>
    <cellStyle name="Comma 3 10 4 3 4 2" xfId="10208"/>
    <cellStyle name="Comma 3 10 4 3 5" xfId="5235"/>
    <cellStyle name="Comma 3 10 4 3 5 2" xfId="10710"/>
    <cellStyle name="Comma 3 10 4 3 6" xfId="5737"/>
    <cellStyle name="Comma 3 10 4 3 6 2" xfId="11212"/>
    <cellStyle name="Comma 3 10 4 3 7" xfId="2757"/>
    <cellStyle name="Comma 3 10 4 3 8" xfId="6678"/>
    <cellStyle name="Comma 3 10 4 3 9" xfId="8202"/>
    <cellStyle name="Comma 3 10 4 4" xfId="1196"/>
    <cellStyle name="Comma 3 10 4 4 2" xfId="4013"/>
    <cellStyle name="Comma 3 10 4 4 2 2" xfId="9458"/>
    <cellStyle name="Comma 3 10 4 4 3" xfId="3003"/>
    <cellStyle name="Comma 3 10 4 4 4" xfId="6936"/>
    <cellStyle name="Comma 3 10 4 4 5" xfId="8450"/>
    <cellStyle name="Comma 3 10 4 4 6" xfId="12070"/>
    <cellStyle name="Comma 3 10 4 4 7" xfId="13816"/>
    <cellStyle name="Comma 3 10 4 5" xfId="1704"/>
    <cellStyle name="Comma 3 10 4 5 2" xfId="3517"/>
    <cellStyle name="Comma 3 10 4 5 3" xfId="7444"/>
    <cellStyle name="Comma 3 10 4 5 4" xfId="8962"/>
    <cellStyle name="Comma 3 10 4 5 5" xfId="12576"/>
    <cellStyle name="Comma 3 10 4 5 6" xfId="14322"/>
    <cellStyle name="Comma 3 10 4 6" xfId="4511"/>
    <cellStyle name="Comma 3 10 4 6 2" xfId="9960"/>
    <cellStyle name="Comma 3 10 4 7" xfId="4987"/>
    <cellStyle name="Comma 3 10 4 7 2" xfId="10462"/>
    <cellStyle name="Comma 3 10 4 8" xfId="5489"/>
    <cellStyle name="Comma 3 10 4 8 2" xfId="10964"/>
    <cellStyle name="Comma 3 10 4 9" xfId="2527"/>
    <cellStyle name="Comma 3 10 5" xfId="764"/>
    <cellStyle name="Comma 3 10 5 10" xfId="8028"/>
    <cellStyle name="Comma 3 10 5 11" xfId="11638"/>
    <cellStyle name="Comma 3 10 5 12" xfId="13384"/>
    <cellStyle name="Comma 3 10 5 2" xfId="1012"/>
    <cellStyle name="Comma 3 10 5 2 10" xfId="11886"/>
    <cellStyle name="Comma 3 10 5 2 11" xfId="13632"/>
    <cellStyle name="Comma 3 10 5 2 2" xfId="1518"/>
    <cellStyle name="Comma 3 10 5 2 2 2" xfId="4333"/>
    <cellStyle name="Comma 3 10 5 2 2 2 2" xfId="9780"/>
    <cellStyle name="Comma 3 10 5 2 2 3" xfId="3323"/>
    <cellStyle name="Comma 3 10 5 2 2 4" xfId="7258"/>
    <cellStyle name="Comma 3 10 5 2 2 5" xfId="8772"/>
    <cellStyle name="Comma 3 10 5 2 2 6" xfId="12392"/>
    <cellStyle name="Comma 3 10 5 2 2 7" xfId="14138"/>
    <cellStyle name="Comma 3 10 5 2 3" xfId="2026"/>
    <cellStyle name="Comma 3 10 5 2 3 2" xfId="3839"/>
    <cellStyle name="Comma 3 10 5 2 3 3" xfId="7766"/>
    <cellStyle name="Comma 3 10 5 2 3 4" xfId="9284"/>
    <cellStyle name="Comma 3 10 5 2 3 5" xfId="12898"/>
    <cellStyle name="Comma 3 10 5 2 3 6" xfId="14644"/>
    <cellStyle name="Comma 3 10 5 2 4" xfId="4811"/>
    <cellStyle name="Comma 3 10 5 2 4 2" xfId="10282"/>
    <cellStyle name="Comma 3 10 5 2 5" xfId="5309"/>
    <cellStyle name="Comma 3 10 5 2 5 2" xfId="10784"/>
    <cellStyle name="Comma 3 10 5 2 6" xfId="5811"/>
    <cellStyle name="Comma 3 10 5 2 6 2" xfId="11286"/>
    <cellStyle name="Comma 3 10 5 2 7" xfId="2829"/>
    <cellStyle name="Comma 3 10 5 2 8" xfId="6752"/>
    <cellStyle name="Comma 3 10 5 2 9" xfId="8276"/>
    <cellStyle name="Comma 3 10 5 3" xfId="1270"/>
    <cellStyle name="Comma 3 10 5 3 2" xfId="4085"/>
    <cellStyle name="Comma 3 10 5 3 2 2" xfId="9532"/>
    <cellStyle name="Comma 3 10 5 3 3" xfId="3075"/>
    <cellStyle name="Comma 3 10 5 3 4" xfId="7010"/>
    <cellStyle name="Comma 3 10 5 3 5" xfId="8524"/>
    <cellStyle name="Comma 3 10 5 3 6" xfId="12144"/>
    <cellStyle name="Comma 3 10 5 3 7" xfId="13890"/>
    <cellStyle name="Comma 3 10 5 4" xfId="1778"/>
    <cellStyle name="Comma 3 10 5 4 2" xfId="3591"/>
    <cellStyle name="Comma 3 10 5 4 3" xfId="7518"/>
    <cellStyle name="Comma 3 10 5 4 4" xfId="9036"/>
    <cellStyle name="Comma 3 10 5 4 5" xfId="12650"/>
    <cellStyle name="Comma 3 10 5 4 6" xfId="14396"/>
    <cellStyle name="Comma 3 10 5 5" xfId="4577"/>
    <cellStyle name="Comma 3 10 5 5 2" xfId="10034"/>
    <cellStyle name="Comma 3 10 5 6" xfId="5061"/>
    <cellStyle name="Comma 3 10 5 6 2" xfId="10536"/>
    <cellStyle name="Comma 3 10 5 7" xfId="5563"/>
    <cellStyle name="Comma 3 10 5 7 2" xfId="11038"/>
    <cellStyle name="Comma 3 10 5 8" xfId="2593"/>
    <cellStyle name="Comma 3 10 5 9" xfId="6504"/>
    <cellStyle name="Comma 3 10 6" xfId="888"/>
    <cellStyle name="Comma 3 10 6 10" xfId="11762"/>
    <cellStyle name="Comma 3 10 6 11" xfId="13508"/>
    <cellStyle name="Comma 3 10 6 2" xfId="1394"/>
    <cellStyle name="Comma 3 10 6 2 2" xfId="4209"/>
    <cellStyle name="Comma 3 10 6 2 2 2" xfId="9656"/>
    <cellStyle name="Comma 3 10 6 2 3" xfId="3199"/>
    <cellStyle name="Comma 3 10 6 2 4" xfId="7134"/>
    <cellStyle name="Comma 3 10 6 2 5" xfId="8648"/>
    <cellStyle name="Comma 3 10 6 2 6" xfId="12268"/>
    <cellStyle name="Comma 3 10 6 2 7" xfId="14014"/>
    <cellStyle name="Comma 3 10 6 3" xfId="1902"/>
    <cellStyle name="Comma 3 10 6 3 2" xfId="3715"/>
    <cellStyle name="Comma 3 10 6 3 3" xfId="7642"/>
    <cellStyle name="Comma 3 10 6 3 4" xfId="9160"/>
    <cellStyle name="Comma 3 10 6 3 5" xfId="12774"/>
    <cellStyle name="Comma 3 10 6 3 6" xfId="14520"/>
    <cellStyle name="Comma 3 10 6 4" xfId="4693"/>
    <cellStyle name="Comma 3 10 6 4 2" xfId="10158"/>
    <cellStyle name="Comma 3 10 6 5" xfId="5185"/>
    <cellStyle name="Comma 3 10 6 5 2" xfId="10660"/>
    <cellStyle name="Comma 3 10 6 6" xfId="5687"/>
    <cellStyle name="Comma 3 10 6 6 2" xfId="11162"/>
    <cellStyle name="Comma 3 10 6 7" xfId="2711"/>
    <cellStyle name="Comma 3 10 6 8" xfId="6628"/>
    <cellStyle name="Comma 3 10 6 9" xfId="8152"/>
    <cellStyle name="Comma 3 10 7" xfId="1146"/>
    <cellStyle name="Comma 3 10 7 2" xfId="3963"/>
    <cellStyle name="Comma 3 10 7 2 2" xfId="9408"/>
    <cellStyle name="Comma 3 10 7 3" xfId="2953"/>
    <cellStyle name="Comma 3 10 7 4" xfId="6886"/>
    <cellStyle name="Comma 3 10 7 5" xfId="8400"/>
    <cellStyle name="Comma 3 10 7 6" xfId="12020"/>
    <cellStyle name="Comma 3 10 7 7" xfId="13766"/>
    <cellStyle name="Comma 3 10 8" xfId="1654"/>
    <cellStyle name="Comma 3 10 8 2" xfId="3467"/>
    <cellStyle name="Comma 3 10 8 3" xfId="7394"/>
    <cellStyle name="Comma 3 10 8 4" xfId="8912"/>
    <cellStyle name="Comma 3 10 8 5" xfId="12526"/>
    <cellStyle name="Comma 3 10 8 6" xfId="14272"/>
    <cellStyle name="Comma 3 10 9" xfId="4463"/>
    <cellStyle name="Comma 3 10 9 2" xfId="9910"/>
    <cellStyle name="Comma 3 11" xfId="639"/>
    <cellStyle name="Comma 3 12" xfId="634"/>
    <cellStyle name="Comma 3 12 10" xfId="2483"/>
    <cellStyle name="Comma 3 12 11" xfId="6379"/>
    <cellStyle name="Comma 3 12 12" xfId="7906"/>
    <cellStyle name="Comma 3 12 13" xfId="11516"/>
    <cellStyle name="Comma 3 12 14" xfId="13262"/>
    <cellStyle name="Comma 3 12 2" xfId="693"/>
    <cellStyle name="Comma 3 12 2 10" xfId="6433"/>
    <cellStyle name="Comma 3 12 2 11" xfId="7957"/>
    <cellStyle name="Comma 3 12 2 12" xfId="11567"/>
    <cellStyle name="Comma 3 12 2 13" xfId="13313"/>
    <cellStyle name="Comma 3 12 2 2" xfId="817"/>
    <cellStyle name="Comma 3 12 2 2 10" xfId="8081"/>
    <cellStyle name="Comma 3 12 2 2 11" xfId="11691"/>
    <cellStyle name="Comma 3 12 2 2 12" xfId="13437"/>
    <cellStyle name="Comma 3 12 2 2 2" xfId="1065"/>
    <cellStyle name="Comma 3 12 2 2 2 10" xfId="11939"/>
    <cellStyle name="Comma 3 12 2 2 2 11" xfId="13685"/>
    <cellStyle name="Comma 3 12 2 2 2 2" xfId="1571"/>
    <cellStyle name="Comma 3 12 2 2 2 2 2" xfId="4386"/>
    <cellStyle name="Comma 3 12 2 2 2 2 2 2" xfId="9833"/>
    <cellStyle name="Comma 3 12 2 2 2 2 3" xfId="3376"/>
    <cellStyle name="Comma 3 12 2 2 2 2 4" xfId="7311"/>
    <cellStyle name="Comma 3 12 2 2 2 2 5" xfId="8825"/>
    <cellStyle name="Comma 3 12 2 2 2 2 6" xfId="12445"/>
    <cellStyle name="Comma 3 12 2 2 2 2 7" xfId="14191"/>
    <cellStyle name="Comma 3 12 2 2 2 3" xfId="2079"/>
    <cellStyle name="Comma 3 12 2 2 2 3 2" xfId="3892"/>
    <cellStyle name="Comma 3 12 2 2 2 3 3" xfId="7819"/>
    <cellStyle name="Comma 3 12 2 2 2 3 4" xfId="9337"/>
    <cellStyle name="Comma 3 12 2 2 2 3 5" xfId="12951"/>
    <cellStyle name="Comma 3 12 2 2 2 3 6" xfId="14697"/>
    <cellStyle name="Comma 3 12 2 2 2 4" xfId="4864"/>
    <cellStyle name="Comma 3 12 2 2 2 4 2" xfId="10335"/>
    <cellStyle name="Comma 3 12 2 2 2 5" xfId="5362"/>
    <cellStyle name="Comma 3 12 2 2 2 5 2" xfId="10837"/>
    <cellStyle name="Comma 3 12 2 2 2 6" xfId="5864"/>
    <cellStyle name="Comma 3 12 2 2 2 6 2" xfId="11339"/>
    <cellStyle name="Comma 3 12 2 2 2 7" xfId="2882"/>
    <cellStyle name="Comma 3 12 2 2 2 8" xfId="6805"/>
    <cellStyle name="Comma 3 12 2 2 2 9" xfId="8329"/>
    <cellStyle name="Comma 3 12 2 2 3" xfId="1323"/>
    <cellStyle name="Comma 3 12 2 2 3 2" xfId="4138"/>
    <cellStyle name="Comma 3 12 2 2 3 2 2" xfId="9585"/>
    <cellStyle name="Comma 3 12 2 2 3 3" xfId="3128"/>
    <cellStyle name="Comma 3 12 2 2 3 4" xfId="7063"/>
    <cellStyle name="Comma 3 12 2 2 3 5" xfId="8577"/>
    <cellStyle name="Comma 3 12 2 2 3 6" xfId="12197"/>
    <cellStyle name="Comma 3 12 2 2 3 7" xfId="13943"/>
    <cellStyle name="Comma 3 12 2 2 4" xfId="1831"/>
    <cellStyle name="Comma 3 12 2 2 4 2" xfId="3644"/>
    <cellStyle name="Comma 3 12 2 2 4 3" xfId="7571"/>
    <cellStyle name="Comma 3 12 2 2 4 4" xfId="9089"/>
    <cellStyle name="Comma 3 12 2 2 4 5" xfId="12703"/>
    <cellStyle name="Comma 3 12 2 2 4 6" xfId="14449"/>
    <cellStyle name="Comma 3 12 2 2 5" xfId="4626"/>
    <cellStyle name="Comma 3 12 2 2 5 2" xfId="10087"/>
    <cellStyle name="Comma 3 12 2 2 6" xfId="5114"/>
    <cellStyle name="Comma 3 12 2 2 6 2" xfId="10589"/>
    <cellStyle name="Comma 3 12 2 2 7" xfId="5616"/>
    <cellStyle name="Comma 3 12 2 2 7 2" xfId="11091"/>
    <cellStyle name="Comma 3 12 2 2 8" xfId="2642"/>
    <cellStyle name="Comma 3 12 2 2 9" xfId="6557"/>
    <cellStyle name="Comma 3 12 2 3" xfId="941"/>
    <cellStyle name="Comma 3 12 2 3 10" xfId="11815"/>
    <cellStyle name="Comma 3 12 2 3 11" xfId="13561"/>
    <cellStyle name="Comma 3 12 2 3 2" xfId="1447"/>
    <cellStyle name="Comma 3 12 2 3 2 2" xfId="4262"/>
    <cellStyle name="Comma 3 12 2 3 2 2 2" xfId="9709"/>
    <cellStyle name="Comma 3 12 2 3 2 3" xfId="3252"/>
    <cellStyle name="Comma 3 12 2 3 2 4" xfId="7187"/>
    <cellStyle name="Comma 3 12 2 3 2 5" xfId="8701"/>
    <cellStyle name="Comma 3 12 2 3 2 6" xfId="12321"/>
    <cellStyle name="Comma 3 12 2 3 2 7" xfId="14067"/>
    <cellStyle name="Comma 3 12 2 3 3" xfId="1955"/>
    <cellStyle name="Comma 3 12 2 3 3 2" xfId="3768"/>
    <cellStyle name="Comma 3 12 2 3 3 3" xfId="7695"/>
    <cellStyle name="Comma 3 12 2 3 3 4" xfId="9213"/>
    <cellStyle name="Comma 3 12 2 3 3 5" xfId="12827"/>
    <cellStyle name="Comma 3 12 2 3 3 6" xfId="14573"/>
    <cellStyle name="Comma 3 12 2 3 4" xfId="4742"/>
    <cellStyle name="Comma 3 12 2 3 4 2" xfId="10211"/>
    <cellStyle name="Comma 3 12 2 3 5" xfId="5238"/>
    <cellStyle name="Comma 3 12 2 3 5 2" xfId="10713"/>
    <cellStyle name="Comma 3 12 2 3 6" xfId="5740"/>
    <cellStyle name="Comma 3 12 2 3 6 2" xfId="11215"/>
    <cellStyle name="Comma 3 12 2 3 7" xfId="2760"/>
    <cellStyle name="Comma 3 12 2 3 8" xfId="6681"/>
    <cellStyle name="Comma 3 12 2 3 9" xfId="8205"/>
    <cellStyle name="Comma 3 12 2 4" xfId="1199"/>
    <cellStyle name="Comma 3 12 2 4 2" xfId="4016"/>
    <cellStyle name="Comma 3 12 2 4 2 2" xfId="9461"/>
    <cellStyle name="Comma 3 12 2 4 3" xfId="3006"/>
    <cellStyle name="Comma 3 12 2 4 4" xfId="6939"/>
    <cellStyle name="Comma 3 12 2 4 5" xfId="8453"/>
    <cellStyle name="Comma 3 12 2 4 6" xfId="12073"/>
    <cellStyle name="Comma 3 12 2 4 7" xfId="13819"/>
    <cellStyle name="Comma 3 12 2 5" xfId="1707"/>
    <cellStyle name="Comma 3 12 2 5 2" xfId="3520"/>
    <cellStyle name="Comma 3 12 2 5 3" xfId="7447"/>
    <cellStyle name="Comma 3 12 2 5 4" xfId="8965"/>
    <cellStyle name="Comma 3 12 2 5 5" xfId="12579"/>
    <cellStyle name="Comma 3 12 2 5 6" xfId="14325"/>
    <cellStyle name="Comma 3 12 2 6" xfId="4514"/>
    <cellStyle name="Comma 3 12 2 6 2" xfId="9963"/>
    <cellStyle name="Comma 3 12 2 7" xfId="4990"/>
    <cellStyle name="Comma 3 12 2 7 2" xfId="10465"/>
    <cellStyle name="Comma 3 12 2 8" xfId="5492"/>
    <cellStyle name="Comma 3 12 2 8 2" xfId="10967"/>
    <cellStyle name="Comma 3 12 2 9" xfId="2530"/>
    <cellStyle name="Comma 3 12 3" xfId="766"/>
    <cellStyle name="Comma 3 12 3 10" xfId="8030"/>
    <cellStyle name="Comma 3 12 3 11" xfId="11640"/>
    <cellStyle name="Comma 3 12 3 12" xfId="13386"/>
    <cellStyle name="Comma 3 12 3 2" xfId="1014"/>
    <cellStyle name="Comma 3 12 3 2 10" xfId="11888"/>
    <cellStyle name="Comma 3 12 3 2 11" xfId="13634"/>
    <cellStyle name="Comma 3 12 3 2 2" xfId="1520"/>
    <cellStyle name="Comma 3 12 3 2 2 2" xfId="4335"/>
    <cellStyle name="Comma 3 12 3 2 2 2 2" xfId="9782"/>
    <cellStyle name="Comma 3 12 3 2 2 3" xfId="3325"/>
    <cellStyle name="Comma 3 12 3 2 2 4" xfId="7260"/>
    <cellStyle name="Comma 3 12 3 2 2 5" xfId="8774"/>
    <cellStyle name="Comma 3 12 3 2 2 6" xfId="12394"/>
    <cellStyle name="Comma 3 12 3 2 2 7" xfId="14140"/>
    <cellStyle name="Comma 3 12 3 2 3" xfId="2028"/>
    <cellStyle name="Comma 3 12 3 2 3 2" xfId="3841"/>
    <cellStyle name="Comma 3 12 3 2 3 3" xfId="7768"/>
    <cellStyle name="Comma 3 12 3 2 3 4" xfId="9286"/>
    <cellStyle name="Comma 3 12 3 2 3 5" xfId="12900"/>
    <cellStyle name="Comma 3 12 3 2 3 6" xfId="14646"/>
    <cellStyle name="Comma 3 12 3 2 4" xfId="4813"/>
    <cellStyle name="Comma 3 12 3 2 4 2" xfId="10284"/>
    <cellStyle name="Comma 3 12 3 2 5" xfId="5311"/>
    <cellStyle name="Comma 3 12 3 2 5 2" xfId="10786"/>
    <cellStyle name="Comma 3 12 3 2 6" xfId="5813"/>
    <cellStyle name="Comma 3 12 3 2 6 2" xfId="11288"/>
    <cellStyle name="Comma 3 12 3 2 7" xfId="2831"/>
    <cellStyle name="Comma 3 12 3 2 8" xfId="6754"/>
    <cellStyle name="Comma 3 12 3 2 9" xfId="8278"/>
    <cellStyle name="Comma 3 12 3 3" xfId="1272"/>
    <cellStyle name="Comma 3 12 3 3 2" xfId="4087"/>
    <cellStyle name="Comma 3 12 3 3 2 2" xfId="9534"/>
    <cellStyle name="Comma 3 12 3 3 3" xfId="3077"/>
    <cellStyle name="Comma 3 12 3 3 4" xfId="7012"/>
    <cellStyle name="Comma 3 12 3 3 5" xfId="8526"/>
    <cellStyle name="Comma 3 12 3 3 6" xfId="12146"/>
    <cellStyle name="Comma 3 12 3 3 7" xfId="13892"/>
    <cellStyle name="Comma 3 12 3 4" xfId="1780"/>
    <cellStyle name="Comma 3 12 3 4 2" xfId="3593"/>
    <cellStyle name="Comma 3 12 3 4 3" xfId="7520"/>
    <cellStyle name="Comma 3 12 3 4 4" xfId="9038"/>
    <cellStyle name="Comma 3 12 3 4 5" xfId="12652"/>
    <cellStyle name="Comma 3 12 3 4 6" xfId="14398"/>
    <cellStyle name="Comma 3 12 3 5" xfId="4579"/>
    <cellStyle name="Comma 3 12 3 5 2" xfId="10036"/>
    <cellStyle name="Comma 3 12 3 6" xfId="5063"/>
    <cellStyle name="Comma 3 12 3 6 2" xfId="10538"/>
    <cellStyle name="Comma 3 12 3 7" xfId="5565"/>
    <cellStyle name="Comma 3 12 3 7 2" xfId="11040"/>
    <cellStyle name="Comma 3 12 3 8" xfId="2595"/>
    <cellStyle name="Comma 3 12 3 9" xfId="6506"/>
    <cellStyle name="Comma 3 12 4" xfId="890"/>
    <cellStyle name="Comma 3 12 4 10" xfId="11764"/>
    <cellStyle name="Comma 3 12 4 11" xfId="13510"/>
    <cellStyle name="Comma 3 12 4 2" xfId="1396"/>
    <cellStyle name="Comma 3 12 4 2 2" xfId="4211"/>
    <cellStyle name="Comma 3 12 4 2 2 2" xfId="9658"/>
    <cellStyle name="Comma 3 12 4 2 3" xfId="3201"/>
    <cellStyle name="Comma 3 12 4 2 4" xfId="7136"/>
    <cellStyle name="Comma 3 12 4 2 5" xfId="8650"/>
    <cellStyle name="Comma 3 12 4 2 6" xfId="12270"/>
    <cellStyle name="Comma 3 12 4 2 7" xfId="14016"/>
    <cellStyle name="Comma 3 12 4 3" xfId="1904"/>
    <cellStyle name="Comma 3 12 4 3 2" xfId="3717"/>
    <cellStyle name="Comma 3 12 4 3 3" xfId="7644"/>
    <cellStyle name="Comma 3 12 4 3 4" xfId="9162"/>
    <cellStyle name="Comma 3 12 4 3 5" xfId="12776"/>
    <cellStyle name="Comma 3 12 4 3 6" xfId="14522"/>
    <cellStyle name="Comma 3 12 4 4" xfId="4695"/>
    <cellStyle name="Comma 3 12 4 4 2" xfId="10160"/>
    <cellStyle name="Comma 3 12 4 5" xfId="5187"/>
    <cellStyle name="Comma 3 12 4 5 2" xfId="10662"/>
    <cellStyle name="Comma 3 12 4 6" xfId="5689"/>
    <cellStyle name="Comma 3 12 4 6 2" xfId="11164"/>
    <cellStyle name="Comma 3 12 4 7" xfId="2713"/>
    <cellStyle name="Comma 3 12 4 8" xfId="6630"/>
    <cellStyle name="Comma 3 12 4 9" xfId="8154"/>
    <cellStyle name="Comma 3 12 5" xfId="1148"/>
    <cellStyle name="Comma 3 12 5 2" xfId="3965"/>
    <cellStyle name="Comma 3 12 5 2 2" xfId="9410"/>
    <cellStyle name="Comma 3 12 5 3" xfId="2955"/>
    <cellStyle name="Comma 3 12 5 4" xfId="6888"/>
    <cellStyle name="Comma 3 12 5 5" xfId="8402"/>
    <cellStyle name="Comma 3 12 5 6" xfId="12022"/>
    <cellStyle name="Comma 3 12 5 7" xfId="13768"/>
    <cellStyle name="Comma 3 12 6" xfId="1656"/>
    <cellStyle name="Comma 3 12 6 2" xfId="3469"/>
    <cellStyle name="Comma 3 12 6 3" xfId="7396"/>
    <cellStyle name="Comma 3 12 6 4" xfId="8914"/>
    <cellStyle name="Comma 3 12 6 5" xfId="12528"/>
    <cellStyle name="Comma 3 12 6 6" xfId="14274"/>
    <cellStyle name="Comma 3 12 7" xfId="4465"/>
    <cellStyle name="Comma 3 12 7 2" xfId="9912"/>
    <cellStyle name="Comma 3 12 8" xfId="4941"/>
    <cellStyle name="Comma 3 12 8 2" xfId="10414"/>
    <cellStyle name="Comma 3 12 9" xfId="5441"/>
    <cellStyle name="Comma 3 12 9 2" xfId="10916"/>
    <cellStyle name="Comma 3 13" xfId="3429"/>
    <cellStyle name="Comma 3 13 2" xfId="4439"/>
    <cellStyle name="Comma 3 13 2 2" xfId="9886"/>
    <cellStyle name="Comma 3 13 3" xfId="4917"/>
    <cellStyle name="Comma 3 13 3 2" xfId="10388"/>
    <cellStyle name="Comma 3 13 4" xfId="5415"/>
    <cellStyle name="Comma 3 13 4 2" xfId="10890"/>
    <cellStyle name="Comma 3 13 5" xfId="5917"/>
    <cellStyle name="Comma 3 13 5 2" xfId="11392"/>
    <cellStyle name="Comma 3 13 6" xfId="8878"/>
    <cellStyle name="Comma 3 2" xfId="60"/>
    <cellStyle name="Comma 3 2 2" xfId="61"/>
    <cellStyle name="Comma 3 2 2 2" xfId="2273"/>
    <cellStyle name="Comma 3 2 3" xfId="2222"/>
    <cellStyle name="Comma 3 3" xfId="62"/>
    <cellStyle name="Comma 3 3 2" xfId="63"/>
    <cellStyle name="Comma 3 3 2 2" xfId="2274"/>
    <cellStyle name="Comma 3 3 3" xfId="2223"/>
    <cellStyle name="Comma 3 4" xfId="64"/>
    <cellStyle name="Comma 3 4 10" xfId="4929"/>
    <cellStyle name="Comma 3 4 10 2" xfId="10400"/>
    <cellStyle name="Comma 3 4 11" xfId="5427"/>
    <cellStyle name="Comma 3 4 11 2" xfId="10902"/>
    <cellStyle name="Comma 3 4 2" xfId="65"/>
    <cellStyle name="Comma 3 4 2 2" xfId="695"/>
    <cellStyle name="Comma 3 4 2 2 10" xfId="2532"/>
    <cellStyle name="Comma 3 4 2 2 11" xfId="7959"/>
    <cellStyle name="Comma 3 4 2 2 12" xfId="11569"/>
    <cellStyle name="Comma 3 4 2 2 2" xfId="819"/>
    <cellStyle name="Comma 3 4 2 2 2 10" xfId="8083"/>
    <cellStyle name="Comma 3 4 2 2 2 11" xfId="11693"/>
    <cellStyle name="Comma 3 4 2 2 2 12" xfId="13439"/>
    <cellStyle name="Comma 3 4 2 2 2 2" xfId="1067"/>
    <cellStyle name="Comma 3 4 2 2 2 2 10" xfId="11941"/>
    <cellStyle name="Comma 3 4 2 2 2 2 11" xfId="13687"/>
    <cellStyle name="Comma 3 4 2 2 2 2 2" xfId="1573"/>
    <cellStyle name="Comma 3 4 2 2 2 2 2 2" xfId="4388"/>
    <cellStyle name="Comma 3 4 2 2 2 2 2 2 2" xfId="9835"/>
    <cellStyle name="Comma 3 4 2 2 2 2 2 3" xfId="3378"/>
    <cellStyle name="Comma 3 4 2 2 2 2 2 4" xfId="7313"/>
    <cellStyle name="Comma 3 4 2 2 2 2 2 5" xfId="8827"/>
    <cellStyle name="Comma 3 4 2 2 2 2 2 6" xfId="12447"/>
    <cellStyle name="Comma 3 4 2 2 2 2 2 7" xfId="14193"/>
    <cellStyle name="Comma 3 4 2 2 2 2 3" xfId="2081"/>
    <cellStyle name="Comma 3 4 2 2 2 2 3 2" xfId="3894"/>
    <cellStyle name="Comma 3 4 2 2 2 2 3 3" xfId="7821"/>
    <cellStyle name="Comma 3 4 2 2 2 2 3 4" xfId="9339"/>
    <cellStyle name="Comma 3 4 2 2 2 2 3 5" xfId="12953"/>
    <cellStyle name="Comma 3 4 2 2 2 2 3 6" xfId="14699"/>
    <cellStyle name="Comma 3 4 2 2 2 2 4" xfId="4866"/>
    <cellStyle name="Comma 3 4 2 2 2 2 4 2" xfId="10337"/>
    <cellStyle name="Comma 3 4 2 2 2 2 5" xfId="5364"/>
    <cellStyle name="Comma 3 4 2 2 2 2 5 2" xfId="10839"/>
    <cellStyle name="Comma 3 4 2 2 2 2 6" xfId="5866"/>
    <cellStyle name="Comma 3 4 2 2 2 2 6 2" xfId="11341"/>
    <cellStyle name="Comma 3 4 2 2 2 2 7" xfId="2884"/>
    <cellStyle name="Comma 3 4 2 2 2 2 8" xfId="6807"/>
    <cellStyle name="Comma 3 4 2 2 2 2 9" xfId="8331"/>
    <cellStyle name="Comma 3 4 2 2 2 3" xfId="1325"/>
    <cellStyle name="Comma 3 4 2 2 2 3 2" xfId="4140"/>
    <cellStyle name="Comma 3 4 2 2 2 3 2 2" xfId="9587"/>
    <cellStyle name="Comma 3 4 2 2 2 3 3" xfId="3130"/>
    <cellStyle name="Comma 3 4 2 2 2 3 4" xfId="7065"/>
    <cellStyle name="Comma 3 4 2 2 2 3 5" xfId="8579"/>
    <cellStyle name="Comma 3 4 2 2 2 3 6" xfId="12199"/>
    <cellStyle name="Comma 3 4 2 2 2 3 7" xfId="13945"/>
    <cellStyle name="Comma 3 4 2 2 2 4" xfId="1833"/>
    <cellStyle name="Comma 3 4 2 2 2 4 2" xfId="3646"/>
    <cellStyle name="Comma 3 4 2 2 2 4 3" xfId="7573"/>
    <cellStyle name="Comma 3 4 2 2 2 4 4" xfId="9091"/>
    <cellStyle name="Comma 3 4 2 2 2 4 5" xfId="12705"/>
    <cellStyle name="Comma 3 4 2 2 2 4 6" xfId="14451"/>
    <cellStyle name="Comma 3 4 2 2 2 5" xfId="4628"/>
    <cellStyle name="Comma 3 4 2 2 2 5 2" xfId="10089"/>
    <cellStyle name="Comma 3 4 2 2 2 6" xfId="5116"/>
    <cellStyle name="Comma 3 4 2 2 2 6 2" xfId="10591"/>
    <cellStyle name="Comma 3 4 2 2 2 7" xfId="5618"/>
    <cellStyle name="Comma 3 4 2 2 2 7 2" xfId="11093"/>
    <cellStyle name="Comma 3 4 2 2 2 8" xfId="2644"/>
    <cellStyle name="Comma 3 4 2 2 2 9" xfId="6559"/>
    <cellStyle name="Comma 3 4 2 2 3" xfId="943"/>
    <cellStyle name="Comma 3 4 2 2 3 10" xfId="11817"/>
    <cellStyle name="Comma 3 4 2 2 3 11" xfId="13563"/>
    <cellStyle name="Comma 3 4 2 2 3 2" xfId="1449"/>
    <cellStyle name="Comma 3 4 2 2 3 2 2" xfId="4264"/>
    <cellStyle name="Comma 3 4 2 2 3 2 2 2" xfId="9711"/>
    <cellStyle name="Comma 3 4 2 2 3 2 3" xfId="3254"/>
    <cellStyle name="Comma 3 4 2 2 3 2 4" xfId="7189"/>
    <cellStyle name="Comma 3 4 2 2 3 2 5" xfId="8703"/>
    <cellStyle name="Comma 3 4 2 2 3 2 6" xfId="12323"/>
    <cellStyle name="Comma 3 4 2 2 3 2 7" xfId="14069"/>
    <cellStyle name="Comma 3 4 2 2 3 3" xfId="1957"/>
    <cellStyle name="Comma 3 4 2 2 3 3 2" xfId="3770"/>
    <cellStyle name="Comma 3 4 2 2 3 3 3" xfId="7697"/>
    <cellStyle name="Comma 3 4 2 2 3 3 4" xfId="9215"/>
    <cellStyle name="Comma 3 4 2 2 3 3 5" xfId="12829"/>
    <cellStyle name="Comma 3 4 2 2 3 3 6" xfId="14575"/>
    <cellStyle name="Comma 3 4 2 2 3 4" xfId="4744"/>
    <cellStyle name="Comma 3 4 2 2 3 4 2" xfId="10213"/>
    <cellStyle name="Comma 3 4 2 2 3 5" xfId="5240"/>
    <cellStyle name="Comma 3 4 2 2 3 5 2" xfId="10715"/>
    <cellStyle name="Comma 3 4 2 2 3 6" xfId="5742"/>
    <cellStyle name="Comma 3 4 2 2 3 6 2" xfId="11217"/>
    <cellStyle name="Comma 3 4 2 2 3 7" xfId="2762"/>
    <cellStyle name="Comma 3 4 2 2 3 8" xfId="6683"/>
    <cellStyle name="Comma 3 4 2 2 3 9" xfId="8207"/>
    <cellStyle name="Comma 3 4 2 2 4" xfId="1201"/>
    <cellStyle name="Comma 3 4 2 2 4 2" xfId="4018"/>
    <cellStyle name="Comma 3 4 2 2 4 2 2" xfId="9463"/>
    <cellStyle name="Comma 3 4 2 2 4 3" xfId="3008"/>
    <cellStyle name="Comma 3 4 2 2 4 4" xfId="6941"/>
    <cellStyle name="Comma 3 4 2 2 4 5" xfId="8455"/>
    <cellStyle name="Comma 3 4 2 2 4 6" xfId="12075"/>
    <cellStyle name="Comma 3 4 2 2 4 7" xfId="13821"/>
    <cellStyle name="Comma 3 4 2 2 5" xfId="1709"/>
    <cellStyle name="Comma 3 4 2 2 5 2" xfId="3522"/>
    <cellStyle name="Comma 3 4 2 2 5 3" xfId="7449"/>
    <cellStyle name="Comma 3 4 2 2 5 4" xfId="8967"/>
    <cellStyle name="Comma 3 4 2 2 5 5" xfId="12581"/>
    <cellStyle name="Comma 3 4 2 2 5 6" xfId="14327"/>
    <cellStyle name="Comma 3 4 2 2 6" xfId="2275"/>
    <cellStyle name="Comma 3 4 2 2 6 2" xfId="4516"/>
    <cellStyle name="Comma 3 4 2 2 6 3" xfId="6435"/>
    <cellStyle name="Comma 3 4 2 2 6 4" xfId="9965"/>
    <cellStyle name="Comma 3 4 2 2 6 5" xfId="13315"/>
    <cellStyle name="Comma 3 4 2 2 7" xfId="4992"/>
    <cellStyle name="Comma 3 4 2 2 7 2" xfId="10467"/>
    <cellStyle name="Comma 3 4 2 2 8" xfId="5494"/>
    <cellStyle name="Comma 3 4 2 2 8 2" xfId="10969"/>
    <cellStyle name="Comma 3 4 2 2 9" xfId="6009"/>
    <cellStyle name="Comma 3 4 2 3" xfId="774"/>
    <cellStyle name="Comma 3 4 2 3 10" xfId="8038"/>
    <cellStyle name="Comma 3 4 2 3 11" xfId="11648"/>
    <cellStyle name="Comma 3 4 2 3 12" xfId="13394"/>
    <cellStyle name="Comma 3 4 2 3 2" xfId="1022"/>
    <cellStyle name="Comma 3 4 2 3 2 10" xfId="11896"/>
    <cellStyle name="Comma 3 4 2 3 2 11" xfId="13642"/>
    <cellStyle name="Comma 3 4 2 3 2 2" xfId="1528"/>
    <cellStyle name="Comma 3 4 2 3 2 2 2" xfId="4343"/>
    <cellStyle name="Comma 3 4 2 3 2 2 2 2" xfId="9790"/>
    <cellStyle name="Comma 3 4 2 3 2 2 3" xfId="3333"/>
    <cellStyle name="Comma 3 4 2 3 2 2 4" xfId="7268"/>
    <cellStyle name="Comma 3 4 2 3 2 2 5" xfId="8782"/>
    <cellStyle name="Comma 3 4 2 3 2 2 6" xfId="12402"/>
    <cellStyle name="Comma 3 4 2 3 2 2 7" xfId="14148"/>
    <cellStyle name="Comma 3 4 2 3 2 3" xfId="2036"/>
    <cellStyle name="Comma 3 4 2 3 2 3 2" xfId="3849"/>
    <cellStyle name="Comma 3 4 2 3 2 3 3" xfId="7776"/>
    <cellStyle name="Comma 3 4 2 3 2 3 4" xfId="9294"/>
    <cellStyle name="Comma 3 4 2 3 2 3 5" xfId="12908"/>
    <cellStyle name="Comma 3 4 2 3 2 3 6" xfId="14654"/>
    <cellStyle name="Comma 3 4 2 3 2 4" xfId="4821"/>
    <cellStyle name="Comma 3 4 2 3 2 4 2" xfId="10292"/>
    <cellStyle name="Comma 3 4 2 3 2 5" xfId="5319"/>
    <cellStyle name="Comma 3 4 2 3 2 5 2" xfId="10794"/>
    <cellStyle name="Comma 3 4 2 3 2 6" xfId="5821"/>
    <cellStyle name="Comma 3 4 2 3 2 6 2" xfId="11296"/>
    <cellStyle name="Comma 3 4 2 3 2 7" xfId="2839"/>
    <cellStyle name="Comma 3 4 2 3 2 8" xfId="6762"/>
    <cellStyle name="Comma 3 4 2 3 2 9" xfId="8286"/>
    <cellStyle name="Comma 3 4 2 3 3" xfId="1280"/>
    <cellStyle name="Comma 3 4 2 3 3 2" xfId="4095"/>
    <cellStyle name="Comma 3 4 2 3 3 2 2" xfId="9542"/>
    <cellStyle name="Comma 3 4 2 3 3 3" xfId="3085"/>
    <cellStyle name="Comma 3 4 2 3 3 4" xfId="7020"/>
    <cellStyle name="Comma 3 4 2 3 3 5" xfId="8534"/>
    <cellStyle name="Comma 3 4 2 3 3 6" xfId="12154"/>
    <cellStyle name="Comma 3 4 2 3 3 7" xfId="13900"/>
    <cellStyle name="Comma 3 4 2 3 4" xfId="1788"/>
    <cellStyle name="Comma 3 4 2 3 4 2" xfId="3601"/>
    <cellStyle name="Comma 3 4 2 3 4 3" xfId="7528"/>
    <cellStyle name="Comma 3 4 2 3 4 4" xfId="9046"/>
    <cellStyle name="Comma 3 4 2 3 4 5" xfId="12660"/>
    <cellStyle name="Comma 3 4 2 3 4 6" xfId="14406"/>
    <cellStyle name="Comma 3 4 2 3 5" xfId="4587"/>
    <cellStyle name="Comma 3 4 2 3 5 2" xfId="10044"/>
    <cellStyle name="Comma 3 4 2 3 6" xfId="5071"/>
    <cellStyle name="Comma 3 4 2 3 6 2" xfId="10546"/>
    <cellStyle name="Comma 3 4 2 3 7" xfId="5573"/>
    <cellStyle name="Comma 3 4 2 3 7 2" xfId="11048"/>
    <cellStyle name="Comma 3 4 2 3 8" xfId="2603"/>
    <cellStyle name="Comma 3 4 2 3 9" xfId="6514"/>
    <cellStyle name="Comma 3 4 2 4" xfId="650"/>
    <cellStyle name="Comma 3 4 2 4 10" xfId="11524"/>
    <cellStyle name="Comma 3 4 2 4 11" xfId="13270"/>
    <cellStyle name="Comma 3 4 2 4 2" xfId="1156"/>
    <cellStyle name="Comma 3 4 2 4 2 2" xfId="4219"/>
    <cellStyle name="Comma 3 4 2 4 2 2 2" xfId="9666"/>
    <cellStyle name="Comma 3 4 2 4 2 3" xfId="3209"/>
    <cellStyle name="Comma 3 4 2 4 2 4" xfId="6896"/>
    <cellStyle name="Comma 3 4 2 4 2 5" xfId="8658"/>
    <cellStyle name="Comma 3 4 2 4 2 6" xfId="12030"/>
    <cellStyle name="Comma 3 4 2 4 2 7" xfId="13776"/>
    <cellStyle name="Comma 3 4 2 4 3" xfId="1664"/>
    <cellStyle name="Comma 3 4 2 4 3 2" xfId="3477"/>
    <cellStyle name="Comma 3 4 2 4 3 3" xfId="7404"/>
    <cellStyle name="Comma 3 4 2 4 3 4" xfId="8922"/>
    <cellStyle name="Comma 3 4 2 4 3 5" xfId="12536"/>
    <cellStyle name="Comma 3 4 2 4 3 6" xfId="14282"/>
    <cellStyle name="Comma 3 4 2 4 4" xfId="4703"/>
    <cellStyle name="Comma 3 4 2 4 4 2" xfId="10168"/>
    <cellStyle name="Comma 3 4 2 4 5" xfId="5195"/>
    <cellStyle name="Comma 3 4 2 4 5 2" xfId="10670"/>
    <cellStyle name="Comma 3 4 2 4 6" xfId="5697"/>
    <cellStyle name="Comma 3 4 2 4 6 2" xfId="11172"/>
    <cellStyle name="Comma 3 4 2 4 7" xfId="2491"/>
    <cellStyle name="Comma 3 4 2 4 8" xfId="6390"/>
    <cellStyle name="Comma 3 4 2 4 9" xfId="7914"/>
    <cellStyle name="Comma 3 4 2 5" xfId="898"/>
    <cellStyle name="Comma 3 4 2 5 2" xfId="1404"/>
    <cellStyle name="Comma 3 4 2 5 2 2" xfId="3725"/>
    <cellStyle name="Comma 3 4 2 5 2 3" xfId="7144"/>
    <cellStyle name="Comma 3 4 2 5 2 4" xfId="9170"/>
    <cellStyle name="Comma 3 4 2 5 2 5" xfId="12278"/>
    <cellStyle name="Comma 3 4 2 5 2 6" xfId="14024"/>
    <cellStyle name="Comma 3 4 2 5 3" xfId="1912"/>
    <cellStyle name="Comma 3 4 2 5 3 2" xfId="7652"/>
    <cellStyle name="Comma 3 4 2 5 3 3" xfId="12784"/>
    <cellStyle name="Comma 3 4 2 5 3 4" xfId="14530"/>
    <cellStyle name="Comma 3 4 2 5 4" xfId="2721"/>
    <cellStyle name="Comma 3 4 2 5 5" xfId="6638"/>
    <cellStyle name="Comma 3 4 2 5 6" xfId="8162"/>
    <cellStyle name="Comma 3 4 2 5 7" xfId="11772"/>
    <cellStyle name="Comma 3 4 2 5 8" xfId="13518"/>
    <cellStyle name="Comma 3 4 2 6" xfId="2963"/>
    <cellStyle name="Comma 3 4 2 6 2" xfId="3973"/>
    <cellStyle name="Comma 3 4 2 6 2 2" xfId="9418"/>
    <cellStyle name="Comma 3 4 2 6 3" xfId="8410"/>
    <cellStyle name="Comma 3 4 2 7" xfId="4473"/>
    <cellStyle name="Comma 3 4 2 7 2" xfId="9920"/>
    <cellStyle name="Comma 3 4 2 8" xfId="4949"/>
    <cellStyle name="Comma 3 4 2 8 2" xfId="10422"/>
    <cellStyle name="Comma 3 4 2 9" xfId="5449"/>
    <cellStyle name="Comma 3 4 2 9 2" xfId="10924"/>
    <cellStyle name="Comma 3 4 3" xfId="670"/>
    <cellStyle name="Comma 3 4 3 10" xfId="6005"/>
    <cellStyle name="Comma 3 4 3 11" xfId="2509"/>
    <cellStyle name="Comma 3 4 3 12" xfId="7934"/>
    <cellStyle name="Comma 3 4 3 13" xfId="11544"/>
    <cellStyle name="Comma 3 4 3 2" xfId="696"/>
    <cellStyle name="Comma 3 4 3 2 10" xfId="6436"/>
    <cellStyle name="Comma 3 4 3 2 11" xfId="7960"/>
    <cellStyle name="Comma 3 4 3 2 12" xfId="11570"/>
    <cellStyle name="Comma 3 4 3 2 13" xfId="13316"/>
    <cellStyle name="Comma 3 4 3 2 2" xfId="820"/>
    <cellStyle name="Comma 3 4 3 2 2 10" xfId="8084"/>
    <cellStyle name="Comma 3 4 3 2 2 11" xfId="11694"/>
    <cellStyle name="Comma 3 4 3 2 2 12" xfId="13440"/>
    <cellStyle name="Comma 3 4 3 2 2 2" xfId="1068"/>
    <cellStyle name="Comma 3 4 3 2 2 2 10" xfId="11942"/>
    <cellStyle name="Comma 3 4 3 2 2 2 11" xfId="13688"/>
    <cellStyle name="Comma 3 4 3 2 2 2 2" xfId="1574"/>
    <cellStyle name="Comma 3 4 3 2 2 2 2 2" xfId="4389"/>
    <cellStyle name="Comma 3 4 3 2 2 2 2 2 2" xfId="9836"/>
    <cellStyle name="Comma 3 4 3 2 2 2 2 3" xfId="3379"/>
    <cellStyle name="Comma 3 4 3 2 2 2 2 4" xfId="7314"/>
    <cellStyle name="Comma 3 4 3 2 2 2 2 5" xfId="8828"/>
    <cellStyle name="Comma 3 4 3 2 2 2 2 6" xfId="12448"/>
    <cellStyle name="Comma 3 4 3 2 2 2 2 7" xfId="14194"/>
    <cellStyle name="Comma 3 4 3 2 2 2 3" xfId="2082"/>
    <cellStyle name="Comma 3 4 3 2 2 2 3 2" xfId="3895"/>
    <cellStyle name="Comma 3 4 3 2 2 2 3 3" xfId="7822"/>
    <cellStyle name="Comma 3 4 3 2 2 2 3 4" xfId="9340"/>
    <cellStyle name="Comma 3 4 3 2 2 2 3 5" xfId="12954"/>
    <cellStyle name="Comma 3 4 3 2 2 2 3 6" xfId="14700"/>
    <cellStyle name="Comma 3 4 3 2 2 2 4" xfId="4867"/>
    <cellStyle name="Comma 3 4 3 2 2 2 4 2" xfId="10338"/>
    <cellStyle name="Comma 3 4 3 2 2 2 5" xfId="5365"/>
    <cellStyle name="Comma 3 4 3 2 2 2 5 2" xfId="10840"/>
    <cellStyle name="Comma 3 4 3 2 2 2 6" xfId="5867"/>
    <cellStyle name="Comma 3 4 3 2 2 2 6 2" xfId="11342"/>
    <cellStyle name="Comma 3 4 3 2 2 2 7" xfId="2885"/>
    <cellStyle name="Comma 3 4 3 2 2 2 8" xfId="6808"/>
    <cellStyle name="Comma 3 4 3 2 2 2 9" xfId="8332"/>
    <cellStyle name="Comma 3 4 3 2 2 3" xfId="1326"/>
    <cellStyle name="Comma 3 4 3 2 2 3 2" xfId="4141"/>
    <cellStyle name="Comma 3 4 3 2 2 3 2 2" xfId="9588"/>
    <cellStyle name="Comma 3 4 3 2 2 3 3" xfId="3131"/>
    <cellStyle name="Comma 3 4 3 2 2 3 4" xfId="7066"/>
    <cellStyle name="Comma 3 4 3 2 2 3 5" xfId="8580"/>
    <cellStyle name="Comma 3 4 3 2 2 3 6" xfId="12200"/>
    <cellStyle name="Comma 3 4 3 2 2 3 7" xfId="13946"/>
    <cellStyle name="Comma 3 4 3 2 2 4" xfId="1834"/>
    <cellStyle name="Comma 3 4 3 2 2 4 2" xfId="3647"/>
    <cellStyle name="Comma 3 4 3 2 2 4 3" xfId="7574"/>
    <cellStyle name="Comma 3 4 3 2 2 4 4" xfId="9092"/>
    <cellStyle name="Comma 3 4 3 2 2 4 5" xfId="12706"/>
    <cellStyle name="Comma 3 4 3 2 2 4 6" xfId="14452"/>
    <cellStyle name="Comma 3 4 3 2 2 5" xfId="4629"/>
    <cellStyle name="Comma 3 4 3 2 2 5 2" xfId="10090"/>
    <cellStyle name="Comma 3 4 3 2 2 6" xfId="5117"/>
    <cellStyle name="Comma 3 4 3 2 2 6 2" xfId="10592"/>
    <cellStyle name="Comma 3 4 3 2 2 7" xfId="5619"/>
    <cellStyle name="Comma 3 4 3 2 2 7 2" xfId="11094"/>
    <cellStyle name="Comma 3 4 3 2 2 8" xfId="2645"/>
    <cellStyle name="Comma 3 4 3 2 2 9" xfId="6560"/>
    <cellStyle name="Comma 3 4 3 2 3" xfId="944"/>
    <cellStyle name="Comma 3 4 3 2 3 10" xfId="11818"/>
    <cellStyle name="Comma 3 4 3 2 3 11" xfId="13564"/>
    <cellStyle name="Comma 3 4 3 2 3 2" xfId="1450"/>
    <cellStyle name="Comma 3 4 3 2 3 2 2" xfId="4265"/>
    <cellStyle name="Comma 3 4 3 2 3 2 2 2" xfId="9712"/>
    <cellStyle name="Comma 3 4 3 2 3 2 3" xfId="3255"/>
    <cellStyle name="Comma 3 4 3 2 3 2 4" xfId="7190"/>
    <cellStyle name="Comma 3 4 3 2 3 2 5" xfId="8704"/>
    <cellStyle name="Comma 3 4 3 2 3 2 6" xfId="12324"/>
    <cellStyle name="Comma 3 4 3 2 3 2 7" xfId="14070"/>
    <cellStyle name="Comma 3 4 3 2 3 3" xfId="1958"/>
    <cellStyle name="Comma 3 4 3 2 3 3 2" xfId="3771"/>
    <cellStyle name="Comma 3 4 3 2 3 3 3" xfId="7698"/>
    <cellStyle name="Comma 3 4 3 2 3 3 4" xfId="9216"/>
    <cellStyle name="Comma 3 4 3 2 3 3 5" xfId="12830"/>
    <cellStyle name="Comma 3 4 3 2 3 3 6" xfId="14576"/>
    <cellStyle name="Comma 3 4 3 2 3 4" xfId="4745"/>
    <cellStyle name="Comma 3 4 3 2 3 4 2" xfId="10214"/>
    <cellStyle name="Comma 3 4 3 2 3 5" xfId="5241"/>
    <cellStyle name="Comma 3 4 3 2 3 5 2" xfId="10716"/>
    <cellStyle name="Comma 3 4 3 2 3 6" xfId="5743"/>
    <cellStyle name="Comma 3 4 3 2 3 6 2" xfId="11218"/>
    <cellStyle name="Comma 3 4 3 2 3 7" xfId="2763"/>
    <cellStyle name="Comma 3 4 3 2 3 8" xfId="6684"/>
    <cellStyle name="Comma 3 4 3 2 3 9" xfId="8208"/>
    <cellStyle name="Comma 3 4 3 2 4" xfId="1202"/>
    <cellStyle name="Comma 3 4 3 2 4 2" xfId="4019"/>
    <cellStyle name="Comma 3 4 3 2 4 2 2" xfId="9464"/>
    <cellStyle name="Comma 3 4 3 2 4 3" xfId="3009"/>
    <cellStyle name="Comma 3 4 3 2 4 4" xfId="6942"/>
    <cellStyle name="Comma 3 4 3 2 4 5" xfId="8456"/>
    <cellStyle name="Comma 3 4 3 2 4 6" xfId="12076"/>
    <cellStyle name="Comma 3 4 3 2 4 7" xfId="13822"/>
    <cellStyle name="Comma 3 4 3 2 5" xfId="1710"/>
    <cellStyle name="Comma 3 4 3 2 5 2" xfId="3523"/>
    <cellStyle name="Comma 3 4 3 2 5 3" xfId="7450"/>
    <cellStyle name="Comma 3 4 3 2 5 4" xfId="8968"/>
    <cellStyle name="Comma 3 4 3 2 5 5" xfId="12582"/>
    <cellStyle name="Comma 3 4 3 2 5 6" xfId="14328"/>
    <cellStyle name="Comma 3 4 3 2 6" xfId="4517"/>
    <cellStyle name="Comma 3 4 3 2 6 2" xfId="9966"/>
    <cellStyle name="Comma 3 4 3 2 7" xfId="4993"/>
    <cellStyle name="Comma 3 4 3 2 7 2" xfId="10468"/>
    <cellStyle name="Comma 3 4 3 2 8" xfId="5495"/>
    <cellStyle name="Comma 3 4 3 2 8 2" xfId="10970"/>
    <cellStyle name="Comma 3 4 3 2 9" xfId="2533"/>
    <cellStyle name="Comma 3 4 3 3" xfId="794"/>
    <cellStyle name="Comma 3 4 3 3 10" xfId="8058"/>
    <cellStyle name="Comma 3 4 3 3 11" xfId="11668"/>
    <cellStyle name="Comma 3 4 3 3 12" xfId="13414"/>
    <cellStyle name="Comma 3 4 3 3 2" xfId="1042"/>
    <cellStyle name="Comma 3 4 3 3 2 10" xfId="11916"/>
    <cellStyle name="Comma 3 4 3 3 2 11" xfId="13662"/>
    <cellStyle name="Comma 3 4 3 3 2 2" xfId="1548"/>
    <cellStyle name="Comma 3 4 3 3 2 2 2" xfId="4363"/>
    <cellStyle name="Comma 3 4 3 3 2 2 2 2" xfId="9810"/>
    <cellStyle name="Comma 3 4 3 3 2 2 3" xfId="3353"/>
    <cellStyle name="Comma 3 4 3 3 2 2 4" xfId="7288"/>
    <cellStyle name="Comma 3 4 3 3 2 2 5" xfId="8802"/>
    <cellStyle name="Comma 3 4 3 3 2 2 6" xfId="12422"/>
    <cellStyle name="Comma 3 4 3 3 2 2 7" xfId="14168"/>
    <cellStyle name="Comma 3 4 3 3 2 3" xfId="2056"/>
    <cellStyle name="Comma 3 4 3 3 2 3 2" xfId="3869"/>
    <cellStyle name="Comma 3 4 3 3 2 3 3" xfId="7796"/>
    <cellStyle name="Comma 3 4 3 3 2 3 4" xfId="9314"/>
    <cellStyle name="Comma 3 4 3 3 2 3 5" xfId="12928"/>
    <cellStyle name="Comma 3 4 3 3 2 3 6" xfId="14674"/>
    <cellStyle name="Comma 3 4 3 3 2 4" xfId="4841"/>
    <cellStyle name="Comma 3 4 3 3 2 4 2" xfId="10312"/>
    <cellStyle name="Comma 3 4 3 3 2 5" xfId="5339"/>
    <cellStyle name="Comma 3 4 3 3 2 5 2" xfId="10814"/>
    <cellStyle name="Comma 3 4 3 3 2 6" xfId="5841"/>
    <cellStyle name="Comma 3 4 3 3 2 6 2" xfId="11316"/>
    <cellStyle name="Comma 3 4 3 3 2 7" xfId="2859"/>
    <cellStyle name="Comma 3 4 3 3 2 8" xfId="6782"/>
    <cellStyle name="Comma 3 4 3 3 2 9" xfId="8306"/>
    <cellStyle name="Comma 3 4 3 3 3" xfId="1300"/>
    <cellStyle name="Comma 3 4 3 3 3 2" xfId="4115"/>
    <cellStyle name="Comma 3 4 3 3 3 2 2" xfId="9562"/>
    <cellStyle name="Comma 3 4 3 3 3 3" xfId="3105"/>
    <cellStyle name="Comma 3 4 3 3 3 4" xfId="7040"/>
    <cellStyle name="Comma 3 4 3 3 3 5" xfId="8554"/>
    <cellStyle name="Comma 3 4 3 3 3 6" xfId="12174"/>
    <cellStyle name="Comma 3 4 3 3 3 7" xfId="13920"/>
    <cellStyle name="Comma 3 4 3 3 4" xfId="1808"/>
    <cellStyle name="Comma 3 4 3 3 4 2" xfId="3621"/>
    <cellStyle name="Comma 3 4 3 3 4 3" xfId="7548"/>
    <cellStyle name="Comma 3 4 3 3 4 4" xfId="9066"/>
    <cellStyle name="Comma 3 4 3 3 4 5" xfId="12680"/>
    <cellStyle name="Comma 3 4 3 3 4 6" xfId="14426"/>
    <cellStyle name="Comma 3 4 3 3 5" xfId="4605"/>
    <cellStyle name="Comma 3 4 3 3 5 2" xfId="10064"/>
    <cellStyle name="Comma 3 4 3 3 6" xfId="5091"/>
    <cellStyle name="Comma 3 4 3 3 6 2" xfId="10566"/>
    <cellStyle name="Comma 3 4 3 3 7" xfId="5593"/>
    <cellStyle name="Comma 3 4 3 3 7 2" xfId="11068"/>
    <cellStyle name="Comma 3 4 3 3 8" xfId="2621"/>
    <cellStyle name="Comma 3 4 3 3 9" xfId="6534"/>
    <cellStyle name="Comma 3 4 3 4" xfId="918"/>
    <cellStyle name="Comma 3 4 3 4 10" xfId="11792"/>
    <cellStyle name="Comma 3 4 3 4 11" xfId="13538"/>
    <cellStyle name="Comma 3 4 3 4 2" xfId="1424"/>
    <cellStyle name="Comma 3 4 3 4 2 2" xfId="4239"/>
    <cellStyle name="Comma 3 4 3 4 2 2 2" xfId="9686"/>
    <cellStyle name="Comma 3 4 3 4 2 3" xfId="3229"/>
    <cellStyle name="Comma 3 4 3 4 2 4" xfId="7164"/>
    <cellStyle name="Comma 3 4 3 4 2 5" xfId="8678"/>
    <cellStyle name="Comma 3 4 3 4 2 6" xfId="12298"/>
    <cellStyle name="Comma 3 4 3 4 2 7" xfId="14044"/>
    <cellStyle name="Comma 3 4 3 4 3" xfId="1932"/>
    <cellStyle name="Comma 3 4 3 4 3 2" xfId="3745"/>
    <cellStyle name="Comma 3 4 3 4 3 3" xfId="7672"/>
    <cellStyle name="Comma 3 4 3 4 3 4" xfId="9190"/>
    <cellStyle name="Comma 3 4 3 4 3 5" xfId="12804"/>
    <cellStyle name="Comma 3 4 3 4 3 6" xfId="14550"/>
    <cellStyle name="Comma 3 4 3 4 4" xfId="4721"/>
    <cellStyle name="Comma 3 4 3 4 4 2" xfId="10188"/>
    <cellStyle name="Comma 3 4 3 4 5" xfId="5215"/>
    <cellStyle name="Comma 3 4 3 4 5 2" xfId="10690"/>
    <cellStyle name="Comma 3 4 3 4 6" xfId="5717"/>
    <cellStyle name="Comma 3 4 3 4 6 2" xfId="11192"/>
    <cellStyle name="Comma 3 4 3 4 7" xfId="2739"/>
    <cellStyle name="Comma 3 4 3 4 8" xfId="6658"/>
    <cellStyle name="Comma 3 4 3 4 9" xfId="8182"/>
    <cellStyle name="Comma 3 4 3 5" xfId="1176"/>
    <cellStyle name="Comma 3 4 3 5 2" xfId="3993"/>
    <cellStyle name="Comma 3 4 3 5 2 2" xfId="9438"/>
    <cellStyle name="Comma 3 4 3 5 3" xfId="2983"/>
    <cellStyle name="Comma 3 4 3 5 4" xfId="6916"/>
    <cellStyle name="Comma 3 4 3 5 5" xfId="8430"/>
    <cellStyle name="Comma 3 4 3 5 6" xfId="12050"/>
    <cellStyle name="Comma 3 4 3 5 7" xfId="13796"/>
    <cellStyle name="Comma 3 4 3 6" xfId="1684"/>
    <cellStyle name="Comma 3 4 3 6 2" xfId="3497"/>
    <cellStyle name="Comma 3 4 3 6 3" xfId="7424"/>
    <cellStyle name="Comma 3 4 3 6 4" xfId="8942"/>
    <cellStyle name="Comma 3 4 3 6 5" xfId="12556"/>
    <cellStyle name="Comma 3 4 3 6 6" xfId="14302"/>
    <cellStyle name="Comma 3 4 3 7" xfId="2224"/>
    <cellStyle name="Comma 3 4 3 7 2" xfId="4493"/>
    <cellStyle name="Comma 3 4 3 7 3" xfId="6410"/>
    <cellStyle name="Comma 3 4 3 7 4" xfId="9940"/>
    <cellStyle name="Comma 3 4 3 7 5" xfId="13290"/>
    <cellStyle name="Comma 3 4 3 8" xfId="4967"/>
    <cellStyle name="Comma 3 4 3 8 2" xfId="10442"/>
    <cellStyle name="Comma 3 4 3 9" xfId="5469"/>
    <cellStyle name="Comma 3 4 3 9 2" xfId="10944"/>
    <cellStyle name="Comma 3 4 4" xfId="694"/>
    <cellStyle name="Comma 3 4 4 10" xfId="6434"/>
    <cellStyle name="Comma 3 4 4 11" xfId="7958"/>
    <cellStyle name="Comma 3 4 4 12" xfId="11568"/>
    <cellStyle name="Comma 3 4 4 13" xfId="13314"/>
    <cellStyle name="Comma 3 4 4 2" xfId="818"/>
    <cellStyle name="Comma 3 4 4 2 10" xfId="8082"/>
    <cellStyle name="Comma 3 4 4 2 11" xfId="11692"/>
    <cellStyle name="Comma 3 4 4 2 12" xfId="13438"/>
    <cellStyle name="Comma 3 4 4 2 2" xfId="1066"/>
    <cellStyle name="Comma 3 4 4 2 2 10" xfId="11940"/>
    <cellStyle name="Comma 3 4 4 2 2 11" xfId="13686"/>
    <cellStyle name="Comma 3 4 4 2 2 2" xfId="1572"/>
    <cellStyle name="Comma 3 4 4 2 2 2 2" xfId="4387"/>
    <cellStyle name="Comma 3 4 4 2 2 2 2 2" xfId="9834"/>
    <cellStyle name="Comma 3 4 4 2 2 2 3" xfId="3377"/>
    <cellStyle name="Comma 3 4 4 2 2 2 4" xfId="7312"/>
    <cellStyle name="Comma 3 4 4 2 2 2 5" xfId="8826"/>
    <cellStyle name="Comma 3 4 4 2 2 2 6" xfId="12446"/>
    <cellStyle name="Comma 3 4 4 2 2 2 7" xfId="14192"/>
    <cellStyle name="Comma 3 4 4 2 2 3" xfId="2080"/>
    <cellStyle name="Comma 3 4 4 2 2 3 2" xfId="3893"/>
    <cellStyle name="Comma 3 4 4 2 2 3 3" xfId="7820"/>
    <cellStyle name="Comma 3 4 4 2 2 3 4" xfId="9338"/>
    <cellStyle name="Comma 3 4 4 2 2 3 5" xfId="12952"/>
    <cellStyle name="Comma 3 4 4 2 2 3 6" xfId="14698"/>
    <cellStyle name="Comma 3 4 4 2 2 4" xfId="4865"/>
    <cellStyle name="Comma 3 4 4 2 2 4 2" xfId="10336"/>
    <cellStyle name="Comma 3 4 4 2 2 5" xfId="5363"/>
    <cellStyle name="Comma 3 4 4 2 2 5 2" xfId="10838"/>
    <cellStyle name="Comma 3 4 4 2 2 6" xfId="5865"/>
    <cellStyle name="Comma 3 4 4 2 2 6 2" xfId="11340"/>
    <cellStyle name="Comma 3 4 4 2 2 7" xfId="2883"/>
    <cellStyle name="Comma 3 4 4 2 2 8" xfId="6806"/>
    <cellStyle name="Comma 3 4 4 2 2 9" xfId="8330"/>
    <cellStyle name="Comma 3 4 4 2 3" xfId="1324"/>
    <cellStyle name="Comma 3 4 4 2 3 2" xfId="4139"/>
    <cellStyle name="Comma 3 4 4 2 3 2 2" xfId="9586"/>
    <cellStyle name="Comma 3 4 4 2 3 3" xfId="3129"/>
    <cellStyle name="Comma 3 4 4 2 3 4" xfId="7064"/>
    <cellStyle name="Comma 3 4 4 2 3 5" xfId="8578"/>
    <cellStyle name="Comma 3 4 4 2 3 6" xfId="12198"/>
    <cellStyle name="Comma 3 4 4 2 3 7" xfId="13944"/>
    <cellStyle name="Comma 3 4 4 2 4" xfId="1832"/>
    <cellStyle name="Comma 3 4 4 2 4 2" xfId="3645"/>
    <cellStyle name="Comma 3 4 4 2 4 3" xfId="7572"/>
    <cellStyle name="Comma 3 4 4 2 4 4" xfId="9090"/>
    <cellStyle name="Comma 3 4 4 2 4 5" xfId="12704"/>
    <cellStyle name="Comma 3 4 4 2 4 6" xfId="14450"/>
    <cellStyle name="Comma 3 4 4 2 5" xfId="4627"/>
    <cellStyle name="Comma 3 4 4 2 5 2" xfId="10088"/>
    <cellStyle name="Comma 3 4 4 2 6" xfId="5115"/>
    <cellStyle name="Comma 3 4 4 2 6 2" xfId="10590"/>
    <cellStyle name="Comma 3 4 4 2 7" xfId="5617"/>
    <cellStyle name="Comma 3 4 4 2 7 2" xfId="11092"/>
    <cellStyle name="Comma 3 4 4 2 8" xfId="2643"/>
    <cellStyle name="Comma 3 4 4 2 9" xfId="6558"/>
    <cellStyle name="Comma 3 4 4 3" xfId="942"/>
    <cellStyle name="Comma 3 4 4 3 10" xfId="11816"/>
    <cellStyle name="Comma 3 4 4 3 11" xfId="13562"/>
    <cellStyle name="Comma 3 4 4 3 2" xfId="1448"/>
    <cellStyle name="Comma 3 4 4 3 2 2" xfId="4263"/>
    <cellStyle name="Comma 3 4 4 3 2 2 2" xfId="9710"/>
    <cellStyle name="Comma 3 4 4 3 2 3" xfId="3253"/>
    <cellStyle name="Comma 3 4 4 3 2 4" xfId="7188"/>
    <cellStyle name="Comma 3 4 4 3 2 5" xfId="8702"/>
    <cellStyle name="Comma 3 4 4 3 2 6" xfId="12322"/>
    <cellStyle name="Comma 3 4 4 3 2 7" xfId="14068"/>
    <cellStyle name="Comma 3 4 4 3 3" xfId="1956"/>
    <cellStyle name="Comma 3 4 4 3 3 2" xfId="3769"/>
    <cellStyle name="Comma 3 4 4 3 3 3" xfId="7696"/>
    <cellStyle name="Comma 3 4 4 3 3 4" xfId="9214"/>
    <cellStyle name="Comma 3 4 4 3 3 5" xfId="12828"/>
    <cellStyle name="Comma 3 4 4 3 3 6" xfId="14574"/>
    <cellStyle name="Comma 3 4 4 3 4" xfId="4743"/>
    <cellStyle name="Comma 3 4 4 3 4 2" xfId="10212"/>
    <cellStyle name="Comma 3 4 4 3 5" xfId="5239"/>
    <cellStyle name="Comma 3 4 4 3 5 2" xfId="10714"/>
    <cellStyle name="Comma 3 4 4 3 6" xfId="5741"/>
    <cellStyle name="Comma 3 4 4 3 6 2" xfId="11216"/>
    <cellStyle name="Comma 3 4 4 3 7" xfId="2761"/>
    <cellStyle name="Comma 3 4 4 3 8" xfId="6682"/>
    <cellStyle name="Comma 3 4 4 3 9" xfId="8206"/>
    <cellStyle name="Comma 3 4 4 4" xfId="1200"/>
    <cellStyle name="Comma 3 4 4 4 2" xfId="4017"/>
    <cellStyle name="Comma 3 4 4 4 2 2" xfId="9462"/>
    <cellStyle name="Comma 3 4 4 4 3" xfId="3007"/>
    <cellStyle name="Comma 3 4 4 4 4" xfId="6940"/>
    <cellStyle name="Comma 3 4 4 4 5" xfId="8454"/>
    <cellStyle name="Comma 3 4 4 4 6" xfId="12074"/>
    <cellStyle name="Comma 3 4 4 4 7" xfId="13820"/>
    <cellStyle name="Comma 3 4 4 5" xfId="1708"/>
    <cellStyle name="Comma 3 4 4 5 2" xfId="3521"/>
    <cellStyle name="Comma 3 4 4 5 3" xfId="7448"/>
    <cellStyle name="Comma 3 4 4 5 4" xfId="8966"/>
    <cellStyle name="Comma 3 4 4 5 5" xfId="12580"/>
    <cellStyle name="Comma 3 4 4 5 6" xfId="14326"/>
    <cellStyle name="Comma 3 4 4 6" xfId="4515"/>
    <cellStyle name="Comma 3 4 4 6 2" xfId="9964"/>
    <cellStyle name="Comma 3 4 4 7" xfId="4991"/>
    <cellStyle name="Comma 3 4 4 7 2" xfId="10466"/>
    <cellStyle name="Comma 3 4 4 8" xfId="5493"/>
    <cellStyle name="Comma 3 4 4 8 2" xfId="10968"/>
    <cellStyle name="Comma 3 4 4 9" xfId="2531"/>
    <cellStyle name="Comma 3 4 5" xfId="752"/>
    <cellStyle name="Comma 3 4 5 10" xfId="8016"/>
    <cellStyle name="Comma 3 4 5 11" xfId="11626"/>
    <cellStyle name="Comma 3 4 5 12" xfId="13372"/>
    <cellStyle name="Comma 3 4 5 2" xfId="1000"/>
    <cellStyle name="Comma 3 4 5 2 10" xfId="11874"/>
    <cellStyle name="Comma 3 4 5 2 11" xfId="13620"/>
    <cellStyle name="Comma 3 4 5 2 2" xfId="1506"/>
    <cellStyle name="Comma 3 4 5 2 2 2" xfId="4321"/>
    <cellStyle name="Comma 3 4 5 2 2 2 2" xfId="9768"/>
    <cellStyle name="Comma 3 4 5 2 2 3" xfId="3311"/>
    <cellStyle name="Comma 3 4 5 2 2 4" xfId="7246"/>
    <cellStyle name="Comma 3 4 5 2 2 5" xfId="8760"/>
    <cellStyle name="Comma 3 4 5 2 2 6" xfId="12380"/>
    <cellStyle name="Comma 3 4 5 2 2 7" xfId="14126"/>
    <cellStyle name="Comma 3 4 5 2 3" xfId="2014"/>
    <cellStyle name="Comma 3 4 5 2 3 2" xfId="3827"/>
    <cellStyle name="Comma 3 4 5 2 3 3" xfId="7754"/>
    <cellStyle name="Comma 3 4 5 2 3 4" xfId="9272"/>
    <cellStyle name="Comma 3 4 5 2 3 5" xfId="12886"/>
    <cellStyle name="Comma 3 4 5 2 3 6" xfId="14632"/>
    <cellStyle name="Comma 3 4 5 2 4" xfId="4799"/>
    <cellStyle name="Comma 3 4 5 2 4 2" xfId="10270"/>
    <cellStyle name="Comma 3 4 5 2 5" xfId="5297"/>
    <cellStyle name="Comma 3 4 5 2 5 2" xfId="10772"/>
    <cellStyle name="Comma 3 4 5 2 6" xfId="5799"/>
    <cellStyle name="Comma 3 4 5 2 6 2" xfId="11274"/>
    <cellStyle name="Comma 3 4 5 2 7" xfId="2817"/>
    <cellStyle name="Comma 3 4 5 2 8" xfId="6740"/>
    <cellStyle name="Comma 3 4 5 2 9" xfId="8264"/>
    <cellStyle name="Comma 3 4 5 3" xfId="1258"/>
    <cellStyle name="Comma 3 4 5 3 2" xfId="4073"/>
    <cellStyle name="Comma 3 4 5 3 2 2" xfId="9520"/>
    <cellStyle name="Comma 3 4 5 3 3" xfId="3063"/>
    <cellStyle name="Comma 3 4 5 3 4" xfId="6998"/>
    <cellStyle name="Comma 3 4 5 3 5" xfId="8512"/>
    <cellStyle name="Comma 3 4 5 3 6" xfId="12132"/>
    <cellStyle name="Comma 3 4 5 3 7" xfId="13878"/>
    <cellStyle name="Comma 3 4 5 4" xfId="1766"/>
    <cellStyle name="Comma 3 4 5 4 2" xfId="3579"/>
    <cellStyle name="Comma 3 4 5 4 3" xfId="7506"/>
    <cellStyle name="Comma 3 4 5 4 4" xfId="9024"/>
    <cellStyle name="Comma 3 4 5 4 5" xfId="12638"/>
    <cellStyle name="Comma 3 4 5 4 6" xfId="14384"/>
    <cellStyle name="Comma 3 4 5 5" xfId="4567"/>
    <cellStyle name="Comma 3 4 5 5 2" xfId="10022"/>
    <cellStyle name="Comma 3 4 5 6" xfId="5049"/>
    <cellStyle name="Comma 3 4 5 6 2" xfId="10524"/>
    <cellStyle name="Comma 3 4 5 7" xfId="5551"/>
    <cellStyle name="Comma 3 4 5 7 2" xfId="11026"/>
    <cellStyle name="Comma 3 4 5 8" xfId="2583"/>
    <cellStyle name="Comma 3 4 5 9" xfId="6492"/>
    <cellStyle name="Comma 3 4 6" xfId="617"/>
    <cellStyle name="Comma 3 4 6 10" xfId="11502"/>
    <cellStyle name="Comma 3 4 6 11" xfId="13248"/>
    <cellStyle name="Comma 3 4 6 2" xfId="1134"/>
    <cellStyle name="Comma 3 4 6 2 2" xfId="4197"/>
    <cellStyle name="Comma 3 4 6 2 2 2" xfId="9644"/>
    <cellStyle name="Comma 3 4 6 2 3" xfId="3187"/>
    <cellStyle name="Comma 3 4 6 2 4" xfId="6874"/>
    <cellStyle name="Comma 3 4 6 2 5" xfId="8636"/>
    <cellStyle name="Comma 3 4 6 2 6" xfId="12008"/>
    <cellStyle name="Comma 3 4 6 2 7" xfId="13754"/>
    <cellStyle name="Comma 3 4 6 3" xfId="1642"/>
    <cellStyle name="Comma 3 4 6 3 2" xfId="3455"/>
    <cellStyle name="Comma 3 4 6 3 3" xfId="7382"/>
    <cellStyle name="Comma 3 4 6 3 4" xfId="8900"/>
    <cellStyle name="Comma 3 4 6 3 5" xfId="12514"/>
    <cellStyle name="Comma 3 4 6 3 6" xfId="14260"/>
    <cellStyle name="Comma 3 4 6 4" xfId="4683"/>
    <cellStyle name="Comma 3 4 6 4 2" xfId="10146"/>
    <cellStyle name="Comma 3 4 6 5" xfId="5173"/>
    <cellStyle name="Comma 3 4 6 5 2" xfId="10648"/>
    <cellStyle name="Comma 3 4 6 6" xfId="5675"/>
    <cellStyle name="Comma 3 4 6 6 2" xfId="11150"/>
    <cellStyle name="Comma 3 4 6 7" xfId="2471"/>
    <cellStyle name="Comma 3 4 6 8" xfId="6364"/>
    <cellStyle name="Comma 3 4 6 9" xfId="7892"/>
    <cellStyle name="Comma 3 4 7" xfId="876"/>
    <cellStyle name="Comma 3 4 7 2" xfId="1382"/>
    <cellStyle name="Comma 3 4 7 2 2" xfId="3703"/>
    <cellStyle name="Comma 3 4 7 2 3" xfId="7122"/>
    <cellStyle name="Comma 3 4 7 2 4" xfId="9148"/>
    <cellStyle name="Comma 3 4 7 2 5" xfId="12256"/>
    <cellStyle name="Comma 3 4 7 2 6" xfId="14002"/>
    <cellStyle name="Comma 3 4 7 3" xfId="1890"/>
    <cellStyle name="Comma 3 4 7 3 2" xfId="7630"/>
    <cellStyle name="Comma 3 4 7 3 3" xfId="12762"/>
    <cellStyle name="Comma 3 4 7 3 4" xfId="14508"/>
    <cellStyle name="Comma 3 4 7 4" xfId="2699"/>
    <cellStyle name="Comma 3 4 7 5" xfId="6616"/>
    <cellStyle name="Comma 3 4 7 6" xfId="8140"/>
    <cellStyle name="Comma 3 4 7 7" xfId="11750"/>
    <cellStyle name="Comma 3 4 7 8" xfId="13496"/>
    <cellStyle name="Comma 3 4 8" xfId="2941"/>
    <cellStyle name="Comma 3 4 8 2" xfId="3951"/>
    <cellStyle name="Comma 3 4 8 2 2" xfId="9396"/>
    <cellStyle name="Comma 3 4 8 3" xfId="8388"/>
    <cellStyle name="Comma 3 4 9" xfId="4451"/>
    <cellStyle name="Comma 3 4 9 2" xfId="9898"/>
    <cellStyle name="Comma 3 5" xfId="66"/>
    <cellStyle name="Comma 3 5 10" xfId="1627"/>
    <cellStyle name="Comma 3 5 10 2" xfId="4453"/>
    <cellStyle name="Comma 3 5 10 3" xfId="7367"/>
    <cellStyle name="Comma 3 5 10 4" xfId="9900"/>
    <cellStyle name="Comma 3 5 10 5" xfId="12500"/>
    <cellStyle name="Comma 3 5 10 6" xfId="14246"/>
    <cellStyle name="Comma 3 5 11" xfId="2179"/>
    <cellStyle name="Comma 3 5 11 2" xfId="6239"/>
    <cellStyle name="Comma 3 5 11 3" xfId="10402"/>
    <cellStyle name="Comma 3 5 11 4" xfId="13216"/>
    <cellStyle name="Comma 3 5 12" xfId="5429"/>
    <cellStyle name="Comma 3 5 12 2" xfId="10904"/>
    <cellStyle name="Comma 3 5 13" xfId="5995"/>
    <cellStyle name="Comma 3 5 13 2" xfId="11418"/>
    <cellStyle name="Comma 3 5 14" xfId="6039"/>
    <cellStyle name="Comma 3 5 15" xfId="7878"/>
    <cellStyle name="Comma 3 5 16" xfId="11470"/>
    <cellStyle name="Comma 3 5 17" xfId="13019"/>
    <cellStyle name="Comma 3 5 2" xfId="67"/>
    <cellStyle name="Comma 3 5 2 10" xfId="5451"/>
    <cellStyle name="Comma 3 5 2 10 2" xfId="10926"/>
    <cellStyle name="Comma 3 5 2 11" xfId="5998"/>
    <cellStyle name="Comma 3 5 2 11 2" xfId="11423"/>
    <cellStyle name="Comma 3 5 2 12" xfId="6043"/>
    <cellStyle name="Comma 3 5 2 13" xfId="7882"/>
    <cellStyle name="Comma 3 5 2 14" xfId="11471"/>
    <cellStyle name="Comma 3 5 2 15" xfId="13023"/>
    <cellStyle name="Comma 3 5 2 2" xfId="698"/>
    <cellStyle name="Comma 3 5 2 2 10" xfId="6071"/>
    <cellStyle name="Comma 3 5 2 2 11" xfId="7962"/>
    <cellStyle name="Comma 3 5 2 2 12" xfId="11572"/>
    <cellStyle name="Comma 3 5 2 2 13" xfId="13051"/>
    <cellStyle name="Comma 3 5 2 2 2" xfId="822"/>
    <cellStyle name="Comma 3 5 2 2 2 10" xfId="11696"/>
    <cellStyle name="Comma 3 5 2 2 2 11" xfId="13102"/>
    <cellStyle name="Comma 3 5 2 2 2 2" xfId="1070"/>
    <cellStyle name="Comma 3 5 2 2 2 2 10" xfId="11944"/>
    <cellStyle name="Comma 3 5 2 2 2 2 11" xfId="13690"/>
    <cellStyle name="Comma 3 5 2 2 2 2 2" xfId="1576"/>
    <cellStyle name="Comma 3 5 2 2 2 2 2 2" xfId="4391"/>
    <cellStyle name="Comma 3 5 2 2 2 2 2 2 2" xfId="9838"/>
    <cellStyle name="Comma 3 5 2 2 2 2 2 3" xfId="3381"/>
    <cellStyle name="Comma 3 5 2 2 2 2 2 4" xfId="7316"/>
    <cellStyle name="Comma 3 5 2 2 2 2 2 5" xfId="8830"/>
    <cellStyle name="Comma 3 5 2 2 2 2 2 6" xfId="12450"/>
    <cellStyle name="Comma 3 5 2 2 2 2 2 7" xfId="14196"/>
    <cellStyle name="Comma 3 5 2 2 2 2 3" xfId="2084"/>
    <cellStyle name="Comma 3 5 2 2 2 2 3 2" xfId="3897"/>
    <cellStyle name="Comma 3 5 2 2 2 2 3 3" xfId="7824"/>
    <cellStyle name="Comma 3 5 2 2 2 2 3 4" xfId="9342"/>
    <cellStyle name="Comma 3 5 2 2 2 2 3 5" xfId="12956"/>
    <cellStyle name="Comma 3 5 2 2 2 2 3 6" xfId="14702"/>
    <cellStyle name="Comma 3 5 2 2 2 2 4" xfId="4869"/>
    <cellStyle name="Comma 3 5 2 2 2 2 4 2" xfId="10340"/>
    <cellStyle name="Comma 3 5 2 2 2 2 5" xfId="5367"/>
    <cellStyle name="Comma 3 5 2 2 2 2 5 2" xfId="10842"/>
    <cellStyle name="Comma 3 5 2 2 2 2 6" xfId="5869"/>
    <cellStyle name="Comma 3 5 2 2 2 2 6 2" xfId="11344"/>
    <cellStyle name="Comma 3 5 2 2 2 2 7" xfId="2887"/>
    <cellStyle name="Comma 3 5 2 2 2 2 8" xfId="6810"/>
    <cellStyle name="Comma 3 5 2 2 2 2 9" xfId="8334"/>
    <cellStyle name="Comma 3 5 2 2 2 3" xfId="1328"/>
    <cellStyle name="Comma 3 5 2 2 2 3 2" xfId="4143"/>
    <cellStyle name="Comma 3 5 2 2 2 3 2 2" xfId="9590"/>
    <cellStyle name="Comma 3 5 2 2 2 3 3" xfId="3133"/>
    <cellStyle name="Comma 3 5 2 2 2 3 4" xfId="7068"/>
    <cellStyle name="Comma 3 5 2 2 2 3 5" xfId="8582"/>
    <cellStyle name="Comma 3 5 2 2 2 3 6" xfId="12202"/>
    <cellStyle name="Comma 3 5 2 2 2 3 7" xfId="13948"/>
    <cellStyle name="Comma 3 5 2 2 2 4" xfId="1836"/>
    <cellStyle name="Comma 3 5 2 2 2 4 2" xfId="3649"/>
    <cellStyle name="Comma 3 5 2 2 2 4 3" xfId="7576"/>
    <cellStyle name="Comma 3 5 2 2 2 4 4" xfId="9094"/>
    <cellStyle name="Comma 3 5 2 2 2 4 5" xfId="12708"/>
    <cellStyle name="Comma 3 5 2 2 2 4 6" xfId="14454"/>
    <cellStyle name="Comma 3 5 2 2 2 5" xfId="2354"/>
    <cellStyle name="Comma 3 5 2 2 2 5 2" xfId="6562"/>
    <cellStyle name="Comma 3 5 2 2 2 5 3" xfId="10092"/>
    <cellStyle name="Comma 3 5 2 2 2 5 4" xfId="13442"/>
    <cellStyle name="Comma 3 5 2 2 2 6" xfId="5119"/>
    <cellStyle name="Comma 3 5 2 2 2 6 2" xfId="10594"/>
    <cellStyle name="Comma 3 5 2 2 2 7" xfId="5621"/>
    <cellStyle name="Comma 3 5 2 2 2 7 2" xfId="11096"/>
    <cellStyle name="Comma 3 5 2 2 2 8" xfId="6122"/>
    <cellStyle name="Comma 3 5 2 2 2 9" xfId="8086"/>
    <cellStyle name="Comma 3 5 2 2 3" xfId="946"/>
    <cellStyle name="Comma 3 5 2 2 3 10" xfId="13153"/>
    <cellStyle name="Comma 3 5 2 2 3 2" xfId="1452"/>
    <cellStyle name="Comma 3 5 2 2 3 2 2" xfId="4267"/>
    <cellStyle name="Comma 3 5 2 2 3 2 2 2" xfId="9714"/>
    <cellStyle name="Comma 3 5 2 2 3 2 3" xfId="3257"/>
    <cellStyle name="Comma 3 5 2 2 3 2 4" xfId="7192"/>
    <cellStyle name="Comma 3 5 2 2 3 2 5" xfId="8706"/>
    <cellStyle name="Comma 3 5 2 2 3 2 6" xfId="12326"/>
    <cellStyle name="Comma 3 5 2 2 3 2 7" xfId="14072"/>
    <cellStyle name="Comma 3 5 2 2 3 3" xfId="1960"/>
    <cellStyle name="Comma 3 5 2 2 3 3 2" xfId="3773"/>
    <cellStyle name="Comma 3 5 2 2 3 3 3" xfId="7700"/>
    <cellStyle name="Comma 3 5 2 2 3 3 4" xfId="9218"/>
    <cellStyle name="Comma 3 5 2 2 3 3 5" xfId="12832"/>
    <cellStyle name="Comma 3 5 2 2 3 3 6" xfId="14578"/>
    <cellStyle name="Comma 3 5 2 2 3 4" xfId="2405"/>
    <cellStyle name="Comma 3 5 2 2 3 4 2" xfId="6686"/>
    <cellStyle name="Comma 3 5 2 2 3 4 3" xfId="10216"/>
    <cellStyle name="Comma 3 5 2 2 3 4 4" xfId="13566"/>
    <cellStyle name="Comma 3 5 2 2 3 5" xfId="5243"/>
    <cellStyle name="Comma 3 5 2 2 3 5 2" xfId="10718"/>
    <cellStyle name="Comma 3 5 2 2 3 6" xfId="5745"/>
    <cellStyle name="Comma 3 5 2 2 3 6 2" xfId="11220"/>
    <cellStyle name="Comma 3 5 2 2 3 7" xfId="6173"/>
    <cellStyle name="Comma 3 5 2 2 3 8" xfId="8210"/>
    <cellStyle name="Comma 3 5 2 2 3 9" xfId="11820"/>
    <cellStyle name="Comma 3 5 2 2 4" xfId="1204"/>
    <cellStyle name="Comma 3 5 2 2 4 2" xfId="2461"/>
    <cellStyle name="Comma 3 5 2 2 4 2 2" xfId="6944"/>
    <cellStyle name="Comma 3 5 2 2 4 2 3" xfId="9466"/>
    <cellStyle name="Comma 3 5 2 2 4 2 4" xfId="13824"/>
    <cellStyle name="Comma 3 5 2 2 4 3" xfId="6229"/>
    <cellStyle name="Comma 3 5 2 2 4 4" xfId="8458"/>
    <cellStyle name="Comma 3 5 2 2 4 5" xfId="12078"/>
    <cellStyle name="Comma 3 5 2 2 4 6" xfId="13209"/>
    <cellStyle name="Comma 3 5 2 2 5" xfId="1712"/>
    <cellStyle name="Comma 3 5 2 2 5 2" xfId="3525"/>
    <cellStyle name="Comma 3 5 2 2 5 3" xfId="7452"/>
    <cellStyle name="Comma 3 5 2 2 5 4" xfId="8970"/>
    <cellStyle name="Comma 3 5 2 2 5 5" xfId="12584"/>
    <cellStyle name="Comma 3 5 2 2 5 6" xfId="14330"/>
    <cellStyle name="Comma 3 5 2 2 6" xfId="2302"/>
    <cellStyle name="Comma 3 5 2 2 6 2" xfId="6438"/>
    <cellStyle name="Comma 3 5 2 2 6 3" xfId="9968"/>
    <cellStyle name="Comma 3 5 2 2 6 4" xfId="13318"/>
    <cellStyle name="Comma 3 5 2 2 7" xfId="4995"/>
    <cellStyle name="Comma 3 5 2 2 7 2" xfId="10470"/>
    <cellStyle name="Comma 3 5 2 2 8" xfId="5497"/>
    <cellStyle name="Comma 3 5 2 2 8 2" xfId="10972"/>
    <cellStyle name="Comma 3 5 2 2 9" xfId="6010"/>
    <cellStyle name="Comma 3 5 2 2 9 2" xfId="11453"/>
    <cellStyle name="Comma 3 5 2 3" xfId="776"/>
    <cellStyle name="Comma 3 5 2 3 10" xfId="11650"/>
    <cellStyle name="Comma 3 5 2 3 11" xfId="13062"/>
    <cellStyle name="Comma 3 5 2 3 2" xfId="1024"/>
    <cellStyle name="Comma 3 5 2 3 2 10" xfId="11898"/>
    <cellStyle name="Comma 3 5 2 3 2 11" xfId="13644"/>
    <cellStyle name="Comma 3 5 2 3 2 2" xfId="1530"/>
    <cellStyle name="Comma 3 5 2 3 2 2 2" xfId="4345"/>
    <cellStyle name="Comma 3 5 2 3 2 2 2 2" xfId="9792"/>
    <cellStyle name="Comma 3 5 2 3 2 2 3" xfId="3335"/>
    <cellStyle name="Comma 3 5 2 3 2 2 4" xfId="7270"/>
    <cellStyle name="Comma 3 5 2 3 2 2 5" xfId="8784"/>
    <cellStyle name="Comma 3 5 2 3 2 2 6" xfId="12404"/>
    <cellStyle name="Comma 3 5 2 3 2 2 7" xfId="14150"/>
    <cellStyle name="Comma 3 5 2 3 2 3" xfId="2038"/>
    <cellStyle name="Comma 3 5 2 3 2 3 2" xfId="3851"/>
    <cellStyle name="Comma 3 5 2 3 2 3 3" xfId="7778"/>
    <cellStyle name="Comma 3 5 2 3 2 3 4" xfId="9296"/>
    <cellStyle name="Comma 3 5 2 3 2 3 5" xfId="12910"/>
    <cellStyle name="Comma 3 5 2 3 2 3 6" xfId="14656"/>
    <cellStyle name="Comma 3 5 2 3 2 4" xfId="4823"/>
    <cellStyle name="Comma 3 5 2 3 2 4 2" xfId="10294"/>
    <cellStyle name="Comma 3 5 2 3 2 5" xfId="5321"/>
    <cellStyle name="Comma 3 5 2 3 2 5 2" xfId="10796"/>
    <cellStyle name="Comma 3 5 2 3 2 6" xfId="5823"/>
    <cellStyle name="Comma 3 5 2 3 2 6 2" xfId="11298"/>
    <cellStyle name="Comma 3 5 2 3 2 7" xfId="2841"/>
    <cellStyle name="Comma 3 5 2 3 2 8" xfId="6764"/>
    <cellStyle name="Comma 3 5 2 3 2 9" xfId="8288"/>
    <cellStyle name="Comma 3 5 2 3 3" xfId="1282"/>
    <cellStyle name="Comma 3 5 2 3 3 2" xfId="4097"/>
    <cellStyle name="Comma 3 5 2 3 3 2 2" xfId="9544"/>
    <cellStyle name="Comma 3 5 2 3 3 3" xfId="3087"/>
    <cellStyle name="Comma 3 5 2 3 3 4" xfId="7022"/>
    <cellStyle name="Comma 3 5 2 3 3 5" xfId="8536"/>
    <cellStyle name="Comma 3 5 2 3 3 6" xfId="12156"/>
    <cellStyle name="Comma 3 5 2 3 3 7" xfId="13902"/>
    <cellStyle name="Comma 3 5 2 3 4" xfId="1790"/>
    <cellStyle name="Comma 3 5 2 3 4 2" xfId="3603"/>
    <cellStyle name="Comma 3 5 2 3 4 3" xfId="7530"/>
    <cellStyle name="Comma 3 5 2 3 4 4" xfId="9048"/>
    <cellStyle name="Comma 3 5 2 3 4 5" xfId="12662"/>
    <cellStyle name="Comma 3 5 2 3 4 6" xfId="14408"/>
    <cellStyle name="Comma 3 5 2 3 5" xfId="2313"/>
    <cellStyle name="Comma 3 5 2 3 5 2" xfId="6516"/>
    <cellStyle name="Comma 3 5 2 3 5 3" xfId="10046"/>
    <cellStyle name="Comma 3 5 2 3 5 4" xfId="13396"/>
    <cellStyle name="Comma 3 5 2 3 6" xfId="5073"/>
    <cellStyle name="Comma 3 5 2 3 6 2" xfId="10548"/>
    <cellStyle name="Comma 3 5 2 3 7" xfId="5575"/>
    <cellStyle name="Comma 3 5 2 3 7 2" xfId="11050"/>
    <cellStyle name="Comma 3 5 2 3 8" xfId="6082"/>
    <cellStyle name="Comma 3 5 2 3 9" xfId="8040"/>
    <cellStyle name="Comma 3 5 2 4" xfId="652"/>
    <cellStyle name="Comma 3 5 2 4 10" xfId="13113"/>
    <cellStyle name="Comma 3 5 2 4 2" xfId="1158"/>
    <cellStyle name="Comma 3 5 2 4 2 2" xfId="4221"/>
    <cellStyle name="Comma 3 5 2 4 2 2 2" xfId="9668"/>
    <cellStyle name="Comma 3 5 2 4 2 3" xfId="3211"/>
    <cellStyle name="Comma 3 5 2 4 2 4" xfId="6898"/>
    <cellStyle name="Comma 3 5 2 4 2 5" xfId="8660"/>
    <cellStyle name="Comma 3 5 2 4 2 6" xfId="12032"/>
    <cellStyle name="Comma 3 5 2 4 2 7" xfId="13778"/>
    <cellStyle name="Comma 3 5 2 4 3" xfId="1666"/>
    <cellStyle name="Comma 3 5 2 4 3 2" xfId="3479"/>
    <cellStyle name="Comma 3 5 2 4 3 3" xfId="7406"/>
    <cellStyle name="Comma 3 5 2 4 3 4" xfId="8924"/>
    <cellStyle name="Comma 3 5 2 4 3 5" xfId="12538"/>
    <cellStyle name="Comma 3 5 2 4 3 6" xfId="14284"/>
    <cellStyle name="Comma 3 5 2 4 4" xfId="2365"/>
    <cellStyle name="Comma 3 5 2 4 4 2" xfId="6392"/>
    <cellStyle name="Comma 3 5 2 4 4 3" xfId="10170"/>
    <cellStyle name="Comma 3 5 2 4 4 4" xfId="13272"/>
    <cellStyle name="Comma 3 5 2 4 5" xfId="5197"/>
    <cellStyle name="Comma 3 5 2 4 5 2" xfId="10672"/>
    <cellStyle name="Comma 3 5 2 4 6" xfId="5699"/>
    <cellStyle name="Comma 3 5 2 4 6 2" xfId="11174"/>
    <cellStyle name="Comma 3 5 2 4 7" xfId="6133"/>
    <cellStyle name="Comma 3 5 2 4 8" xfId="7916"/>
    <cellStyle name="Comma 3 5 2 4 9" xfId="11526"/>
    <cellStyle name="Comma 3 5 2 5" xfId="900"/>
    <cellStyle name="Comma 3 5 2 5 2" xfId="1406"/>
    <cellStyle name="Comma 3 5 2 5 2 2" xfId="3727"/>
    <cellStyle name="Comma 3 5 2 5 2 3" xfId="7146"/>
    <cellStyle name="Comma 3 5 2 5 2 4" xfId="9172"/>
    <cellStyle name="Comma 3 5 2 5 2 5" xfId="12280"/>
    <cellStyle name="Comma 3 5 2 5 2 6" xfId="14026"/>
    <cellStyle name="Comma 3 5 2 5 3" xfId="1914"/>
    <cellStyle name="Comma 3 5 2 5 3 2" xfId="7654"/>
    <cellStyle name="Comma 3 5 2 5 3 3" xfId="12786"/>
    <cellStyle name="Comma 3 5 2 5 3 4" xfId="14532"/>
    <cellStyle name="Comma 3 5 2 5 4" xfId="2433"/>
    <cellStyle name="Comma 3 5 2 5 4 2" xfId="6640"/>
    <cellStyle name="Comma 3 5 2 5 4 3" xfId="13520"/>
    <cellStyle name="Comma 3 5 2 5 5" xfId="6201"/>
    <cellStyle name="Comma 3 5 2 5 6" xfId="8164"/>
    <cellStyle name="Comma 3 5 2 5 7" xfId="11774"/>
    <cellStyle name="Comma 3 5 2 5 8" xfId="13181"/>
    <cellStyle name="Comma 3 5 2 6" xfId="205"/>
    <cellStyle name="Comma 3 5 2 6 2" xfId="3975"/>
    <cellStyle name="Comma 3 5 2 6 2 2" xfId="9420"/>
    <cellStyle name="Comma 3 5 2 6 3" xfId="2965"/>
    <cellStyle name="Comma 3 5 2 6 4" xfId="6274"/>
    <cellStyle name="Comma 3 5 2 6 5" xfId="8412"/>
    <cellStyle name="Comma 3 5 2 6 6" xfId="11492"/>
    <cellStyle name="Comma 3 5 2 6 7" xfId="13238"/>
    <cellStyle name="Comma 3 5 2 7" xfId="1124"/>
    <cellStyle name="Comma 3 5 2 7 2" xfId="3445"/>
    <cellStyle name="Comma 3 5 2 7 3" xfId="6864"/>
    <cellStyle name="Comma 3 5 2 7 4" xfId="8890"/>
    <cellStyle name="Comma 3 5 2 7 5" xfId="11998"/>
    <cellStyle name="Comma 3 5 2 7 6" xfId="13744"/>
    <cellStyle name="Comma 3 5 2 8" xfId="1631"/>
    <cellStyle name="Comma 3 5 2 8 2" xfId="4475"/>
    <cellStyle name="Comma 3 5 2 8 3" xfId="7371"/>
    <cellStyle name="Comma 3 5 2 8 4" xfId="9922"/>
    <cellStyle name="Comma 3 5 2 8 5" xfId="12504"/>
    <cellStyle name="Comma 3 5 2 8 6" xfId="14250"/>
    <cellStyle name="Comma 3 5 2 9" xfId="2184"/>
    <cellStyle name="Comma 3 5 2 9 2" xfId="6240"/>
    <cellStyle name="Comma 3 5 2 9 3" xfId="10424"/>
    <cellStyle name="Comma 3 5 2 9 4" xfId="13217"/>
    <cellStyle name="Comma 3 5 3" xfId="672"/>
    <cellStyle name="Comma 3 5 3 10" xfId="6007"/>
    <cellStyle name="Comma 3 5 3 10 2" xfId="11449"/>
    <cellStyle name="Comma 3 5 3 11" xfId="6067"/>
    <cellStyle name="Comma 3 5 3 12" xfId="7936"/>
    <cellStyle name="Comma 3 5 3 13" xfId="11546"/>
    <cellStyle name="Comma 3 5 3 14" xfId="13047"/>
    <cellStyle name="Comma 3 5 3 2" xfId="699"/>
    <cellStyle name="Comma 3 5 3 2 10" xfId="7963"/>
    <cellStyle name="Comma 3 5 3 2 11" xfId="11573"/>
    <cellStyle name="Comma 3 5 3 2 12" xfId="13098"/>
    <cellStyle name="Comma 3 5 3 2 2" xfId="823"/>
    <cellStyle name="Comma 3 5 3 2 2 10" xfId="8087"/>
    <cellStyle name="Comma 3 5 3 2 2 11" xfId="11697"/>
    <cellStyle name="Comma 3 5 3 2 2 12" xfId="13443"/>
    <cellStyle name="Comma 3 5 3 2 2 2" xfId="1071"/>
    <cellStyle name="Comma 3 5 3 2 2 2 10" xfId="11945"/>
    <cellStyle name="Comma 3 5 3 2 2 2 11" xfId="13691"/>
    <cellStyle name="Comma 3 5 3 2 2 2 2" xfId="1577"/>
    <cellStyle name="Comma 3 5 3 2 2 2 2 2" xfId="4392"/>
    <cellStyle name="Comma 3 5 3 2 2 2 2 2 2" xfId="9839"/>
    <cellStyle name="Comma 3 5 3 2 2 2 2 3" xfId="3382"/>
    <cellStyle name="Comma 3 5 3 2 2 2 2 4" xfId="7317"/>
    <cellStyle name="Comma 3 5 3 2 2 2 2 5" xfId="8831"/>
    <cellStyle name="Comma 3 5 3 2 2 2 2 6" xfId="12451"/>
    <cellStyle name="Comma 3 5 3 2 2 2 2 7" xfId="14197"/>
    <cellStyle name="Comma 3 5 3 2 2 2 3" xfId="2085"/>
    <cellStyle name="Comma 3 5 3 2 2 2 3 2" xfId="3898"/>
    <cellStyle name="Comma 3 5 3 2 2 2 3 3" xfId="7825"/>
    <cellStyle name="Comma 3 5 3 2 2 2 3 4" xfId="9343"/>
    <cellStyle name="Comma 3 5 3 2 2 2 3 5" xfId="12957"/>
    <cellStyle name="Comma 3 5 3 2 2 2 3 6" xfId="14703"/>
    <cellStyle name="Comma 3 5 3 2 2 2 4" xfId="4870"/>
    <cellStyle name="Comma 3 5 3 2 2 2 4 2" xfId="10341"/>
    <cellStyle name="Comma 3 5 3 2 2 2 5" xfId="5368"/>
    <cellStyle name="Comma 3 5 3 2 2 2 5 2" xfId="10843"/>
    <cellStyle name="Comma 3 5 3 2 2 2 6" xfId="5870"/>
    <cellStyle name="Comma 3 5 3 2 2 2 6 2" xfId="11345"/>
    <cellStyle name="Comma 3 5 3 2 2 2 7" xfId="2888"/>
    <cellStyle name="Comma 3 5 3 2 2 2 8" xfId="6811"/>
    <cellStyle name="Comma 3 5 3 2 2 2 9" xfId="8335"/>
    <cellStyle name="Comma 3 5 3 2 2 3" xfId="1329"/>
    <cellStyle name="Comma 3 5 3 2 2 3 2" xfId="4144"/>
    <cellStyle name="Comma 3 5 3 2 2 3 2 2" xfId="9591"/>
    <cellStyle name="Comma 3 5 3 2 2 3 3" xfId="3134"/>
    <cellStyle name="Comma 3 5 3 2 2 3 4" xfId="7069"/>
    <cellStyle name="Comma 3 5 3 2 2 3 5" xfId="8583"/>
    <cellStyle name="Comma 3 5 3 2 2 3 6" xfId="12203"/>
    <cellStyle name="Comma 3 5 3 2 2 3 7" xfId="13949"/>
    <cellStyle name="Comma 3 5 3 2 2 4" xfId="1837"/>
    <cellStyle name="Comma 3 5 3 2 2 4 2" xfId="3650"/>
    <cellStyle name="Comma 3 5 3 2 2 4 3" xfId="7577"/>
    <cellStyle name="Comma 3 5 3 2 2 4 4" xfId="9095"/>
    <cellStyle name="Comma 3 5 3 2 2 4 5" xfId="12709"/>
    <cellStyle name="Comma 3 5 3 2 2 4 6" xfId="14455"/>
    <cellStyle name="Comma 3 5 3 2 2 5" xfId="4631"/>
    <cellStyle name="Comma 3 5 3 2 2 5 2" xfId="10093"/>
    <cellStyle name="Comma 3 5 3 2 2 6" xfId="5120"/>
    <cellStyle name="Comma 3 5 3 2 2 6 2" xfId="10595"/>
    <cellStyle name="Comma 3 5 3 2 2 7" xfId="5622"/>
    <cellStyle name="Comma 3 5 3 2 2 7 2" xfId="11097"/>
    <cellStyle name="Comma 3 5 3 2 2 8" xfId="2647"/>
    <cellStyle name="Comma 3 5 3 2 2 9" xfId="6563"/>
    <cellStyle name="Comma 3 5 3 2 3" xfId="947"/>
    <cellStyle name="Comma 3 5 3 2 3 10" xfId="11821"/>
    <cellStyle name="Comma 3 5 3 2 3 11" xfId="13567"/>
    <cellStyle name="Comma 3 5 3 2 3 2" xfId="1453"/>
    <cellStyle name="Comma 3 5 3 2 3 2 2" xfId="4268"/>
    <cellStyle name="Comma 3 5 3 2 3 2 2 2" xfId="9715"/>
    <cellStyle name="Comma 3 5 3 2 3 2 3" xfId="3258"/>
    <cellStyle name="Comma 3 5 3 2 3 2 4" xfId="7193"/>
    <cellStyle name="Comma 3 5 3 2 3 2 5" xfId="8707"/>
    <cellStyle name="Comma 3 5 3 2 3 2 6" xfId="12327"/>
    <cellStyle name="Comma 3 5 3 2 3 2 7" xfId="14073"/>
    <cellStyle name="Comma 3 5 3 2 3 3" xfId="1961"/>
    <cellStyle name="Comma 3 5 3 2 3 3 2" xfId="3774"/>
    <cellStyle name="Comma 3 5 3 2 3 3 3" xfId="7701"/>
    <cellStyle name="Comma 3 5 3 2 3 3 4" xfId="9219"/>
    <cellStyle name="Comma 3 5 3 2 3 3 5" xfId="12833"/>
    <cellStyle name="Comma 3 5 3 2 3 3 6" xfId="14579"/>
    <cellStyle name="Comma 3 5 3 2 3 4" xfId="4747"/>
    <cellStyle name="Comma 3 5 3 2 3 4 2" xfId="10217"/>
    <cellStyle name="Comma 3 5 3 2 3 5" xfId="5244"/>
    <cellStyle name="Comma 3 5 3 2 3 5 2" xfId="10719"/>
    <cellStyle name="Comma 3 5 3 2 3 6" xfId="5746"/>
    <cellStyle name="Comma 3 5 3 2 3 6 2" xfId="11221"/>
    <cellStyle name="Comma 3 5 3 2 3 7" xfId="2765"/>
    <cellStyle name="Comma 3 5 3 2 3 8" xfId="6687"/>
    <cellStyle name="Comma 3 5 3 2 3 9" xfId="8211"/>
    <cellStyle name="Comma 3 5 3 2 4" xfId="1205"/>
    <cellStyle name="Comma 3 5 3 2 4 2" xfId="4021"/>
    <cellStyle name="Comma 3 5 3 2 4 2 2" xfId="9467"/>
    <cellStyle name="Comma 3 5 3 2 4 3" xfId="3011"/>
    <cellStyle name="Comma 3 5 3 2 4 4" xfId="6945"/>
    <cellStyle name="Comma 3 5 3 2 4 5" xfId="8459"/>
    <cellStyle name="Comma 3 5 3 2 4 6" xfId="12079"/>
    <cellStyle name="Comma 3 5 3 2 4 7" xfId="13825"/>
    <cellStyle name="Comma 3 5 3 2 5" xfId="1713"/>
    <cellStyle name="Comma 3 5 3 2 5 2" xfId="3526"/>
    <cellStyle name="Comma 3 5 3 2 5 3" xfId="7453"/>
    <cellStyle name="Comma 3 5 3 2 5 4" xfId="8971"/>
    <cellStyle name="Comma 3 5 3 2 5 5" xfId="12585"/>
    <cellStyle name="Comma 3 5 3 2 5 6" xfId="14331"/>
    <cellStyle name="Comma 3 5 3 2 6" xfId="2350"/>
    <cellStyle name="Comma 3 5 3 2 6 2" xfId="6439"/>
    <cellStyle name="Comma 3 5 3 2 6 3" xfId="9969"/>
    <cellStyle name="Comma 3 5 3 2 6 4" xfId="13319"/>
    <cellStyle name="Comma 3 5 3 2 7" xfId="4996"/>
    <cellStyle name="Comma 3 5 3 2 7 2" xfId="10471"/>
    <cellStyle name="Comma 3 5 3 2 8" xfId="5498"/>
    <cellStyle name="Comma 3 5 3 2 8 2" xfId="10973"/>
    <cellStyle name="Comma 3 5 3 2 9" xfId="6118"/>
    <cellStyle name="Comma 3 5 3 3" xfId="796"/>
    <cellStyle name="Comma 3 5 3 3 10" xfId="11670"/>
    <cellStyle name="Comma 3 5 3 3 11" xfId="13149"/>
    <cellStyle name="Comma 3 5 3 3 2" xfId="1044"/>
    <cellStyle name="Comma 3 5 3 3 2 10" xfId="11918"/>
    <cellStyle name="Comma 3 5 3 3 2 11" xfId="13664"/>
    <cellStyle name="Comma 3 5 3 3 2 2" xfId="1550"/>
    <cellStyle name="Comma 3 5 3 3 2 2 2" xfId="4365"/>
    <cellStyle name="Comma 3 5 3 3 2 2 2 2" xfId="9812"/>
    <cellStyle name="Comma 3 5 3 3 2 2 3" xfId="3355"/>
    <cellStyle name="Comma 3 5 3 3 2 2 4" xfId="7290"/>
    <cellStyle name="Comma 3 5 3 3 2 2 5" xfId="8804"/>
    <cellStyle name="Comma 3 5 3 3 2 2 6" xfId="12424"/>
    <cellStyle name="Comma 3 5 3 3 2 2 7" xfId="14170"/>
    <cellStyle name="Comma 3 5 3 3 2 3" xfId="2058"/>
    <cellStyle name="Comma 3 5 3 3 2 3 2" xfId="3871"/>
    <cellStyle name="Comma 3 5 3 3 2 3 3" xfId="7798"/>
    <cellStyle name="Comma 3 5 3 3 2 3 4" xfId="9316"/>
    <cellStyle name="Comma 3 5 3 3 2 3 5" xfId="12930"/>
    <cellStyle name="Comma 3 5 3 3 2 3 6" xfId="14676"/>
    <cellStyle name="Comma 3 5 3 3 2 4" xfId="4843"/>
    <cellStyle name="Comma 3 5 3 3 2 4 2" xfId="10314"/>
    <cellStyle name="Comma 3 5 3 3 2 5" xfId="5341"/>
    <cellStyle name="Comma 3 5 3 3 2 5 2" xfId="10816"/>
    <cellStyle name="Comma 3 5 3 3 2 6" xfId="5843"/>
    <cellStyle name="Comma 3 5 3 3 2 6 2" xfId="11318"/>
    <cellStyle name="Comma 3 5 3 3 2 7" xfId="2861"/>
    <cellStyle name="Comma 3 5 3 3 2 8" xfId="6784"/>
    <cellStyle name="Comma 3 5 3 3 2 9" xfId="8308"/>
    <cellStyle name="Comma 3 5 3 3 3" xfId="1302"/>
    <cellStyle name="Comma 3 5 3 3 3 2" xfId="4117"/>
    <cellStyle name="Comma 3 5 3 3 3 2 2" xfId="9564"/>
    <cellStyle name="Comma 3 5 3 3 3 3" xfId="3107"/>
    <cellStyle name="Comma 3 5 3 3 3 4" xfId="7042"/>
    <cellStyle name="Comma 3 5 3 3 3 5" xfId="8556"/>
    <cellStyle name="Comma 3 5 3 3 3 6" xfId="12176"/>
    <cellStyle name="Comma 3 5 3 3 3 7" xfId="13922"/>
    <cellStyle name="Comma 3 5 3 3 4" xfId="1810"/>
    <cellStyle name="Comma 3 5 3 3 4 2" xfId="3623"/>
    <cellStyle name="Comma 3 5 3 3 4 3" xfId="7550"/>
    <cellStyle name="Comma 3 5 3 3 4 4" xfId="9068"/>
    <cellStyle name="Comma 3 5 3 3 4 5" xfId="12682"/>
    <cellStyle name="Comma 3 5 3 3 4 6" xfId="14428"/>
    <cellStyle name="Comma 3 5 3 3 5" xfId="2401"/>
    <cellStyle name="Comma 3 5 3 3 5 2" xfId="6536"/>
    <cellStyle name="Comma 3 5 3 3 5 3" xfId="10066"/>
    <cellStyle name="Comma 3 5 3 3 5 4" xfId="13416"/>
    <cellStyle name="Comma 3 5 3 3 6" xfId="5093"/>
    <cellStyle name="Comma 3 5 3 3 6 2" xfId="10568"/>
    <cellStyle name="Comma 3 5 3 3 7" xfId="5595"/>
    <cellStyle name="Comma 3 5 3 3 7 2" xfId="11070"/>
    <cellStyle name="Comma 3 5 3 3 8" xfId="6169"/>
    <cellStyle name="Comma 3 5 3 3 9" xfId="8060"/>
    <cellStyle name="Comma 3 5 3 4" xfId="920"/>
    <cellStyle name="Comma 3 5 3 4 10" xfId="13205"/>
    <cellStyle name="Comma 3 5 3 4 2" xfId="1426"/>
    <cellStyle name="Comma 3 5 3 4 2 2" xfId="4241"/>
    <cellStyle name="Comma 3 5 3 4 2 2 2" xfId="9688"/>
    <cellStyle name="Comma 3 5 3 4 2 3" xfId="3231"/>
    <cellStyle name="Comma 3 5 3 4 2 4" xfId="7166"/>
    <cellStyle name="Comma 3 5 3 4 2 5" xfId="8680"/>
    <cellStyle name="Comma 3 5 3 4 2 6" xfId="12300"/>
    <cellStyle name="Comma 3 5 3 4 2 7" xfId="14046"/>
    <cellStyle name="Comma 3 5 3 4 3" xfId="1934"/>
    <cellStyle name="Comma 3 5 3 4 3 2" xfId="3747"/>
    <cellStyle name="Comma 3 5 3 4 3 3" xfId="7674"/>
    <cellStyle name="Comma 3 5 3 4 3 4" xfId="9192"/>
    <cellStyle name="Comma 3 5 3 4 3 5" xfId="12806"/>
    <cellStyle name="Comma 3 5 3 4 3 6" xfId="14552"/>
    <cellStyle name="Comma 3 5 3 4 4" xfId="2457"/>
    <cellStyle name="Comma 3 5 3 4 4 2" xfId="6660"/>
    <cellStyle name="Comma 3 5 3 4 4 3" xfId="10190"/>
    <cellStyle name="Comma 3 5 3 4 4 4" xfId="13540"/>
    <cellStyle name="Comma 3 5 3 4 5" xfId="5217"/>
    <cellStyle name="Comma 3 5 3 4 5 2" xfId="10692"/>
    <cellStyle name="Comma 3 5 3 4 6" xfId="5719"/>
    <cellStyle name="Comma 3 5 3 4 6 2" xfId="11194"/>
    <cellStyle name="Comma 3 5 3 4 7" xfId="6225"/>
    <cellStyle name="Comma 3 5 3 4 8" xfId="8184"/>
    <cellStyle name="Comma 3 5 3 4 9" xfId="11794"/>
    <cellStyle name="Comma 3 5 3 5" xfId="1178"/>
    <cellStyle name="Comma 3 5 3 5 2" xfId="3995"/>
    <cellStyle name="Comma 3 5 3 5 2 2" xfId="9440"/>
    <cellStyle name="Comma 3 5 3 5 3" xfId="2985"/>
    <cellStyle name="Comma 3 5 3 5 4" xfId="6918"/>
    <cellStyle name="Comma 3 5 3 5 5" xfId="8432"/>
    <cellStyle name="Comma 3 5 3 5 6" xfId="12052"/>
    <cellStyle name="Comma 3 5 3 5 7" xfId="13798"/>
    <cellStyle name="Comma 3 5 3 6" xfId="1686"/>
    <cellStyle name="Comma 3 5 3 6 2" xfId="3499"/>
    <cellStyle name="Comma 3 5 3 6 3" xfId="7426"/>
    <cellStyle name="Comma 3 5 3 6 4" xfId="8944"/>
    <cellStyle name="Comma 3 5 3 6 5" xfId="12558"/>
    <cellStyle name="Comma 3 5 3 6 6" xfId="14304"/>
    <cellStyle name="Comma 3 5 3 7" xfId="2260"/>
    <cellStyle name="Comma 3 5 3 7 2" xfId="6412"/>
    <cellStyle name="Comma 3 5 3 7 3" xfId="9942"/>
    <cellStyle name="Comma 3 5 3 7 4" xfId="13292"/>
    <cellStyle name="Comma 3 5 3 8" xfId="4969"/>
    <cellStyle name="Comma 3 5 3 8 2" xfId="10444"/>
    <cellStyle name="Comma 3 5 3 9" xfId="5471"/>
    <cellStyle name="Comma 3 5 3 9 2" xfId="10946"/>
    <cellStyle name="Comma 3 5 4" xfId="697"/>
    <cellStyle name="Comma 3 5 4 10" xfId="7961"/>
    <cellStyle name="Comma 3 5 4 11" xfId="11571"/>
    <cellStyle name="Comma 3 5 4 12" xfId="13058"/>
    <cellStyle name="Comma 3 5 4 2" xfId="821"/>
    <cellStyle name="Comma 3 5 4 2 10" xfId="8085"/>
    <cellStyle name="Comma 3 5 4 2 11" xfId="11695"/>
    <cellStyle name="Comma 3 5 4 2 12" xfId="13441"/>
    <cellStyle name="Comma 3 5 4 2 2" xfId="1069"/>
    <cellStyle name="Comma 3 5 4 2 2 10" xfId="11943"/>
    <cellStyle name="Comma 3 5 4 2 2 11" xfId="13689"/>
    <cellStyle name="Comma 3 5 4 2 2 2" xfId="1575"/>
    <cellStyle name="Comma 3 5 4 2 2 2 2" xfId="4390"/>
    <cellStyle name="Comma 3 5 4 2 2 2 2 2" xfId="9837"/>
    <cellStyle name="Comma 3 5 4 2 2 2 3" xfId="3380"/>
    <cellStyle name="Comma 3 5 4 2 2 2 4" xfId="7315"/>
    <cellStyle name="Comma 3 5 4 2 2 2 5" xfId="8829"/>
    <cellStyle name="Comma 3 5 4 2 2 2 6" xfId="12449"/>
    <cellStyle name="Comma 3 5 4 2 2 2 7" xfId="14195"/>
    <cellStyle name="Comma 3 5 4 2 2 3" xfId="2083"/>
    <cellStyle name="Comma 3 5 4 2 2 3 2" xfId="3896"/>
    <cellStyle name="Comma 3 5 4 2 2 3 3" xfId="7823"/>
    <cellStyle name="Comma 3 5 4 2 2 3 4" xfId="9341"/>
    <cellStyle name="Comma 3 5 4 2 2 3 5" xfId="12955"/>
    <cellStyle name="Comma 3 5 4 2 2 3 6" xfId="14701"/>
    <cellStyle name="Comma 3 5 4 2 2 4" xfId="4868"/>
    <cellStyle name="Comma 3 5 4 2 2 4 2" xfId="10339"/>
    <cellStyle name="Comma 3 5 4 2 2 5" xfId="5366"/>
    <cellStyle name="Comma 3 5 4 2 2 5 2" xfId="10841"/>
    <cellStyle name="Comma 3 5 4 2 2 6" xfId="5868"/>
    <cellStyle name="Comma 3 5 4 2 2 6 2" xfId="11343"/>
    <cellStyle name="Comma 3 5 4 2 2 7" xfId="2886"/>
    <cellStyle name="Comma 3 5 4 2 2 8" xfId="6809"/>
    <cellStyle name="Comma 3 5 4 2 2 9" xfId="8333"/>
    <cellStyle name="Comma 3 5 4 2 3" xfId="1327"/>
    <cellStyle name="Comma 3 5 4 2 3 2" xfId="4142"/>
    <cellStyle name="Comma 3 5 4 2 3 2 2" xfId="9589"/>
    <cellStyle name="Comma 3 5 4 2 3 3" xfId="3132"/>
    <cellStyle name="Comma 3 5 4 2 3 4" xfId="7067"/>
    <cellStyle name="Comma 3 5 4 2 3 5" xfId="8581"/>
    <cellStyle name="Comma 3 5 4 2 3 6" xfId="12201"/>
    <cellStyle name="Comma 3 5 4 2 3 7" xfId="13947"/>
    <cellStyle name="Comma 3 5 4 2 4" xfId="1835"/>
    <cellStyle name="Comma 3 5 4 2 4 2" xfId="3648"/>
    <cellStyle name="Comma 3 5 4 2 4 3" xfId="7575"/>
    <cellStyle name="Comma 3 5 4 2 4 4" xfId="9093"/>
    <cellStyle name="Comma 3 5 4 2 4 5" xfId="12707"/>
    <cellStyle name="Comma 3 5 4 2 4 6" xfId="14453"/>
    <cellStyle name="Comma 3 5 4 2 5" xfId="4630"/>
    <cellStyle name="Comma 3 5 4 2 5 2" xfId="10091"/>
    <cellStyle name="Comma 3 5 4 2 6" xfId="5118"/>
    <cellStyle name="Comma 3 5 4 2 6 2" xfId="10593"/>
    <cellStyle name="Comma 3 5 4 2 7" xfId="5620"/>
    <cellStyle name="Comma 3 5 4 2 7 2" xfId="11095"/>
    <cellStyle name="Comma 3 5 4 2 8" xfId="2646"/>
    <cellStyle name="Comma 3 5 4 2 9" xfId="6561"/>
    <cellStyle name="Comma 3 5 4 3" xfId="945"/>
    <cellStyle name="Comma 3 5 4 3 10" xfId="11819"/>
    <cellStyle name="Comma 3 5 4 3 11" xfId="13565"/>
    <cellStyle name="Comma 3 5 4 3 2" xfId="1451"/>
    <cellStyle name="Comma 3 5 4 3 2 2" xfId="4266"/>
    <cellStyle name="Comma 3 5 4 3 2 2 2" xfId="9713"/>
    <cellStyle name="Comma 3 5 4 3 2 3" xfId="3256"/>
    <cellStyle name="Comma 3 5 4 3 2 4" xfId="7191"/>
    <cellStyle name="Comma 3 5 4 3 2 5" xfId="8705"/>
    <cellStyle name="Comma 3 5 4 3 2 6" xfId="12325"/>
    <cellStyle name="Comma 3 5 4 3 2 7" xfId="14071"/>
    <cellStyle name="Comma 3 5 4 3 3" xfId="1959"/>
    <cellStyle name="Comma 3 5 4 3 3 2" xfId="3772"/>
    <cellStyle name="Comma 3 5 4 3 3 3" xfId="7699"/>
    <cellStyle name="Comma 3 5 4 3 3 4" xfId="9217"/>
    <cellStyle name="Comma 3 5 4 3 3 5" xfId="12831"/>
    <cellStyle name="Comma 3 5 4 3 3 6" xfId="14577"/>
    <cellStyle name="Comma 3 5 4 3 4" xfId="4746"/>
    <cellStyle name="Comma 3 5 4 3 4 2" xfId="10215"/>
    <cellStyle name="Comma 3 5 4 3 5" xfId="5242"/>
    <cellStyle name="Comma 3 5 4 3 5 2" xfId="10717"/>
    <cellStyle name="Comma 3 5 4 3 6" xfId="5744"/>
    <cellStyle name="Comma 3 5 4 3 6 2" xfId="11219"/>
    <cellStyle name="Comma 3 5 4 3 7" xfId="2764"/>
    <cellStyle name="Comma 3 5 4 3 8" xfId="6685"/>
    <cellStyle name="Comma 3 5 4 3 9" xfId="8209"/>
    <cellStyle name="Comma 3 5 4 4" xfId="1203"/>
    <cellStyle name="Comma 3 5 4 4 2" xfId="4020"/>
    <cellStyle name="Comma 3 5 4 4 2 2" xfId="9465"/>
    <cellStyle name="Comma 3 5 4 4 3" xfId="3010"/>
    <cellStyle name="Comma 3 5 4 4 4" xfId="6943"/>
    <cellStyle name="Comma 3 5 4 4 5" xfId="8457"/>
    <cellStyle name="Comma 3 5 4 4 6" xfId="12077"/>
    <cellStyle name="Comma 3 5 4 4 7" xfId="13823"/>
    <cellStyle name="Comma 3 5 4 5" xfId="1711"/>
    <cellStyle name="Comma 3 5 4 5 2" xfId="3524"/>
    <cellStyle name="Comma 3 5 4 5 3" xfId="7451"/>
    <cellStyle name="Comma 3 5 4 5 4" xfId="8969"/>
    <cellStyle name="Comma 3 5 4 5 5" xfId="12583"/>
    <cellStyle name="Comma 3 5 4 5 6" xfId="14329"/>
    <cellStyle name="Comma 3 5 4 6" xfId="2309"/>
    <cellStyle name="Comma 3 5 4 6 2" xfId="6437"/>
    <cellStyle name="Comma 3 5 4 6 3" xfId="9967"/>
    <cellStyle name="Comma 3 5 4 6 4" xfId="13317"/>
    <cellStyle name="Comma 3 5 4 7" xfId="4994"/>
    <cellStyle name="Comma 3 5 4 7 2" xfId="10469"/>
    <cellStyle name="Comma 3 5 4 8" xfId="5496"/>
    <cellStyle name="Comma 3 5 4 8 2" xfId="10971"/>
    <cellStyle name="Comma 3 5 4 9" xfId="6078"/>
    <cellStyle name="Comma 3 5 5" xfId="754"/>
    <cellStyle name="Comma 3 5 5 10" xfId="11628"/>
    <cellStyle name="Comma 3 5 5 11" xfId="13109"/>
    <cellStyle name="Comma 3 5 5 2" xfId="1002"/>
    <cellStyle name="Comma 3 5 5 2 10" xfId="11876"/>
    <cellStyle name="Comma 3 5 5 2 11" xfId="13622"/>
    <cellStyle name="Comma 3 5 5 2 2" xfId="1508"/>
    <cellStyle name="Comma 3 5 5 2 2 2" xfId="4323"/>
    <cellStyle name="Comma 3 5 5 2 2 2 2" xfId="9770"/>
    <cellStyle name="Comma 3 5 5 2 2 3" xfId="3313"/>
    <cellStyle name="Comma 3 5 5 2 2 4" xfId="7248"/>
    <cellStyle name="Comma 3 5 5 2 2 5" xfId="8762"/>
    <cellStyle name="Comma 3 5 5 2 2 6" xfId="12382"/>
    <cellStyle name="Comma 3 5 5 2 2 7" xfId="14128"/>
    <cellStyle name="Comma 3 5 5 2 3" xfId="2016"/>
    <cellStyle name="Comma 3 5 5 2 3 2" xfId="3829"/>
    <cellStyle name="Comma 3 5 5 2 3 3" xfId="7756"/>
    <cellStyle name="Comma 3 5 5 2 3 4" xfId="9274"/>
    <cellStyle name="Comma 3 5 5 2 3 5" xfId="12888"/>
    <cellStyle name="Comma 3 5 5 2 3 6" xfId="14634"/>
    <cellStyle name="Comma 3 5 5 2 4" xfId="4801"/>
    <cellStyle name="Comma 3 5 5 2 4 2" xfId="10272"/>
    <cellStyle name="Comma 3 5 5 2 5" xfId="5299"/>
    <cellStyle name="Comma 3 5 5 2 5 2" xfId="10774"/>
    <cellStyle name="Comma 3 5 5 2 6" xfId="5801"/>
    <cellStyle name="Comma 3 5 5 2 6 2" xfId="11276"/>
    <cellStyle name="Comma 3 5 5 2 7" xfId="2819"/>
    <cellStyle name="Comma 3 5 5 2 8" xfId="6742"/>
    <cellStyle name="Comma 3 5 5 2 9" xfId="8266"/>
    <cellStyle name="Comma 3 5 5 3" xfId="1260"/>
    <cellStyle name="Comma 3 5 5 3 2" xfId="4075"/>
    <cellStyle name="Comma 3 5 5 3 2 2" xfId="9522"/>
    <cellStyle name="Comma 3 5 5 3 3" xfId="3065"/>
    <cellStyle name="Comma 3 5 5 3 4" xfId="7000"/>
    <cellStyle name="Comma 3 5 5 3 5" xfId="8514"/>
    <cellStyle name="Comma 3 5 5 3 6" xfId="12134"/>
    <cellStyle name="Comma 3 5 5 3 7" xfId="13880"/>
    <cellStyle name="Comma 3 5 5 4" xfId="1768"/>
    <cellStyle name="Comma 3 5 5 4 2" xfId="3581"/>
    <cellStyle name="Comma 3 5 5 4 3" xfId="7508"/>
    <cellStyle name="Comma 3 5 5 4 4" xfId="9026"/>
    <cellStyle name="Comma 3 5 5 4 5" xfId="12640"/>
    <cellStyle name="Comma 3 5 5 4 6" xfId="14386"/>
    <cellStyle name="Comma 3 5 5 5" xfId="2361"/>
    <cellStyle name="Comma 3 5 5 5 2" xfId="6494"/>
    <cellStyle name="Comma 3 5 5 5 3" xfId="10024"/>
    <cellStyle name="Comma 3 5 5 5 4" xfId="13374"/>
    <cellStyle name="Comma 3 5 5 6" xfId="5051"/>
    <cellStyle name="Comma 3 5 5 6 2" xfId="10526"/>
    <cellStyle name="Comma 3 5 5 7" xfId="5553"/>
    <cellStyle name="Comma 3 5 5 7 2" xfId="11028"/>
    <cellStyle name="Comma 3 5 5 8" xfId="6129"/>
    <cellStyle name="Comma 3 5 5 9" xfId="8018"/>
    <cellStyle name="Comma 3 5 6" xfId="622"/>
    <cellStyle name="Comma 3 5 6 10" xfId="13177"/>
    <cellStyle name="Comma 3 5 6 2" xfId="1136"/>
    <cellStyle name="Comma 3 5 6 2 2" xfId="4199"/>
    <cellStyle name="Comma 3 5 6 2 2 2" xfId="9646"/>
    <cellStyle name="Comma 3 5 6 2 3" xfId="3189"/>
    <cellStyle name="Comma 3 5 6 2 4" xfId="6876"/>
    <cellStyle name="Comma 3 5 6 2 5" xfId="8638"/>
    <cellStyle name="Comma 3 5 6 2 6" xfId="12010"/>
    <cellStyle name="Comma 3 5 6 2 7" xfId="13756"/>
    <cellStyle name="Comma 3 5 6 3" xfId="1644"/>
    <cellStyle name="Comma 3 5 6 3 2" xfId="3457"/>
    <cellStyle name="Comma 3 5 6 3 3" xfId="7384"/>
    <cellStyle name="Comma 3 5 6 3 4" xfId="8902"/>
    <cellStyle name="Comma 3 5 6 3 5" xfId="12516"/>
    <cellStyle name="Comma 3 5 6 3 6" xfId="14262"/>
    <cellStyle name="Comma 3 5 6 4" xfId="2429"/>
    <cellStyle name="Comma 3 5 6 4 2" xfId="6367"/>
    <cellStyle name="Comma 3 5 6 4 3" xfId="10148"/>
    <cellStyle name="Comma 3 5 6 4 4" xfId="13250"/>
    <cellStyle name="Comma 3 5 6 5" xfId="5175"/>
    <cellStyle name="Comma 3 5 6 5 2" xfId="10650"/>
    <cellStyle name="Comma 3 5 6 6" xfId="5677"/>
    <cellStyle name="Comma 3 5 6 6 2" xfId="11152"/>
    <cellStyle name="Comma 3 5 6 7" xfId="6197"/>
    <cellStyle name="Comma 3 5 6 8" xfId="7894"/>
    <cellStyle name="Comma 3 5 6 9" xfId="11504"/>
    <cellStyle name="Comma 3 5 7" xfId="878"/>
    <cellStyle name="Comma 3 5 7 2" xfId="1384"/>
    <cellStyle name="Comma 3 5 7 2 2" xfId="3705"/>
    <cellStyle name="Comma 3 5 7 2 3" xfId="7124"/>
    <cellStyle name="Comma 3 5 7 2 4" xfId="9150"/>
    <cellStyle name="Comma 3 5 7 2 5" xfId="12258"/>
    <cellStyle name="Comma 3 5 7 2 6" xfId="14004"/>
    <cellStyle name="Comma 3 5 7 3" xfId="1892"/>
    <cellStyle name="Comma 3 5 7 3 2" xfId="7632"/>
    <cellStyle name="Comma 3 5 7 3 3" xfId="12764"/>
    <cellStyle name="Comma 3 5 7 3 4" xfId="14510"/>
    <cellStyle name="Comma 3 5 7 4" xfId="2701"/>
    <cellStyle name="Comma 3 5 7 5" xfId="6618"/>
    <cellStyle name="Comma 3 5 7 6" xfId="8142"/>
    <cellStyle name="Comma 3 5 7 7" xfId="11752"/>
    <cellStyle name="Comma 3 5 7 8" xfId="13498"/>
    <cellStyle name="Comma 3 5 8" xfId="201"/>
    <cellStyle name="Comma 3 5 8 2" xfId="3953"/>
    <cellStyle name="Comma 3 5 8 2 2" xfId="9398"/>
    <cellStyle name="Comma 3 5 8 3" xfId="2943"/>
    <cellStyle name="Comma 3 5 8 4" xfId="6270"/>
    <cellStyle name="Comma 3 5 8 5" xfId="8390"/>
    <cellStyle name="Comma 3 5 8 6" xfId="11488"/>
    <cellStyle name="Comma 3 5 8 7" xfId="13234"/>
    <cellStyle name="Comma 3 5 9" xfId="1120"/>
    <cellStyle name="Comma 3 5 9 2" xfId="3441"/>
    <cellStyle name="Comma 3 5 9 3" xfId="6860"/>
    <cellStyle name="Comma 3 5 9 4" xfId="8886"/>
    <cellStyle name="Comma 3 5 9 5" xfId="11994"/>
    <cellStyle name="Comma 3 5 9 6" xfId="13740"/>
    <cellStyle name="Comma 3 6" xfId="212"/>
    <cellStyle name="Comma 3 6 10" xfId="2221"/>
    <cellStyle name="Comma 3 6 10 2" xfId="4455"/>
    <cellStyle name="Comma 3 6 10 3" xfId="6277"/>
    <cellStyle name="Comma 3 6 10 4" xfId="9902"/>
    <cellStyle name="Comma 3 6 10 5" xfId="13240"/>
    <cellStyle name="Comma 3 6 11" xfId="4931"/>
    <cellStyle name="Comma 3 6 11 2" xfId="10404"/>
    <cellStyle name="Comma 3 6 12" xfId="5431"/>
    <cellStyle name="Comma 3 6 12 2" xfId="10906"/>
    <cellStyle name="Comma 3 6 13" xfId="6004"/>
    <cellStyle name="Comma 3 6 14" xfId="2467"/>
    <cellStyle name="Comma 3 6 15" xfId="7884"/>
    <cellStyle name="Comma 3 6 16" xfId="11494"/>
    <cellStyle name="Comma 3 6 2" xfId="654"/>
    <cellStyle name="Comma 3 6 2 10" xfId="2493"/>
    <cellStyle name="Comma 3 6 2 11" xfId="6394"/>
    <cellStyle name="Comma 3 6 2 12" xfId="7918"/>
    <cellStyle name="Comma 3 6 2 13" xfId="11528"/>
    <cellStyle name="Comma 3 6 2 14" xfId="13274"/>
    <cellStyle name="Comma 3 6 2 2" xfId="701"/>
    <cellStyle name="Comma 3 6 2 2 10" xfId="6441"/>
    <cellStyle name="Comma 3 6 2 2 11" xfId="7965"/>
    <cellStyle name="Comma 3 6 2 2 12" xfId="11575"/>
    <cellStyle name="Comma 3 6 2 2 13" xfId="13321"/>
    <cellStyle name="Comma 3 6 2 2 2" xfId="825"/>
    <cellStyle name="Comma 3 6 2 2 2 10" xfId="8089"/>
    <cellStyle name="Comma 3 6 2 2 2 11" xfId="11699"/>
    <cellStyle name="Comma 3 6 2 2 2 12" xfId="13445"/>
    <cellStyle name="Comma 3 6 2 2 2 2" xfId="1073"/>
    <cellStyle name="Comma 3 6 2 2 2 2 10" xfId="11947"/>
    <cellStyle name="Comma 3 6 2 2 2 2 11" xfId="13693"/>
    <cellStyle name="Comma 3 6 2 2 2 2 2" xfId="1579"/>
    <cellStyle name="Comma 3 6 2 2 2 2 2 2" xfId="4394"/>
    <cellStyle name="Comma 3 6 2 2 2 2 2 2 2" xfId="9841"/>
    <cellStyle name="Comma 3 6 2 2 2 2 2 3" xfId="3384"/>
    <cellStyle name="Comma 3 6 2 2 2 2 2 4" xfId="7319"/>
    <cellStyle name="Comma 3 6 2 2 2 2 2 5" xfId="8833"/>
    <cellStyle name="Comma 3 6 2 2 2 2 2 6" xfId="12453"/>
    <cellStyle name="Comma 3 6 2 2 2 2 2 7" xfId="14199"/>
    <cellStyle name="Comma 3 6 2 2 2 2 3" xfId="2087"/>
    <cellStyle name="Comma 3 6 2 2 2 2 3 2" xfId="3900"/>
    <cellStyle name="Comma 3 6 2 2 2 2 3 3" xfId="7827"/>
    <cellStyle name="Comma 3 6 2 2 2 2 3 4" xfId="9345"/>
    <cellStyle name="Comma 3 6 2 2 2 2 3 5" xfId="12959"/>
    <cellStyle name="Comma 3 6 2 2 2 2 3 6" xfId="14705"/>
    <cellStyle name="Comma 3 6 2 2 2 2 4" xfId="4872"/>
    <cellStyle name="Comma 3 6 2 2 2 2 4 2" xfId="10343"/>
    <cellStyle name="Comma 3 6 2 2 2 2 5" xfId="5370"/>
    <cellStyle name="Comma 3 6 2 2 2 2 5 2" xfId="10845"/>
    <cellStyle name="Comma 3 6 2 2 2 2 6" xfId="5872"/>
    <cellStyle name="Comma 3 6 2 2 2 2 6 2" xfId="11347"/>
    <cellStyle name="Comma 3 6 2 2 2 2 7" xfId="2890"/>
    <cellStyle name="Comma 3 6 2 2 2 2 8" xfId="6813"/>
    <cellStyle name="Comma 3 6 2 2 2 2 9" xfId="8337"/>
    <cellStyle name="Comma 3 6 2 2 2 3" xfId="1331"/>
    <cellStyle name="Comma 3 6 2 2 2 3 2" xfId="4146"/>
    <cellStyle name="Comma 3 6 2 2 2 3 2 2" xfId="9593"/>
    <cellStyle name="Comma 3 6 2 2 2 3 3" xfId="3136"/>
    <cellStyle name="Comma 3 6 2 2 2 3 4" xfId="7071"/>
    <cellStyle name="Comma 3 6 2 2 2 3 5" xfId="8585"/>
    <cellStyle name="Comma 3 6 2 2 2 3 6" xfId="12205"/>
    <cellStyle name="Comma 3 6 2 2 2 3 7" xfId="13951"/>
    <cellStyle name="Comma 3 6 2 2 2 4" xfId="1839"/>
    <cellStyle name="Comma 3 6 2 2 2 4 2" xfId="3652"/>
    <cellStyle name="Comma 3 6 2 2 2 4 3" xfId="7579"/>
    <cellStyle name="Comma 3 6 2 2 2 4 4" xfId="9097"/>
    <cellStyle name="Comma 3 6 2 2 2 4 5" xfId="12711"/>
    <cellStyle name="Comma 3 6 2 2 2 4 6" xfId="14457"/>
    <cellStyle name="Comma 3 6 2 2 2 5" xfId="4633"/>
    <cellStyle name="Comma 3 6 2 2 2 5 2" xfId="10095"/>
    <cellStyle name="Comma 3 6 2 2 2 6" xfId="5122"/>
    <cellStyle name="Comma 3 6 2 2 2 6 2" xfId="10597"/>
    <cellStyle name="Comma 3 6 2 2 2 7" xfId="5624"/>
    <cellStyle name="Comma 3 6 2 2 2 7 2" xfId="11099"/>
    <cellStyle name="Comma 3 6 2 2 2 8" xfId="2649"/>
    <cellStyle name="Comma 3 6 2 2 2 9" xfId="6565"/>
    <cellStyle name="Comma 3 6 2 2 3" xfId="949"/>
    <cellStyle name="Comma 3 6 2 2 3 10" xfId="11823"/>
    <cellStyle name="Comma 3 6 2 2 3 11" xfId="13569"/>
    <cellStyle name="Comma 3 6 2 2 3 2" xfId="1455"/>
    <cellStyle name="Comma 3 6 2 2 3 2 2" xfId="4270"/>
    <cellStyle name="Comma 3 6 2 2 3 2 2 2" xfId="9717"/>
    <cellStyle name="Comma 3 6 2 2 3 2 3" xfId="3260"/>
    <cellStyle name="Comma 3 6 2 2 3 2 4" xfId="7195"/>
    <cellStyle name="Comma 3 6 2 2 3 2 5" xfId="8709"/>
    <cellStyle name="Comma 3 6 2 2 3 2 6" xfId="12329"/>
    <cellStyle name="Comma 3 6 2 2 3 2 7" xfId="14075"/>
    <cellStyle name="Comma 3 6 2 2 3 3" xfId="1963"/>
    <cellStyle name="Comma 3 6 2 2 3 3 2" xfId="3776"/>
    <cellStyle name="Comma 3 6 2 2 3 3 3" xfId="7703"/>
    <cellStyle name="Comma 3 6 2 2 3 3 4" xfId="9221"/>
    <cellStyle name="Comma 3 6 2 2 3 3 5" xfId="12835"/>
    <cellStyle name="Comma 3 6 2 2 3 3 6" xfId="14581"/>
    <cellStyle name="Comma 3 6 2 2 3 4" xfId="4749"/>
    <cellStyle name="Comma 3 6 2 2 3 4 2" xfId="10219"/>
    <cellStyle name="Comma 3 6 2 2 3 5" xfId="5246"/>
    <cellStyle name="Comma 3 6 2 2 3 5 2" xfId="10721"/>
    <cellStyle name="Comma 3 6 2 2 3 6" xfId="5748"/>
    <cellStyle name="Comma 3 6 2 2 3 6 2" xfId="11223"/>
    <cellStyle name="Comma 3 6 2 2 3 7" xfId="2767"/>
    <cellStyle name="Comma 3 6 2 2 3 8" xfId="6689"/>
    <cellStyle name="Comma 3 6 2 2 3 9" xfId="8213"/>
    <cellStyle name="Comma 3 6 2 2 4" xfId="1207"/>
    <cellStyle name="Comma 3 6 2 2 4 2" xfId="4023"/>
    <cellStyle name="Comma 3 6 2 2 4 2 2" xfId="9469"/>
    <cellStyle name="Comma 3 6 2 2 4 3" xfId="3013"/>
    <cellStyle name="Comma 3 6 2 2 4 4" xfId="6947"/>
    <cellStyle name="Comma 3 6 2 2 4 5" xfId="8461"/>
    <cellStyle name="Comma 3 6 2 2 4 6" xfId="12081"/>
    <cellStyle name="Comma 3 6 2 2 4 7" xfId="13827"/>
    <cellStyle name="Comma 3 6 2 2 5" xfId="1715"/>
    <cellStyle name="Comma 3 6 2 2 5 2" xfId="3528"/>
    <cellStyle name="Comma 3 6 2 2 5 3" xfId="7455"/>
    <cellStyle name="Comma 3 6 2 2 5 4" xfId="8973"/>
    <cellStyle name="Comma 3 6 2 2 5 5" xfId="12587"/>
    <cellStyle name="Comma 3 6 2 2 5 6" xfId="14333"/>
    <cellStyle name="Comma 3 6 2 2 6" xfId="4519"/>
    <cellStyle name="Comma 3 6 2 2 6 2" xfId="9971"/>
    <cellStyle name="Comma 3 6 2 2 7" xfId="4998"/>
    <cellStyle name="Comma 3 6 2 2 7 2" xfId="10473"/>
    <cellStyle name="Comma 3 6 2 2 8" xfId="5500"/>
    <cellStyle name="Comma 3 6 2 2 8 2" xfId="10975"/>
    <cellStyle name="Comma 3 6 2 2 9" xfId="2535"/>
    <cellStyle name="Comma 3 6 2 3" xfId="778"/>
    <cellStyle name="Comma 3 6 2 3 10" xfId="8042"/>
    <cellStyle name="Comma 3 6 2 3 11" xfId="11652"/>
    <cellStyle name="Comma 3 6 2 3 12" xfId="13398"/>
    <cellStyle name="Comma 3 6 2 3 2" xfId="1026"/>
    <cellStyle name="Comma 3 6 2 3 2 10" xfId="11900"/>
    <cellStyle name="Comma 3 6 2 3 2 11" xfId="13646"/>
    <cellStyle name="Comma 3 6 2 3 2 2" xfId="1532"/>
    <cellStyle name="Comma 3 6 2 3 2 2 2" xfId="4347"/>
    <cellStyle name="Comma 3 6 2 3 2 2 2 2" xfId="9794"/>
    <cellStyle name="Comma 3 6 2 3 2 2 3" xfId="3337"/>
    <cellStyle name="Comma 3 6 2 3 2 2 4" xfId="7272"/>
    <cellStyle name="Comma 3 6 2 3 2 2 5" xfId="8786"/>
    <cellStyle name="Comma 3 6 2 3 2 2 6" xfId="12406"/>
    <cellStyle name="Comma 3 6 2 3 2 2 7" xfId="14152"/>
    <cellStyle name="Comma 3 6 2 3 2 3" xfId="2040"/>
    <cellStyle name="Comma 3 6 2 3 2 3 2" xfId="3853"/>
    <cellStyle name="Comma 3 6 2 3 2 3 3" xfId="7780"/>
    <cellStyle name="Comma 3 6 2 3 2 3 4" xfId="9298"/>
    <cellStyle name="Comma 3 6 2 3 2 3 5" xfId="12912"/>
    <cellStyle name="Comma 3 6 2 3 2 3 6" xfId="14658"/>
    <cellStyle name="Comma 3 6 2 3 2 4" xfId="4825"/>
    <cellStyle name="Comma 3 6 2 3 2 4 2" xfId="10296"/>
    <cellStyle name="Comma 3 6 2 3 2 5" xfId="5323"/>
    <cellStyle name="Comma 3 6 2 3 2 5 2" xfId="10798"/>
    <cellStyle name="Comma 3 6 2 3 2 6" xfId="5825"/>
    <cellStyle name="Comma 3 6 2 3 2 6 2" xfId="11300"/>
    <cellStyle name="Comma 3 6 2 3 2 7" xfId="2843"/>
    <cellStyle name="Comma 3 6 2 3 2 8" xfId="6766"/>
    <cellStyle name="Comma 3 6 2 3 2 9" xfId="8290"/>
    <cellStyle name="Comma 3 6 2 3 3" xfId="1284"/>
    <cellStyle name="Comma 3 6 2 3 3 2" xfId="4099"/>
    <cellStyle name="Comma 3 6 2 3 3 2 2" xfId="9546"/>
    <cellStyle name="Comma 3 6 2 3 3 3" xfId="3089"/>
    <cellStyle name="Comma 3 6 2 3 3 4" xfId="7024"/>
    <cellStyle name="Comma 3 6 2 3 3 5" xfId="8538"/>
    <cellStyle name="Comma 3 6 2 3 3 6" xfId="12158"/>
    <cellStyle name="Comma 3 6 2 3 3 7" xfId="13904"/>
    <cellStyle name="Comma 3 6 2 3 4" xfId="1792"/>
    <cellStyle name="Comma 3 6 2 3 4 2" xfId="3605"/>
    <cellStyle name="Comma 3 6 2 3 4 3" xfId="7532"/>
    <cellStyle name="Comma 3 6 2 3 4 4" xfId="9050"/>
    <cellStyle name="Comma 3 6 2 3 4 5" xfId="12664"/>
    <cellStyle name="Comma 3 6 2 3 4 6" xfId="14410"/>
    <cellStyle name="Comma 3 6 2 3 5" xfId="4589"/>
    <cellStyle name="Comma 3 6 2 3 5 2" xfId="10048"/>
    <cellStyle name="Comma 3 6 2 3 6" xfId="5075"/>
    <cellStyle name="Comma 3 6 2 3 6 2" xfId="10550"/>
    <cellStyle name="Comma 3 6 2 3 7" xfId="5577"/>
    <cellStyle name="Comma 3 6 2 3 7 2" xfId="11052"/>
    <cellStyle name="Comma 3 6 2 3 8" xfId="2605"/>
    <cellStyle name="Comma 3 6 2 3 9" xfId="6518"/>
    <cellStyle name="Comma 3 6 2 4" xfId="902"/>
    <cellStyle name="Comma 3 6 2 4 10" xfId="11776"/>
    <cellStyle name="Comma 3 6 2 4 11" xfId="13522"/>
    <cellStyle name="Comma 3 6 2 4 2" xfId="1408"/>
    <cellStyle name="Comma 3 6 2 4 2 2" xfId="4223"/>
    <cellStyle name="Comma 3 6 2 4 2 2 2" xfId="9670"/>
    <cellStyle name="Comma 3 6 2 4 2 3" xfId="3213"/>
    <cellStyle name="Comma 3 6 2 4 2 4" xfId="7148"/>
    <cellStyle name="Comma 3 6 2 4 2 5" xfId="8662"/>
    <cellStyle name="Comma 3 6 2 4 2 6" xfId="12282"/>
    <cellStyle name="Comma 3 6 2 4 2 7" xfId="14028"/>
    <cellStyle name="Comma 3 6 2 4 3" xfId="1916"/>
    <cellStyle name="Comma 3 6 2 4 3 2" xfId="3729"/>
    <cellStyle name="Comma 3 6 2 4 3 3" xfId="7656"/>
    <cellStyle name="Comma 3 6 2 4 3 4" xfId="9174"/>
    <cellStyle name="Comma 3 6 2 4 3 5" xfId="12788"/>
    <cellStyle name="Comma 3 6 2 4 3 6" xfId="14534"/>
    <cellStyle name="Comma 3 6 2 4 4" xfId="4705"/>
    <cellStyle name="Comma 3 6 2 4 4 2" xfId="10172"/>
    <cellStyle name="Comma 3 6 2 4 5" xfId="5199"/>
    <cellStyle name="Comma 3 6 2 4 5 2" xfId="10674"/>
    <cellStyle name="Comma 3 6 2 4 6" xfId="5701"/>
    <cellStyle name="Comma 3 6 2 4 6 2" xfId="11176"/>
    <cellStyle name="Comma 3 6 2 4 7" xfId="2723"/>
    <cellStyle name="Comma 3 6 2 4 8" xfId="6642"/>
    <cellStyle name="Comma 3 6 2 4 9" xfId="8166"/>
    <cellStyle name="Comma 3 6 2 5" xfId="1160"/>
    <cellStyle name="Comma 3 6 2 5 2" xfId="3977"/>
    <cellStyle name="Comma 3 6 2 5 2 2" xfId="9422"/>
    <cellStyle name="Comma 3 6 2 5 3" xfId="2967"/>
    <cellStyle name="Comma 3 6 2 5 4" xfId="6900"/>
    <cellStyle name="Comma 3 6 2 5 5" xfId="8414"/>
    <cellStyle name="Comma 3 6 2 5 6" xfId="12034"/>
    <cellStyle name="Comma 3 6 2 5 7" xfId="13780"/>
    <cellStyle name="Comma 3 6 2 6" xfId="1668"/>
    <cellStyle name="Comma 3 6 2 6 2" xfId="3481"/>
    <cellStyle name="Comma 3 6 2 6 3" xfId="7408"/>
    <cellStyle name="Comma 3 6 2 6 4" xfId="8926"/>
    <cellStyle name="Comma 3 6 2 6 5" xfId="12540"/>
    <cellStyle name="Comma 3 6 2 6 6" xfId="14286"/>
    <cellStyle name="Comma 3 6 2 7" xfId="4477"/>
    <cellStyle name="Comma 3 6 2 7 2" xfId="9924"/>
    <cellStyle name="Comma 3 6 2 8" xfId="4951"/>
    <cellStyle name="Comma 3 6 2 8 2" xfId="10426"/>
    <cellStyle name="Comma 3 6 2 9" xfId="5453"/>
    <cellStyle name="Comma 3 6 2 9 2" xfId="10928"/>
    <cellStyle name="Comma 3 6 3" xfId="674"/>
    <cellStyle name="Comma 3 6 3 10" xfId="2511"/>
    <cellStyle name="Comma 3 6 3 11" xfId="6414"/>
    <cellStyle name="Comma 3 6 3 12" xfId="7938"/>
    <cellStyle name="Comma 3 6 3 13" xfId="11548"/>
    <cellStyle name="Comma 3 6 3 14" xfId="13294"/>
    <cellStyle name="Comma 3 6 3 2" xfId="702"/>
    <cellStyle name="Comma 3 6 3 2 10" xfId="6442"/>
    <cellStyle name="Comma 3 6 3 2 11" xfId="7966"/>
    <cellStyle name="Comma 3 6 3 2 12" xfId="11576"/>
    <cellStyle name="Comma 3 6 3 2 13" xfId="13322"/>
    <cellStyle name="Comma 3 6 3 2 2" xfId="826"/>
    <cellStyle name="Comma 3 6 3 2 2 10" xfId="8090"/>
    <cellStyle name="Comma 3 6 3 2 2 11" xfId="11700"/>
    <cellStyle name="Comma 3 6 3 2 2 12" xfId="13446"/>
    <cellStyle name="Comma 3 6 3 2 2 2" xfId="1074"/>
    <cellStyle name="Comma 3 6 3 2 2 2 10" xfId="11948"/>
    <cellStyle name="Comma 3 6 3 2 2 2 11" xfId="13694"/>
    <cellStyle name="Comma 3 6 3 2 2 2 2" xfId="1580"/>
    <cellStyle name="Comma 3 6 3 2 2 2 2 2" xfId="4395"/>
    <cellStyle name="Comma 3 6 3 2 2 2 2 2 2" xfId="9842"/>
    <cellStyle name="Comma 3 6 3 2 2 2 2 3" xfId="3385"/>
    <cellStyle name="Comma 3 6 3 2 2 2 2 4" xfId="7320"/>
    <cellStyle name="Comma 3 6 3 2 2 2 2 5" xfId="8834"/>
    <cellStyle name="Comma 3 6 3 2 2 2 2 6" xfId="12454"/>
    <cellStyle name="Comma 3 6 3 2 2 2 2 7" xfId="14200"/>
    <cellStyle name="Comma 3 6 3 2 2 2 3" xfId="2088"/>
    <cellStyle name="Comma 3 6 3 2 2 2 3 2" xfId="3901"/>
    <cellStyle name="Comma 3 6 3 2 2 2 3 3" xfId="7828"/>
    <cellStyle name="Comma 3 6 3 2 2 2 3 4" xfId="9346"/>
    <cellStyle name="Comma 3 6 3 2 2 2 3 5" xfId="12960"/>
    <cellStyle name="Comma 3 6 3 2 2 2 3 6" xfId="14706"/>
    <cellStyle name="Comma 3 6 3 2 2 2 4" xfId="4873"/>
    <cellStyle name="Comma 3 6 3 2 2 2 4 2" xfId="10344"/>
    <cellStyle name="Comma 3 6 3 2 2 2 5" xfId="5371"/>
    <cellStyle name="Comma 3 6 3 2 2 2 5 2" xfId="10846"/>
    <cellStyle name="Comma 3 6 3 2 2 2 6" xfId="5873"/>
    <cellStyle name="Comma 3 6 3 2 2 2 6 2" xfId="11348"/>
    <cellStyle name="Comma 3 6 3 2 2 2 7" xfId="2891"/>
    <cellStyle name="Comma 3 6 3 2 2 2 8" xfId="6814"/>
    <cellStyle name="Comma 3 6 3 2 2 2 9" xfId="8338"/>
    <cellStyle name="Comma 3 6 3 2 2 3" xfId="1332"/>
    <cellStyle name="Comma 3 6 3 2 2 3 2" xfId="4147"/>
    <cellStyle name="Comma 3 6 3 2 2 3 2 2" xfId="9594"/>
    <cellStyle name="Comma 3 6 3 2 2 3 3" xfId="3137"/>
    <cellStyle name="Comma 3 6 3 2 2 3 4" xfId="7072"/>
    <cellStyle name="Comma 3 6 3 2 2 3 5" xfId="8586"/>
    <cellStyle name="Comma 3 6 3 2 2 3 6" xfId="12206"/>
    <cellStyle name="Comma 3 6 3 2 2 3 7" xfId="13952"/>
    <cellStyle name="Comma 3 6 3 2 2 4" xfId="1840"/>
    <cellStyle name="Comma 3 6 3 2 2 4 2" xfId="3653"/>
    <cellStyle name="Comma 3 6 3 2 2 4 3" xfId="7580"/>
    <cellStyle name="Comma 3 6 3 2 2 4 4" xfId="9098"/>
    <cellStyle name="Comma 3 6 3 2 2 4 5" xfId="12712"/>
    <cellStyle name="Comma 3 6 3 2 2 4 6" xfId="14458"/>
    <cellStyle name="Comma 3 6 3 2 2 5" xfId="4634"/>
    <cellStyle name="Comma 3 6 3 2 2 5 2" xfId="10096"/>
    <cellStyle name="Comma 3 6 3 2 2 6" xfId="5123"/>
    <cellStyle name="Comma 3 6 3 2 2 6 2" xfId="10598"/>
    <cellStyle name="Comma 3 6 3 2 2 7" xfId="5625"/>
    <cellStyle name="Comma 3 6 3 2 2 7 2" xfId="11100"/>
    <cellStyle name="Comma 3 6 3 2 2 8" xfId="2650"/>
    <cellStyle name="Comma 3 6 3 2 2 9" xfId="6566"/>
    <cellStyle name="Comma 3 6 3 2 3" xfId="950"/>
    <cellStyle name="Comma 3 6 3 2 3 10" xfId="11824"/>
    <cellStyle name="Comma 3 6 3 2 3 11" xfId="13570"/>
    <cellStyle name="Comma 3 6 3 2 3 2" xfId="1456"/>
    <cellStyle name="Comma 3 6 3 2 3 2 2" xfId="4271"/>
    <cellStyle name="Comma 3 6 3 2 3 2 2 2" xfId="9718"/>
    <cellStyle name="Comma 3 6 3 2 3 2 3" xfId="3261"/>
    <cellStyle name="Comma 3 6 3 2 3 2 4" xfId="7196"/>
    <cellStyle name="Comma 3 6 3 2 3 2 5" xfId="8710"/>
    <cellStyle name="Comma 3 6 3 2 3 2 6" xfId="12330"/>
    <cellStyle name="Comma 3 6 3 2 3 2 7" xfId="14076"/>
    <cellStyle name="Comma 3 6 3 2 3 3" xfId="1964"/>
    <cellStyle name="Comma 3 6 3 2 3 3 2" xfId="3777"/>
    <cellStyle name="Comma 3 6 3 2 3 3 3" xfId="7704"/>
    <cellStyle name="Comma 3 6 3 2 3 3 4" xfId="9222"/>
    <cellStyle name="Comma 3 6 3 2 3 3 5" xfId="12836"/>
    <cellStyle name="Comma 3 6 3 2 3 3 6" xfId="14582"/>
    <cellStyle name="Comma 3 6 3 2 3 4" xfId="4750"/>
    <cellStyle name="Comma 3 6 3 2 3 4 2" xfId="10220"/>
    <cellStyle name="Comma 3 6 3 2 3 5" xfId="5247"/>
    <cellStyle name="Comma 3 6 3 2 3 5 2" xfId="10722"/>
    <cellStyle name="Comma 3 6 3 2 3 6" xfId="5749"/>
    <cellStyle name="Comma 3 6 3 2 3 6 2" xfId="11224"/>
    <cellStyle name="Comma 3 6 3 2 3 7" xfId="2768"/>
    <cellStyle name="Comma 3 6 3 2 3 8" xfId="6690"/>
    <cellStyle name="Comma 3 6 3 2 3 9" xfId="8214"/>
    <cellStyle name="Comma 3 6 3 2 4" xfId="1208"/>
    <cellStyle name="Comma 3 6 3 2 4 2" xfId="4024"/>
    <cellStyle name="Comma 3 6 3 2 4 2 2" xfId="9470"/>
    <cellStyle name="Comma 3 6 3 2 4 3" xfId="3014"/>
    <cellStyle name="Comma 3 6 3 2 4 4" xfId="6948"/>
    <cellStyle name="Comma 3 6 3 2 4 5" xfId="8462"/>
    <cellStyle name="Comma 3 6 3 2 4 6" xfId="12082"/>
    <cellStyle name="Comma 3 6 3 2 4 7" xfId="13828"/>
    <cellStyle name="Comma 3 6 3 2 5" xfId="1716"/>
    <cellStyle name="Comma 3 6 3 2 5 2" xfId="3529"/>
    <cellStyle name="Comma 3 6 3 2 5 3" xfId="7456"/>
    <cellStyle name="Comma 3 6 3 2 5 4" xfId="8974"/>
    <cellStyle name="Comma 3 6 3 2 5 5" xfId="12588"/>
    <cellStyle name="Comma 3 6 3 2 5 6" xfId="14334"/>
    <cellStyle name="Comma 3 6 3 2 6" xfId="4520"/>
    <cellStyle name="Comma 3 6 3 2 6 2" xfId="9972"/>
    <cellStyle name="Comma 3 6 3 2 7" xfId="4999"/>
    <cellStyle name="Comma 3 6 3 2 7 2" xfId="10474"/>
    <cellStyle name="Comma 3 6 3 2 8" xfId="5501"/>
    <cellStyle name="Comma 3 6 3 2 8 2" xfId="10976"/>
    <cellStyle name="Comma 3 6 3 2 9" xfId="2536"/>
    <cellStyle name="Comma 3 6 3 3" xfId="798"/>
    <cellStyle name="Comma 3 6 3 3 10" xfId="8062"/>
    <cellStyle name="Comma 3 6 3 3 11" xfId="11672"/>
    <cellStyle name="Comma 3 6 3 3 12" xfId="13418"/>
    <cellStyle name="Comma 3 6 3 3 2" xfId="1046"/>
    <cellStyle name="Comma 3 6 3 3 2 10" xfId="11920"/>
    <cellStyle name="Comma 3 6 3 3 2 11" xfId="13666"/>
    <cellStyle name="Comma 3 6 3 3 2 2" xfId="1552"/>
    <cellStyle name="Comma 3 6 3 3 2 2 2" xfId="4367"/>
    <cellStyle name="Comma 3 6 3 3 2 2 2 2" xfId="9814"/>
    <cellStyle name="Comma 3 6 3 3 2 2 3" xfId="3357"/>
    <cellStyle name="Comma 3 6 3 3 2 2 4" xfId="7292"/>
    <cellStyle name="Comma 3 6 3 3 2 2 5" xfId="8806"/>
    <cellStyle name="Comma 3 6 3 3 2 2 6" xfId="12426"/>
    <cellStyle name="Comma 3 6 3 3 2 2 7" xfId="14172"/>
    <cellStyle name="Comma 3 6 3 3 2 3" xfId="2060"/>
    <cellStyle name="Comma 3 6 3 3 2 3 2" xfId="3873"/>
    <cellStyle name="Comma 3 6 3 3 2 3 3" xfId="7800"/>
    <cellStyle name="Comma 3 6 3 3 2 3 4" xfId="9318"/>
    <cellStyle name="Comma 3 6 3 3 2 3 5" xfId="12932"/>
    <cellStyle name="Comma 3 6 3 3 2 3 6" xfId="14678"/>
    <cellStyle name="Comma 3 6 3 3 2 4" xfId="4845"/>
    <cellStyle name="Comma 3 6 3 3 2 4 2" xfId="10316"/>
    <cellStyle name="Comma 3 6 3 3 2 5" xfId="5343"/>
    <cellStyle name="Comma 3 6 3 3 2 5 2" xfId="10818"/>
    <cellStyle name="Comma 3 6 3 3 2 6" xfId="5845"/>
    <cellStyle name="Comma 3 6 3 3 2 6 2" xfId="11320"/>
    <cellStyle name="Comma 3 6 3 3 2 7" xfId="2863"/>
    <cellStyle name="Comma 3 6 3 3 2 8" xfId="6786"/>
    <cellStyle name="Comma 3 6 3 3 2 9" xfId="8310"/>
    <cellStyle name="Comma 3 6 3 3 3" xfId="1304"/>
    <cellStyle name="Comma 3 6 3 3 3 2" xfId="4119"/>
    <cellStyle name="Comma 3 6 3 3 3 2 2" xfId="9566"/>
    <cellStyle name="Comma 3 6 3 3 3 3" xfId="3109"/>
    <cellStyle name="Comma 3 6 3 3 3 4" xfId="7044"/>
    <cellStyle name="Comma 3 6 3 3 3 5" xfId="8558"/>
    <cellStyle name="Comma 3 6 3 3 3 6" xfId="12178"/>
    <cellStyle name="Comma 3 6 3 3 3 7" xfId="13924"/>
    <cellStyle name="Comma 3 6 3 3 4" xfId="1812"/>
    <cellStyle name="Comma 3 6 3 3 4 2" xfId="3625"/>
    <cellStyle name="Comma 3 6 3 3 4 3" xfId="7552"/>
    <cellStyle name="Comma 3 6 3 3 4 4" xfId="9070"/>
    <cellStyle name="Comma 3 6 3 3 4 5" xfId="12684"/>
    <cellStyle name="Comma 3 6 3 3 4 6" xfId="14430"/>
    <cellStyle name="Comma 3 6 3 3 5" xfId="4607"/>
    <cellStyle name="Comma 3 6 3 3 5 2" xfId="10068"/>
    <cellStyle name="Comma 3 6 3 3 6" xfId="5095"/>
    <cellStyle name="Comma 3 6 3 3 6 2" xfId="10570"/>
    <cellStyle name="Comma 3 6 3 3 7" xfId="5597"/>
    <cellStyle name="Comma 3 6 3 3 7 2" xfId="11072"/>
    <cellStyle name="Comma 3 6 3 3 8" xfId="2623"/>
    <cellStyle name="Comma 3 6 3 3 9" xfId="6538"/>
    <cellStyle name="Comma 3 6 3 4" xfId="922"/>
    <cellStyle name="Comma 3 6 3 4 10" xfId="11796"/>
    <cellStyle name="Comma 3 6 3 4 11" xfId="13542"/>
    <cellStyle name="Comma 3 6 3 4 2" xfId="1428"/>
    <cellStyle name="Comma 3 6 3 4 2 2" xfId="4243"/>
    <cellStyle name="Comma 3 6 3 4 2 2 2" xfId="9690"/>
    <cellStyle name="Comma 3 6 3 4 2 3" xfId="3233"/>
    <cellStyle name="Comma 3 6 3 4 2 4" xfId="7168"/>
    <cellStyle name="Comma 3 6 3 4 2 5" xfId="8682"/>
    <cellStyle name="Comma 3 6 3 4 2 6" xfId="12302"/>
    <cellStyle name="Comma 3 6 3 4 2 7" xfId="14048"/>
    <cellStyle name="Comma 3 6 3 4 3" xfId="1936"/>
    <cellStyle name="Comma 3 6 3 4 3 2" xfId="3749"/>
    <cellStyle name="Comma 3 6 3 4 3 3" xfId="7676"/>
    <cellStyle name="Comma 3 6 3 4 3 4" xfId="9194"/>
    <cellStyle name="Comma 3 6 3 4 3 5" xfId="12808"/>
    <cellStyle name="Comma 3 6 3 4 3 6" xfId="14554"/>
    <cellStyle name="Comma 3 6 3 4 4" xfId="4723"/>
    <cellStyle name="Comma 3 6 3 4 4 2" xfId="10192"/>
    <cellStyle name="Comma 3 6 3 4 5" xfId="5219"/>
    <cellStyle name="Comma 3 6 3 4 5 2" xfId="10694"/>
    <cellStyle name="Comma 3 6 3 4 6" xfId="5721"/>
    <cellStyle name="Comma 3 6 3 4 6 2" xfId="11196"/>
    <cellStyle name="Comma 3 6 3 4 7" xfId="2741"/>
    <cellStyle name="Comma 3 6 3 4 8" xfId="6662"/>
    <cellStyle name="Comma 3 6 3 4 9" xfId="8186"/>
    <cellStyle name="Comma 3 6 3 5" xfId="1180"/>
    <cellStyle name="Comma 3 6 3 5 2" xfId="3997"/>
    <cellStyle name="Comma 3 6 3 5 2 2" xfId="9442"/>
    <cellStyle name="Comma 3 6 3 5 3" xfId="2987"/>
    <cellStyle name="Comma 3 6 3 5 4" xfId="6920"/>
    <cellStyle name="Comma 3 6 3 5 5" xfId="8434"/>
    <cellStyle name="Comma 3 6 3 5 6" xfId="12054"/>
    <cellStyle name="Comma 3 6 3 5 7" xfId="13800"/>
    <cellStyle name="Comma 3 6 3 6" xfId="1688"/>
    <cellStyle name="Comma 3 6 3 6 2" xfId="3501"/>
    <cellStyle name="Comma 3 6 3 6 3" xfId="7428"/>
    <cellStyle name="Comma 3 6 3 6 4" xfId="8946"/>
    <cellStyle name="Comma 3 6 3 6 5" xfId="12560"/>
    <cellStyle name="Comma 3 6 3 6 6" xfId="14306"/>
    <cellStyle name="Comma 3 6 3 7" xfId="4495"/>
    <cellStyle name="Comma 3 6 3 7 2" xfId="9944"/>
    <cellStyle name="Comma 3 6 3 8" xfId="4971"/>
    <cellStyle name="Comma 3 6 3 8 2" xfId="10446"/>
    <cellStyle name="Comma 3 6 3 9" xfId="5473"/>
    <cellStyle name="Comma 3 6 3 9 2" xfId="10948"/>
    <cellStyle name="Comma 3 6 4" xfId="700"/>
    <cellStyle name="Comma 3 6 4 10" xfId="6440"/>
    <cellStyle name="Comma 3 6 4 11" xfId="7964"/>
    <cellStyle name="Comma 3 6 4 12" xfId="11574"/>
    <cellStyle name="Comma 3 6 4 13" xfId="13320"/>
    <cellStyle name="Comma 3 6 4 2" xfId="824"/>
    <cellStyle name="Comma 3 6 4 2 10" xfId="8088"/>
    <cellStyle name="Comma 3 6 4 2 11" xfId="11698"/>
    <cellStyle name="Comma 3 6 4 2 12" xfId="13444"/>
    <cellStyle name="Comma 3 6 4 2 2" xfId="1072"/>
    <cellStyle name="Comma 3 6 4 2 2 10" xfId="11946"/>
    <cellStyle name="Comma 3 6 4 2 2 11" xfId="13692"/>
    <cellStyle name="Comma 3 6 4 2 2 2" xfId="1578"/>
    <cellStyle name="Comma 3 6 4 2 2 2 2" xfId="4393"/>
    <cellStyle name="Comma 3 6 4 2 2 2 2 2" xfId="9840"/>
    <cellStyle name="Comma 3 6 4 2 2 2 3" xfId="3383"/>
    <cellStyle name="Comma 3 6 4 2 2 2 4" xfId="7318"/>
    <cellStyle name="Comma 3 6 4 2 2 2 5" xfId="8832"/>
    <cellStyle name="Comma 3 6 4 2 2 2 6" xfId="12452"/>
    <cellStyle name="Comma 3 6 4 2 2 2 7" xfId="14198"/>
    <cellStyle name="Comma 3 6 4 2 2 3" xfId="2086"/>
    <cellStyle name="Comma 3 6 4 2 2 3 2" xfId="3899"/>
    <cellStyle name="Comma 3 6 4 2 2 3 3" xfId="7826"/>
    <cellStyle name="Comma 3 6 4 2 2 3 4" xfId="9344"/>
    <cellStyle name="Comma 3 6 4 2 2 3 5" xfId="12958"/>
    <cellStyle name="Comma 3 6 4 2 2 3 6" xfId="14704"/>
    <cellStyle name="Comma 3 6 4 2 2 4" xfId="4871"/>
    <cellStyle name="Comma 3 6 4 2 2 4 2" xfId="10342"/>
    <cellStyle name="Comma 3 6 4 2 2 5" xfId="5369"/>
    <cellStyle name="Comma 3 6 4 2 2 5 2" xfId="10844"/>
    <cellStyle name="Comma 3 6 4 2 2 6" xfId="5871"/>
    <cellStyle name="Comma 3 6 4 2 2 6 2" xfId="11346"/>
    <cellStyle name="Comma 3 6 4 2 2 7" xfId="2889"/>
    <cellStyle name="Comma 3 6 4 2 2 8" xfId="6812"/>
    <cellStyle name="Comma 3 6 4 2 2 9" xfId="8336"/>
    <cellStyle name="Comma 3 6 4 2 3" xfId="1330"/>
    <cellStyle name="Comma 3 6 4 2 3 2" xfId="4145"/>
    <cellStyle name="Comma 3 6 4 2 3 2 2" xfId="9592"/>
    <cellStyle name="Comma 3 6 4 2 3 3" xfId="3135"/>
    <cellStyle name="Comma 3 6 4 2 3 4" xfId="7070"/>
    <cellStyle name="Comma 3 6 4 2 3 5" xfId="8584"/>
    <cellStyle name="Comma 3 6 4 2 3 6" xfId="12204"/>
    <cellStyle name="Comma 3 6 4 2 3 7" xfId="13950"/>
    <cellStyle name="Comma 3 6 4 2 4" xfId="1838"/>
    <cellStyle name="Comma 3 6 4 2 4 2" xfId="3651"/>
    <cellStyle name="Comma 3 6 4 2 4 3" xfId="7578"/>
    <cellStyle name="Comma 3 6 4 2 4 4" xfId="9096"/>
    <cellStyle name="Comma 3 6 4 2 4 5" xfId="12710"/>
    <cellStyle name="Comma 3 6 4 2 4 6" xfId="14456"/>
    <cellStyle name="Comma 3 6 4 2 5" xfId="4632"/>
    <cellStyle name="Comma 3 6 4 2 5 2" xfId="10094"/>
    <cellStyle name="Comma 3 6 4 2 6" xfId="5121"/>
    <cellStyle name="Comma 3 6 4 2 6 2" xfId="10596"/>
    <cellStyle name="Comma 3 6 4 2 7" xfId="5623"/>
    <cellStyle name="Comma 3 6 4 2 7 2" xfId="11098"/>
    <cellStyle name="Comma 3 6 4 2 8" xfId="2648"/>
    <cellStyle name="Comma 3 6 4 2 9" xfId="6564"/>
    <cellStyle name="Comma 3 6 4 3" xfId="948"/>
    <cellStyle name="Comma 3 6 4 3 10" xfId="11822"/>
    <cellStyle name="Comma 3 6 4 3 11" xfId="13568"/>
    <cellStyle name="Comma 3 6 4 3 2" xfId="1454"/>
    <cellStyle name="Comma 3 6 4 3 2 2" xfId="4269"/>
    <cellStyle name="Comma 3 6 4 3 2 2 2" xfId="9716"/>
    <cellStyle name="Comma 3 6 4 3 2 3" xfId="3259"/>
    <cellStyle name="Comma 3 6 4 3 2 4" xfId="7194"/>
    <cellStyle name="Comma 3 6 4 3 2 5" xfId="8708"/>
    <cellStyle name="Comma 3 6 4 3 2 6" xfId="12328"/>
    <cellStyle name="Comma 3 6 4 3 2 7" xfId="14074"/>
    <cellStyle name="Comma 3 6 4 3 3" xfId="1962"/>
    <cellStyle name="Comma 3 6 4 3 3 2" xfId="3775"/>
    <cellStyle name="Comma 3 6 4 3 3 3" xfId="7702"/>
    <cellStyle name="Comma 3 6 4 3 3 4" xfId="9220"/>
    <cellStyle name="Comma 3 6 4 3 3 5" xfId="12834"/>
    <cellStyle name="Comma 3 6 4 3 3 6" xfId="14580"/>
    <cellStyle name="Comma 3 6 4 3 4" xfId="4748"/>
    <cellStyle name="Comma 3 6 4 3 4 2" xfId="10218"/>
    <cellStyle name="Comma 3 6 4 3 5" xfId="5245"/>
    <cellStyle name="Comma 3 6 4 3 5 2" xfId="10720"/>
    <cellStyle name="Comma 3 6 4 3 6" xfId="5747"/>
    <cellStyle name="Comma 3 6 4 3 6 2" xfId="11222"/>
    <cellStyle name="Comma 3 6 4 3 7" xfId="2766"/>
    <cellStyle name="Comma 3 6 4 3 8" xfId="6688"/>
    <cellStyle name="Comma 3 6 4 3 9" xfId="8212"/>
    <cellStyle name="Comma 3 6 4 4" xfId="1206"/>
    <cellStyle name="Comma 3 6 4 4 2" xfId="4022"/>
    <cellStyle name="Comma 3 6 4 4 2 2" xfId="9468"/>
    <cellStyle name="Comma 3 6 4 4 3" xfId="3012"/>
    <cellStyle name="Comma 3 6 4 4 4" xfId="6946"/>
    <cellStyle name="Comma 3 6 4 4 5" xfId="8460"/>
    <cellStyle name="Comma 3 6 4 4 6" xfId="12080"/>
    <cellStyle name="Comma 3 6 4 4 7" xfId="13826"/>
    <cellStyle name="Comma 3 6 4 5" xfId="1714"/>
    <cellStyle name="Comma 3 6 4 5 2" xfId="3527"/>
    <cellStyle name="Comma 3 6 4 5 3" xfId="7454"/>
    <cellStyle name="Comma 3 6 4 5 4" xfId="8972"/>
    <cellStyle name="Comma 3 6 4 5 5" xfId="12586"/>
    <cellStyle name="Comma 3 6 4 5 6" xfId="14332"/>
    <cellStyle name="Comma 3 6 4 6" xfId="4518"/>
    <cellStyle name="Comma 3 6 4 6 2" xfId="9970"/>
    <cellStyle name="Comma 3 6 4 7" xfId="4997"/>
    <cellStyle name="Comma 3 6 4 7 2" xfId="10472"/>
    <cellStyle name="Comma 3 6 4 8" xfId="5499"/>
    <cellStyle name="Comma 3 6 4 8 2" xfId="10974"/>
    <cellStyle name="Comma 3 6 4 9" xfId="2534"/>
    <cellStyle name="Comma 3 6 5" xfId="756"/>
    <cellStyle name="Comma 3 6 5 10" xfId="8020"/>
    <cellStyle name="Comma 3 6 5 11" xfId="11630"/>
    <cellStyle name="Comma 3 6 5 12" xfId="13376"/>
    <cellStyle name="Comma 3 6 5 2" xfId="1004"/>
    <cellStyle name="Comma 3 6 5 2 10" xfId="11878"/>
    <cellStyle name="Comma 3 6 5 2 11" xfId="13624"/>
    <cellStyle name="Comma 3 6 5 2 2" xfId="1510"/>
    <cellStyle name="Comma 3 6 5 2 2 2" xfId="4325"/>
    <cellStyle name="Comma 3 6 5 2 2 2 2" xfId="9772"/>
    <cellStyle name="Comma 3 6 5 2 2 3" xfId="3315"/>
    <cellStyle name="Comma 3 6 5 2 2 4" xfId="7250"/>
    <cellStyle name="Comma 3 6 5 2 2 5" xfId="8764"/>
    <cellStyle name="Comma 3 6 5 2 2 6" xfId="12384"/>
    <cellStyle name="Comma 3 6 5 2 2 7" xfId="14130"/>
    <cellStyle name="Comma 3 6 5 2 3" xfId="2018"/>
    <cellStyle name="Comma 3 6 5 2 3 2" xfId="3831"/>
    <cellStyle name="Comma 3 6 5 2 3 3" xfId="7758"/>
    <cellStyle name="Comma 3 6 5 2 3 4" xfId="9276"/>
    <cellStyle name="Comma 3 6 5 2 3 5" xfId="12890"/>
    <cellStyle name="Comma 3 6 5 2 3 6" xfId="14636"/>
    <cellStyle name="Comma 3 6 5 2 4" xfId="4803"/>
    <cellStyle name="Comma 3 6 5 2 4 2" xfId="10274"/>
    <cellStyle name="Comma 3 6 5 2 5" xfId="5301"/>
    <cellStyle name="Comma 3 6 5 2 5 2" xfId="10776"/>
    <cellStyle name="Comma 3 6 5 2 6" xfId="5803"/>
    <cellStyle name="Comma 3 6 5 2 6 2" xfId="11278"/>
    <cellStyle name="Comma 3 6 5 2 7" xfId="2821"/>
    <cellStyle name="Comma 3 6 5 2 8" xfId="6744"/>
    <cellStyle name="Comma 3 6 5 2 9" xfId="8268"/>
    <cellStyle name="Comma 3 6 5 3" xfId="1262"/>
    <cellStyle name="Comma 3 6 5 3 2" xfId="4077"/>
    <cellStyle name="Comma 3 6 5 3 2 2" xfId="9524"/>
    <cellStyle name="Comma 3 6 5 3 3" xfId="3067"/>
    <cellStyle name="Comma 3 6 5 3 4" xfId="7002"/>
    <cellStyle name="Comma 3 6 5 3 5" xfId="8516"/>
    <cellStyle name="Comma 3 6 5 3 6" xfId="12136"/>
    <cellStyle name="Comma 3 6 5 3 7" xfId="13882"/>
    <cellStyle name="Comma 3 6 5 4" xfId="1770"/>
    <cellStyle name="Comma 3 6 5 4 2" xfId="3583"/>
    <cellStyle name="Comma 3 6 5 4 3" xfId="7510"/>
    <cellStyle name="Comma 3 6 5 4 4" xfId="9028"/>
    <cellStyle name="Comma 3 6 5 4 5" xfId="12642"/>
    <cellStyle name="Comma 3 6 5 4 6" xfId="14388"/>
    <cellStyle name="Comma 3 6 5 5" xfId="4569"/>
    <cellStyle name="Comma 3 6 5 5 2" xfId="10026"/>
    <cellStyle name="Comma 3 6 5 6" xfId="5053"/>
    <cellStyle name="Comma 3 6 5 6 2" xfId="10528"/>
    <cellStyle name="Comma 3 6 5 7" xfId="5555"/>
    <cellStyle name="Comma 3 6 5 7 2" xfId="11030"/>
    <cellStyle name="Comma 3 6 5 8" xfId="2585"/>
    <cellStyle name="Comma 3 6 5 9" xfId="6496"/>
    <cellStyle name="Comma 3 6 6" xfId="624"/>
    <cellStyle name="Comma 3 6 6 10" xfId="11506"/>
    <cellStyle name="Comma 3 6 6 11" xfId="13252"/>
    <cellStyle name="Comma 3 6 6 2" xfId="1138"/>
    <cellStyle name="Comma 3 6 6 2 2" xfId="4201"/>
    <cellStyle name="Comma 3 6 6 2 2 2" xfId="9648"/>
    <cellStyle name="Comma 3 6 6 2 3" xfId="3191"/>
    <cellStyle name="Comma 3 6 6 2 4" xfId="6878"/>
    <cellStyle name="Comma 3 6 6 2 5" xfId="8640"/>
    <cellStyle name="Comma 3 6 6 2 6" xfId="12012"/>
    <cellStyle name="Comma 3 6 6 2 7" xfId="13758"/>
    <cellStyle name="Comma 3 6 6 3" xfId="1646"/>
    <cellStyle name="Comma 3 6 6 3 2" xfId="3459"/>
    <cellStyle name="Comma 3 6 6 3 3" xfId="7386"/>
    <cellStyle name="Comma 3 6 6 3 4" xfId="8904"/>
    <cellStyle name="Comma 3 6 6 3 5" xfId="12518"/>
    <cellStyle name="Comma 3 6 6 3 6" xfId="14264"/>
    <cellStyle name="Comma 3 6 6 4" xfId="4685"/>
    <cellStyle name="Comma 3 6 6 4 2" xfId="10150"/>
    <cellStyle name="Comma 3 6 6 5" xfId="5177"/>
    <cellStyle name="Comma 3 6 6 5 2" xfId="10652"/>
    <cellStyle name="Comma 3 6 6 6" xfId="5679"/>
    <cellStyle name="Comma 3 6 6 6 2" xfId="11154"/>
    <cellStyle name="Comma 3 6 6 7" xfId="2473"/>
    <cellStyle name="Comma 3 6 6 8" xfId="6369"/>
    <cellStyle name="Comma 3 6 6 9" xfId="7896"/>
    <cellStyle name="Comma 3 6 7" xfId="880"/>
    <cellStyle name="Comma 3 6 7 2" xfId="1386"/>
    <cellStyle name="Comma 3 6 7 2 2" xfId="3707"/>
    <cellStyle name="Comma 3 6 7 2 3" xfId="7126"/>
    <cellStyle name="Comma 3 6 7 2 4" xfId="9152"/>
    <cellStyle name="Comma 3 6 7 2 5" xfId="12260"/>
    <cellStyle name="Comma 3 6 7 2 6" xfId="14006"/>
    <cellStyle name="Comma 3 6 7 3" xfId="1894"/>
    <cellStyle name="Comma 3 6 7 3 2" xfId="7634"/>
    <cellStyle name="Comma 3 6 7 3 3" xfId="12766"/>
    <cellStyle name="Comma 3 6 7 3 4" xfId="14512"/>
    <cellStyle name="Comma 3 6 7 4" xfId="2703"/>
    <cellStyle name="Comma 3 6 7 5" xfId="6620"/>
    <cellStyle name="Comma 3 6 7 6" xfId="8144"/>
    <cellStyle name="Comma 3 6 7 7" xfId="11754"/>
    <cellStyle name="Comma 3 6 7 8" xfId="13500"/>
    <cellStyle name="Comma 3 6 8" xfId="1126"/>
    <cellStyle name="Comma 3 6 8 2" xfId="3955"/>
    <cellStyle name="Comma 3 6 8 2 2" xfId="9400"/>
    <cellStyle name="Comma 3 6 8 3" xfId="2945"/>
    <cellStyle name="Comma 3 6 8 4" xfId="6866"/>
    <cellStyle name="Comma 3 6 8 5" xfId="8392"/>
    <cellStyle name="Comma 3 6 8 6" xfId="12000"/>
    <cellStyle name="Comma 3 6 8 7" xfId="13746"/>
    <cellStyle name="Comma 3 6 9" xfId="1633"/>
    <cellStyle name="Comma 3 6 9 2" xfId="3447"/>
    <cellStyle name="Comma 3 6 9 3" xfId="7373"/>
    <cellStyle name="Comma 3 6 9 4" xfId="8892"/>
    <cellStyle name="Comma 3 6 9 5" xfId="12506"/>
    <cellStyle name="Comma 3 6 9 6" xfId="14252"/>
    <cellStyle name="Comma 3 7" xfId="626"/>
    <cellStyle name="Comma 3 7 10" xfId="4933"/>
    <cellStyle name="Comma 3 7 10 2" xfId="10406"/>
    <cellStyle name="Comma 3 7 11" xfId="5433"/>
    <cellStyle name="Comma 3 7 11 2" xfId="10908"/>
    <cellStyle name="Comma 3 7 12" xfId="2475"/>
    <cellStyle name="Comma 3 7 13" xfId="6371"/>
    <cellStyle name="Comma 3 7 14" xfId="7898"/>
    <cellStyle name="Comma 3 7 15" xfId="11508"/>
    <cellStyle name="Comma 3 7 16" xfId="13254"/>
    <cellStyle name="Comma 3 7 2" xfId="656"/>
    <cellStyle name="Comma 3 7 2 10" xfId="2495"/>
    <cellStyle name="Comma 3 7 2 11" xfId="6396"/>
    <cellStyle name="Comma 3 7 2 12" xfId="7920"/>
    <cellStyle name="Comma 3 7 2 13" xfId="11530"/>
    <cellStyle name="Comma 3 7 2 14" xfId="13276"/>
    <cellStyle name="Comma 3 7 2 2" xfId="704"/>
    <cellStyle name="Comma 3 7 2 2 10" xfId="6444"/>
    <cellStyle name="Comma 3 7 2 2 11" xfId="7968"/>
    <cellStyle name="Comma 3 7 2 2 12" xfId="11578"/>
    <cellStyle name="Comma 3 7 2 2 13" xfId="13324"/>
    <cellStyle name="Comma 3 7 2 2 2" xfId="828"/>
    <cellStyle name="Comma 3 7 2 2 2 10" xfId="8092"/>
    <cellStyle name="Comma 3 7 2 2 2 11" xfId="11702"/>
    <cellStyle name="Comma 3 7 2 2 2 12" xfId="13448"/>
    <cellStyle name="Comma 3 7 2 2 2 2" xfId="1076"/>
    <cellStyle name="Comma 3 7 2 2 2 2 10" xfId="11950"/>
    <cellStyle name="Comma 3 7 2 2 2 2 11" xfId="13696"/>
    <cellStyle name="Comma 3 7 2 2 2 2 2" xfId="1582"/>
    <cellStyle name="Comma 3 7 2 2 2 2 2 2" xfId="4397"/>
    <cellStyle name="Comma 3 7 2 2 2 2 2 2 2" xfId="9844"/>
    <cellStyle name="Comma 3 7 2 2 2 2 2 3" xfId="3387"/>
    <cellStyle name="Comma 3 7 2 2 2 2 2 4" xfId="7322"/>
    <cellStyle name="Comma 3 7 2 2 2 2 2 5" xfId="8836"/>
    <cellStyle name="Comma 3 7 2 2 2 2 2 6" xfId="12456"/>
    <cellStyle name="Comma 3 7 2 2 2 2 2 7" xfId="14202"/>
    <cellStyle name="Comma 3 7 2 2 2 2 3" xfId="2090"/>
    <cellStyle name="Comma 3 7 2 2 2 2 3 2" xfId="3903"/>
    <cellStyle name="Comma 3 7 2 2 2 2 3 3" xfId="7830"/>
    <cellStyle name="Comma 3 7 2 2 2 2 3 4" xfId="9348"/>
    <cellStyle name="Comma 3 7 2 2 2 2 3 5" xfId="12962"/>
    <cellStyle name="Comma 3 7 2 2 2 2 3 6" xfId="14708"/>
    <cellStyle name="Comma 3 7 2 2 2 2 4" xfId="4875"/>
    <cellStyle name="Comma 3 7 2 2 2 2 4 2" xfId="10346"/>
    <cellStyle name="Comma 3 7 2 2 2 2 5" xfId="5373"/>
    <cellStyle name="Comma 3 7 2 2 2 2 5 2" xfId="10848"/>
    <cellStyle name="Comma 3 7 2 2 2 2 6" xfId="5875"/>
    <cellStyle name="Comma 3 7 2 2 2 2 6 2" xfId="11350"/>
    <cellStyle name="Comma 3 7 2 2 2 2 7" xfId="2893"/>
    <cellStyle name="Comma 3 7 2 2 2 2 8" xfId="6816"/>
    <cellStyle name="Comma 3 7 2 2 2 2 9" xfId="8340"/>
    <cellStyle name="Comma 3 7 2 2 2 3" xfId="1334"/>
    <cellStyle name="Comma 3 7 2 2 2 3 2" xfId="4149"/>
    <cellStyle name="Comma 3 7 2 2 2 3 2 2" xfId="9596"/>
    <cellStyle name="Comma 3 7 2 2 2 3 3" xfId="3139"/>
    <cellStyle name="Comma 3 7 2 2 2 3 4" xfId="7074"/>
    <cellStyle name="Comma 3 7 2 2 2 3 5" xfId="8588"/>
    <cellStyle name="Comma 3 7 2 2 2 3 6" xfId="12208"/>
    <cellStyle name="Comma 3 7 2 2 2 3 7" xfId="13954"/>
    <cellStyle name="Comma 3 7 2 2 2 4" xfId="1842"/>
    <cellStyle name="Comma 3 7 2 2 2 4 2" xfId="3655"/>
    <cellStyle name="Comma 3 7 2 2 2 4 3" xfId="7582"/>
    <cellStyle name="Comma 3 7 2 2 2 4 4" xfId="9100"/>
    <cellStyle name="Comma 3 7 2 2 2 4 5" xfId="12714"/>
    <cellStyle name="Comma 3 7 2 2 2 4 6" xfId="14460"/>
    <cellStyle name="Comma 3 7 2 2 2 5" xfId="4636"/>
    <cellStyle name="Comma 3 7 2 2 2 5 2" xfId="10098"/>
    <cellStyle name="Comma 3 7 2 2 2 6" xfId="5125"/>
    <cellStyle name="Comma 3 7 2 2 2 6 2" xfId="10600"/>
    <cellStyle name="Comma 3 7 2 2 2 7" xfId="5627"/>
    <cellStyle name="Comma 3 7 2 2 2 7 2" xfId="11102"/>
    <cellStyle name="Comma 3 7 2 2 2 8" xfId="2652"/>
    <cellStyle name="Comma 3 7 2 2 2 9" xfId="6568"/>
    <cellStyle name="Comma 3 7 2 2 3" xfId="952"/>
    <cellStyle name="Comma 3 7 2 2 3 10" xfId="11826"/>
    <cellStyle name="Comma 3 7 2 2 3 11" xfId="13572"/>
    <cellStyle name="Comma 3 7 2 2 3 2" xfId="1458"/>
    <cellStyle name="Comma 3 7 2 2 3 2 2" xfId="4273"/>
    <cellStyle name="Comma 3 7 2 2 3 2 2 2" xfId="9720"/>
    <cellStyle name="Comma 3 7 2 2 3 2 3" xfId="3263"/>
    <cellStyle name="Comma 3 7 2 2 3 2 4" xfId="7198"/>
    <cellStyle name="Comma 3 7 2 2 3 2 5" xfId="8712"/>
    <cellStyle name="Comma 3 7 2 2 3 2 6" xfId="12332"/>
    <cellStyle name="Comma 3 7 2 2 3 2 7" xfId="14078"/>
    <cellStyle name="Comma 3 7 2 2 3 3" xfId="1966"/>
    <cellStyle name="Comma 3 7 2 2 3 3 2" xfId="3779"/>
    <cellStyle name="Comma 3 7 2 2 3 3 3" xfId="7706"/>
    <cellStyle name="Comma 3 7 2 2 3 3 4" xfId="9224"/>
    <cellStyle name="Comma 3 7 2 2 3 3 5" xfId="12838"/>
    <cellStyle name="Comma 3 7 2 2 3 3 6" xfId="14584"/>
    <cellStyle name="Comma 3 7 2 2 3 4" xfId="4752"/>
    <cellStyle name="Comma 3 7 2 2 3 4 2" xfId="10222"/>
    <cellStyle name="Comma 3 7 2 2 3 5" xfId="5249"/>
    <cellStyle name="Comma 3 7 2 2 3 5 2" xfId="10724"/>
    <cellStyle name="Comma 3 7 2 2 3 6" xfId="5751"/>
    <cellStyle name="Comma 3 7 2 2 3 6 2" xfId="11226"/>
    <cellStyle name="Comma 3 7 2 2 3 7" xfId="2770"/>
    <cellStyle name="Comma 3 7 2 2 3 8" xfId="6692"/>
    <cellStyle name="Comma 3 7 2 2 3 9" xfId="8216"/>
    <cellStyle name="Comma 3 7 2 2 4" xfId="1210"/>
    <cellStyle name="Comma 3 7 2 2 4 2" xfId="4026"/>
    <cellStyle name="Comma 3 7 2 2 4 2 2" xfId="9472"/>
    <cellStyle name="Comma 3 7 2 2 4 3" xfId="3016"/>
    <cellStyle name="Comma 3 7 2 2 4 4" xfId="6950"/>
    <cellStyle name="Comma 3 7 2 2 4 5" xfId="8464"/>
    <cellStyle name="Comma 3 7 2 2 4 6" xfId="12084"/>
    <cellStyle name="Comma 3 7 2 2 4 7" xfId="13830"/>
    <cellStyle name="Comma 3 7 2 2 5" xfId="1718"/>
    <cellStyle name="Comma 3 7 2 2 5 2" xfId="3531"/>
    <cellStyle name="Comma 3 7 2 2 5 3" xfId="7458"/>
    <cellStyle name="Comma 3 7 2 2 5 4" xfId="8976"/>
    <cellStyle name="Comma 3 7 2 2 5 5" xfId="12590"/>
    <cellStyle name="Comma 3 7 2 2 5 6" xfId="14336"/>
    <cellStyle name="Comma 3 7 2 2 6" xfId="4522"/>
    <cellStyle name="Comma 3 7 2 2 6 2" xfId="9974"/>
    <cellStyle name="Comma 3 7 2 2 7" xfId="5001"/>
    <cellStyle name="Comma 3 7 2 2 7 2" xfId="10476"/>
    <cellStyle name="Comma 3 7 2 2 8" xfId="5503"/>
    <cellStyle name="Comma 3 7 2 2 8 2" xfId="10978"/>
    <cellStyle name="Comma 3 7 2 2 9" xfId="2538"/>
    <cellStyle name="Comma 3 7 2 3" xfId="780"/>
    <cellStyle name="Comma 3 7 2 3 10" xfId="8044"/>
    <cellStyle name="Comma 3 7 2 3 11" xfId="11654"/>
    <cellStyle name="Comma 3 7 2 3 12" xfId="13400"/>
    <cellStyle name="Comma 3 7 2 3 2" xfId="1028"/>
    <cellStyle name="Comma 3 7 2 3 2 10" xfId="11902"/>
    <cellStyle name="Comma 3 7 2 3 2 11" xfId="13648"/>
    <cellStyle name="Comma 3 7 2 3 2 2" xfId="1534"/>
    <cellStyle name="Comma 3 7 2 3 2 2 2" xfId="4349"/>
    <cellStyle name="Comma 3 7 2 3 2 2 2 2" xfId="9796"/>
    <cellStyle name="Comma 3 7 2 3 2 2 3" xfId="3339"/>
    <cellStyle name="Comma 3 7 2 3 2 2 4" xfId="7274"/>
    <cellStyle name="Comma 3 7 2 3 2 2 5" xfId="8788"/>
    <cellStyle name="Comma 3 7 2 3 2 2 6" xfId="12408"/>
    <cellStyle name="Comma 3 7 2 3 2 2 7" xfId="14154"/>
    <cellStyle name="Comma 3 7 2 3 2 3" xfId="2042"/>
    <cellStyle name="Comma 3 7 2 3 2 3 2" xfId="3855"/>
    <cellStyle name="Comma 3 7 2 3 2 3 3" xfId="7782"/>
    <cellStyle name="Comma 3 7 2 3 2 3 4" xfId="9300"/>
    <cellStyle name="Comma 3 7 2 3 2 3 5" xfId="12914"/>
    <cellStyle name="Comma 3 7 2 3 2 3 6" xfId="14660"/>
    <cellStyle name="Comma 3 7 2 3 2 4" xfId="4827"/>
    <cellStyle name="Comma 3 7 2 3 2 4 2" xfId="10298"/>
    <cellStyle name="Comma 3 7 2 3 2 5" xfId="5325"/>
    <cellStyle name="Comma 3 7 2 3 2 5 2" xfId="10800"/>
    <cellStyle name="Comma 3 7 2 3 2 6" xfId="5827"/>
    <cellStyle name="Comma 3 7 2 3 2 6 2" xfId="11302"/>
    <cellStyle name="Comma 3 7 2 3 2 7" xfId="2845"/>
    <cellStyle name="Comma 3 7 2 3 2 8" xfId="6768"/>
    <cellStyle name="Comma 3 7 2 3 2 9" xfId="8292"/>
    <cellStyle name="Comma 3 7 2 3 3" xfId="1286"/>
    <cellStyle name="Comma 3 7 2 3 3 2" xfId="4101"/>
    <cellStyle name="Comma 3 7 2 3 3 2 2" xfId="9548"/>
    <cellStyle name="Comma 3 7 2 3 3 3" xfId="3091"/>
    <cellStyle name="Comma 3 7 2 3 3 4" xfId="7026"/>
    <cellStyle name="Comma 3 7 2 3 3 5" xfId="8540"/>
    <cellStyle name="Comma 3 7 2 3 3 6" xfId="12160"/>
    <cellStyle name="Comma 3 7 2 3 3 7" xfId="13906"/>
    <cellStyle name="Comma 3 7 2 3 4" xfId="1794"/>
    <cellStyle name="Comma 3 7 2 3 4 2" xfId="3607"/>
    <cellStyle name="Comma 3 7 2 3 4 3" xfId="7534"/>
    <cellStyle name="Comma 3 7 2 3 4 4" xfId="9052"/>
    <cellStyle name="Comma 3 7 2 3 4 5" xfId="12666"/>
    <cellStyle name="Comma 3 7 2 3 4 6" xfId="14412"/>
    <cellStyle name="Comma 3 7 2 3 5" xfId="4591"/>
    <cellStyle name="Comma 3 7 2 3 5 2" xfId="10050"/>
    <cellStyle name="Comma 3 7 2 3 6" xfId="5077"/>
    <cellStyle name="Comma 3 7 2 3 6 2" xfId="10552"/>
    <cellStyle name="Comma 3 7 2 3 7" xfId="5579"/>
    <cellStyle name="Comma 3 7 2 3 7 2" xfId="11054"/>
    <cellStyle name="Comma 3 7 2 3 8" xfId="2607"/>
    <cellStyle name="Comma 3 7 2 3 9" xfId="6520"/>
    <cellStyle name="Comma 3 7 2 4" xfId="904"/>
    <cellStyle name="Comma 3 7 2 4 10" xfId="11778"/>
    <cellStyle name="Comma 3 7 2 4 11" xfId="13524"/>
    <cellStyle name="Comma 3 7 2 4 2" xfId="1410"/>
    <cellStyle name="Comma 3 7 2 4 2 2" xfId="4225"/>
    <cellStyle name="Comma 3 7 2 4 2 2 2" xfId="9672"/>
    <cellStyle name="Comma 3 7 2 4 2 3" xfId="3215"/>
    <cellStyle name="Comma 3 7 2 4 2 4" xfId="7150"/>
    <cellStyle name="Comma 3 7 2 4 2 5" xfId="8664"/>
    <cellStyle name="Comma 3 7 2 4 2 6" xfId="12284"/>
    <cellStyle name="Comma 3 7 2 4 2 7" xfId="14030"/>
    <cellStyle name="Comma 3 7 2 4 3" xfId="1918"/>
    <cellStyle name="Comma 3 7 2 4 3 2" xfId="3731"/>
    <cellStyle name="Comma 3 7 2 4 3 3" xfId="7658"/>
    <cellStyle name="Comma 3 7 2 4 3 4" xfId="9176"/>
    <cellStyle name="Comma 3 7 2 4 3 5" xfId="12790"/>
    <cellStyle name="Comma 3 7 2 4 3 6" xfId="14536"/>
    <cellStyle name="Comma 3 7 2 4 4" xfId="4707"/>
    <cellStyle name="Comma 3 7 2 4 4 2" xfId="10174"/>
    <cellStyle name="Comma 3 7 2 4 5" xfId="5201"/>
    <cellStyle name="Comma 3 7 2 4 5 2" xfId="10676"/>
    <cellStyle name="Comma 3 7 2 4 6" xfId="5703"/>
    <cellStyle name="Comma 3 7 2 4 6 2" xfId="11178"/>
    <cellStyle name="Comma 3 7 2 4 7" xfId="2725"/>
    <cellStyle name="Comma 3 7 2 4 8" xfId="6644"/>
    <cellStyle name="Comma 3 7 2 4 9" xfId="8168"/>
    <cellStyle name="Comma 3 7 2 5" xfId="1162"/>
    <cellStyle name="Comma 3 7 2 5 2" xfId="3979"/>
    <cellStyle name="Comma 3 7 2 5 2 2" xfId="9424"/>
    <cellStyle name="Comma 3 7 2 5 3" xfId="2969"/>
    <cellStyle name="Comma 3 7 2 5 4" xfId="6902"/>
    <cellStyle name="Comma 3 7 2 5 5" xfId="8416"/>
    <cellStyle name="Comma 3 7 2 5 6" xfId="12036"/>
    <cellStyle name="Comma 3 7 2 5 7" xfId="13782"/>
    <cellStyle name="Comma 3 7 2 6" xfId="1670"/>
    <cellStyle name="Comma 3 7 2 6 2" xfId="3483"/>
    <cellStyle name="Comma 3 7 2 6 3" xfId="7410"/>
    <cellStyle name="Comma 3 7 2 6 4" xfId="8928"/>
    <cellStyle name="Comma 3 7 2 6 5" xfId="12542"/>
    <cellStyle name="Comma 3 7 2 6 6" xfId="14288"/>
    <cellStyle name="Comma 3 7 2 7" xfId="4479"/>
    <cellStyle name="Comma 3 7 2 7 2" xfId="9926"/>
    <cellStyle name="Comma 3 7 2 8" xfId="4953"/>
    <cellStyle name="Comma 3 7 2 8 2" xfId="10428"/>
    <cellStyle name="Comma 3 7 2 9" xfId="5455"/>
    <cellStyle name="Comma 3 7 2 9 2" xfId="10930"/>
    <cellStyle name="Comma 3 7 3" xfId="676"/>
    <cellStyle name="Comma 3 7 3 10" xfId="2513"/>
    <cellStyle name="Comma 3 7 3 11" xfId="6416"/>
    <cellStyle name="Comma 3 7 3 12" xfId="7940"/>
    <cellStyle name="Comma 3 7 3 13" xfId="11550"/>
    <cellStyle name="Comma 3 7 3 14" xfId="13296"/>
    <cellStyle name="Comma 3 7 3 2" xfId="705"/>
    <cellStyle name="Comma 3 7 3 2 10" xfId="6445"/>
    <cellStyle name="Comma 3 7 3 2 11" xfId="7969"/>
    <cellStyle name="Comma 3 7 3 2 12" xfId="11579"/>
    <cellStyle name="Comma 3 7 3 2 13" xfId="13325"/>
    <cellStyle name="Comma 3 7 3 2 2" xfId="829"/>
    <cellStyle name="Comma 3 7 3 2 2 10" xfId="8093"/>
    <cellStyle name="Comma 3 7 3 2 2 11" xfId="11703"/>
    <cellStyle name="Comma 3 7 3 2 2 12" xfId="13449"/>
    <cellStyle name="Comma 3 7 3 2 2 2" xfId="1077"/>
    <cellStyle name="Comma 3 7 3 2 2 2 10" xfId="11951"/>
    <cellStyle name="Comma 3 7 3 2 2 2 11" xfId="13697"/>
    <cellStyle name="Comma 3 7 3 2 2 2 2" xfId="1583"/>
    <cellStyle name="Comma 3 7 3 2 2 2 2 2" xfId="4398"/>
    <cellStyle name="Comma 3 7 3 2 2 2 2 2 2" xfId="9845"/>
    <cellStyle name="Comma 3 7 3 2 2 2 2 3" xfId="3388"/>
    <cellStyle name="Comma 3 7 3 2 2 2 2 4" xfId="7323"/>
    <cellStyle name="Comma 3 7 3 2 2 2 2 5" xfId="8837"/>
    <cellStyle name="Comma 3 7 3 2 2 2 2 6" xfId="12457"/>
    <cellStyle name="Comma 3 7 3 2 2 2 2 7" xfId="14203"/>
    <cellStyle name="Comma 3 7 3 2 2 2 3" xfId="2091"/>
    <cellStyle name="Comma 3 7 3 2 2 2 3 2" xfId="3904"/>
    <cellStyle name="Comma 3 7 3 2 2 2 3 3" xfId="7831"/>
    <cellStyle name="Comma 3 7 3 2 2 2 3 4" xfId="9349"/>
    <cellStyle name="Comma 3 7 3 2 2 2 3 5" xfId="12963"/>
    <cellStyle name="Comma 3 7 3 2 2 2 3 6" xfId="14709"/>
    <cellStyle name="Comma 3 7 3 2 2 2 4" xfId="4876"/>
    <cellStyle name="Comma 3 7 3 2 2 2 4 2" xfId="10347"/>
    <cellStyle name="Comma 3 7 3 2 2 2 5" xfId="5374"/>
    <cellStyle name="Comma 3 7 3 2 2 2 5 2" xfId="10849"/>
    <cellStyle name="Comma 3 7 3 2 2 2 6" xfId="5876"/>
    <cellStyle name="Comma 3 7 3 2 2 2 6 2" xfId="11351"/>
    <cellStyle name="Comma 3 7 3 2 2 2 7" xfId="2894"/>
    <cellStyle name="Comma 3 7 3 2 2 2 8" xfId="6817"/>
    <cellStyle name="Comma 3 7 3 2 2 2 9" xfId="8341"/>
    <cellStyle name="Comma 3 7 3 2 2 3" xfId="1335"/>
    <cellStyle name="Comma 3 7 3 2 2 3 2" xfId="4150"/>
    <cellStyle name="Comma 3 7 3 2 2 3 2 2" xfId="9597"/>
    <cellStyle name="Comma 3 7 3 2 2 3 3" xfId="3140"/>
    <cellStyle name="Comma 3 7 3 2 2 3 4" xfId="7075"/>
    <cellStyle name="Comma 3 7 3 2 2 3 5" xfId="8589"/>
    <cellStyle name="Comma 3 7 3 2 2 3 6" xfId="12209"/>
    <cellStyle name="Comma 3 7 3 2 2 3 7" xfId="13955"/>
    <cellStyle name="Comma 3 7 3 2 2 4" xfId="1843"/>
    <cellStyle name="Comma 3 7 3 2 2 4 2" xfId="3656"/>
    <cellStyle name="Comma 3 7 3 2 2 4 3" xfId="7583"/>
    <cellStyle name="Comma 3 7 3 2 2 4 4" xfId="9101"/>
    <cellStyle name="Comma 3 7 3 2 2 4 5" xfId="12715"/>
    <cellStyle name="Comma 3 7 3 2 2 4 6" xfId="14461"/>
    <cellStyle name="Comma 3 7 3 2 2 5" xfId="4637"/>
    <cellStyle name="Comma 3 7 3 2 2 5 2" xfId="10099"/>
    <cellStyle name="Comma 3 7 3 2 2 6" xfId="5126"/>
    <cellStyle name="Comma 3 7 3 2 2 6 2" xfId="10601"/>
    <cellStyle name="Comma 3 7 3 2 2 7" xfId="5628"/>
    <cellStyle name="Comma 3 7 3 2 2 7 2" xfId="11103"/>
    <cellStyle name="Comma 3 7 3 2 2 8" xfId="2653"/>
    <cellStyle name="Comma 3 7 3 2 2 9" xfId="6569"/>
    <cellStyle name="Comma 3 7 3 2 3" xfId="953"/>
    <cellStyle name="Comma 3 7 3 2 3 10" xfId="11827"/>
    <cellStyle name="Comma 3 7 3 2 3 11" xfId="13573"/>
    <cellStyle name="Comma 3 7 3 2 3 2" xfId="1459"/>
    <cellStyle name="Comma 3 7 3 2 3 2 2" xfId="4274"/>
    <cellStyle name="Comma 3 7 3 2 3 2 2 2" xfId="9721"/>
    <cellStyle name="Comma 3 7 3 2 3 2 3" xfId="3264"/>
    <cellStyle name="Comma 3 7 3 2 3 2 4" xfId="7199"/>
    <cellStyle name="Comma 3 7 3 2 3 2 5" xfId="8713"/>
    <cellStyle name="Comma 3 7 3 2 3 2 6" xfId="12333"/>
    <cellStyle name="Comma 3 7 3 2 3 2 7" xfId="14079"/>
    <cellStyle name="Comma 3 7 3 2 3 3" xfId="1967"/>
    <cellStyle name="Comma 3 7 3 2 3 3 2" xfId="3780"/>
    <cellStyle name="Comma 3 7 3 2 3 3 3" xfId="7707"/>
    <cellStyle name="Comma 3 7 3 2 3 3 4" xfId="9225"/>
    <cellStyle name="Comma 3 7 3 2 3 3 5" xfId="12839"/>
    <cellStyle name="Comma 3 7 3 2 3 3 6" xfId="14585"/>
    <cellStyle name="Comma 3 7 3 2 3 4" xfId="4753"/>
    <cellStyle name="Comma 3 7 3 2 3 4 2" xfId="10223"/>
    <cellStyle name="Comma 3 7 3 2 3 5" xfId="5250"/>
    <cellStyle name="Comma 3 7 3 2 3 5 2" xfId="10725"/>
    <cellStyle name="Comma 3 7 3 2 3 6" xfId="5752"/>
    <cellStyle name="Comma 3 7 3 2 3 6 2" xfId="11227"/>
    <cellStyle name="Comma 3 7 3 2 3 7" xfId="2771"/>
    <cellStyle name="Comma 3 7 3 2 3 8" xfId="6693"/>
    <cellStyle name="Comma 3 7 3 2 3 9" xfId="8217"/>
    <cellStyle name="Comma 3 7 3 2 4" xfId="1211"/>
    <cellStyle name="Comma 3 7 3 2 4 2" xfId="4027"/>
    <cellStyle name="Comma 3 7 3 2 4 2 2" xfId="9473"/>
    <cellStyle name="Comma 3 7 3 2 4 3" xfId="3017"/>
    <cellStyle name="Comma 3 7 3 2 4 4" xfId="6951"/>
    <cellStyle name="Comma 3 7 3 2 4 5" xfId="8465"/>
    <cellStyle name="Comma 3 7 3 2 4 6" xfId="12085"/>
    <cellStyle name="Comma 3 7 3 2 4 7" xfId="13831"/>
    <cellStyle name="Comma 3 7 3 2 5" xfId="1719"/>
    <cellStyle name="Comma 3 7 3 2 5 2" xfId="3532"/>
    <cellStyle name="Comma 3 7 3 2 5 3" xfId="7459"/>
    <cellStyle name="Comma 3 7 3 2 5 4" xfId="8977"/>
    <cellStyle name="Comma 3 7 3 2 5 5" xfId="12591"/>
    <cellStyle name="Comma 3 7 3 2 5 6" xfId="14337"/>
    <cellStyle name="Comma 3 7 3 2 6" xfId="4523"/>
    <cellStyle name="Comma 3 7 3 2 6 2" xfId="9975"/>
    <cellStyle name="Comma 3 7 3 2 7" xfId="5002"/>
    <cellStyle name="Comma 3 7 3 2 7 2" xfId="10477"/>
    <cellStyle name="Comma 3 7 3 2 8" xfId="5504"/>
    <cellStyle name="Comma 3 7 3 2 8 2" xfId="10979"/>
    <cellStyle name="Comma 3 7 3 2 9" xfId="2539"/>
    <cellStyle name="Comma 3 7 3 3" xfId="800"/>
    <cellStyle name="Comma 3 7 3 3 10" xfId="8064"/>
    <cellStyle name="Comma 3 7 3 3 11" xfId="11674"/>
    <cellStyle name="Comma 3 7 3 3 12" xfId="13420"/>
    <cellStyle name="Comma 3 7 3 3 2" xfId="1048"/>
    <cellStyle name="Comma 3 7 3 3 2 10" xfId="11922"/>
    <cellStyle name="Comma 3 7 3 3 2 11" xfId="13668"/>
    <cellStyle name="Comma 3 7 3 3 2 2" xfId="1554"/>
    <cellStyle name="Comma 3 7 3 3 2 2 2" xfId="4369"/>
    <cellStyle name="Comma 3 7 3 3 2 2 2 2" xfId="9816"/>
    <cellStyle name="Comma 3 7 3 3 2 2 3" xfId="3359"/>
    <cellStyle name="Comma 3 7 3 3 2 2 4" xfId="7294"/>
    <cellStyle name="Comma 3 7 3 3 2 2 5" xfId="8808"/>
    <cellStyle name="Comma 3 7 3 3 2 2 6" xfId="12428"/>
    <cellStyle name="Comma 3 7 3 3 2 2 7" xfId="14174"/>
    <cellStyle name="Comma 3 7 3 3 2 3" xfId="2062"/>
    <cellStyle name="Comma 3 7 3 3 2 3 2" xfId="3875"/>
    <cellStyle name="Comma 3 7 3 3 2 3 3" xfId="7802"/>
    <cellStyle name="Comma 3 7 3 3 2 3 4" xfId="9320"/>
    <cellStyle name="Comma 3 7 3 3 2 3 5" xfId="12934"/>
    <cellStyle name="Comma 3 7 3 3 2 3 6" xfId="14680"/>
    <cellStyle name="Comma 3 7 3 3 2 4" xfId="4847"/>
    <cellStyle name="Comma 3 7 3 3 2 4 2" xfId="10318"/>
    <cellStyle name="Comma 3 7 3 3 2 5" xfId="5345"/>
    <cellStyle name="Comma 3 7 3 3 2 5 2" xfId="10820"/>
    <cellStyle name="Comma 3 7 3 3 2 6" xfId="5847"/>
    <cellStyle name="Comma 3 7 3 3 2 6 2" xfId="11322"/>
    <cellStyle name="Comma 3 7 3 3 2 7" xfId="2865"/>
    <cellStyle name="Comma 3 7 3 3 2 8" xfId="6788"/>
    <cellStyle name="Comma 3 7 3 3 2 9" xfId="8312"/>
    <cellStyle name="Comma 3 7 3 3 3" xfId="1306"/>
    <cellStyle name="Comma 3 7 3 3 3 2" xfId="4121"/>
    <cellStyle name="Comma 3 7 3 3 3 2 2" xfId="9568"/>
    <cellStyle name="Comma 3 7 3 3 3 3" xfId="3111"/>
    <cellStyle name="Comma 3 7 3 3 3 4" xfId="7046"/>
    <cellStyle name="Comma 3 7 3 3 3 5" xfId="8560"/>
    <cellStyle name="Comma 3 7 3 3 3 6" xfId="12180"/>
    <cellStyle name="Comma 3 7 3 3 3 7" xfId="13926"/>
    <cellStyle name="Comma 3 7 3 3 4" xfId="1814"/>
    <cellStyle name="Comma 3 7 3 3 4 2" xfId="3627"/>
    <cellStyle name="Comma 3 7 3 3 4 3" xfId="7554"/>
    <cellStyle name="Comma 3 7 3 3 4 4" xfId="9072"/>
    <cellStyle name="Comma 3 7 3 3 4 5" xfId="12686"/>
    <cellStyle name="Comma 3 7 3 3 4 6" xfId="14432"/>
    <cellStyle name="Comma 3 7 3 3 5" xfId="4609"/>
    <cellStyle name="Comma 3 7 3 3 5 2" xfId="10070"/>
    <cellStyle name="Comma 3 7 3 3 6" xfId="5097"/>
    <cellStyle name="Comma 3 7 3 3 6 2" xfId="10572"/>
    <cellStyle name="Comma 3 7 3 3 7" xfId="5599"/>
    <cellStyle name="Comma 3 7 3 3 7 2" xfId="11074"/>
    <cellStyle name="Comma 3 7 3 3 8" xfId="2625"/>
    <cellStyle name="Comma 3 7 3 3 9" xfId="6540"/>
    <cellStyle name="Comma 3 7 3 4" xfId="924"/>
    <cellStyle name="Comma 3 7 3 4 10" xfId="11798"/>
    <cellStyle name="Comma 3 7 3 4 11" xfId="13544"/>
    <cellStyle name="Comma 3 7 3 4 2" xfId="1430"/>
    <cellStyle name="Comma 3 7 3 4 2 2" xfId="4245"/>
    <cellStyle name="Comma 3 7 3 4 2 2 2" xfId="9692"/>
    <cellStyle name="Comma 3 7 3 4 2 3" xfId="3235"/>
    <cellStyle name="Comma 3 7 3 4 2 4" xfId="7170"/>
    <cellStyle name="Comma 3 7 3 4 2 5" xfId="8684"/>
    <cellStyle name="Comma 3 7 3 4 2 6" xfId="12304"/>
    <cellStyle name="Comma 3 7 3 4 2 7" xfId="14050"/>
    <cellStyle name="Comma 3 7 3 4 3" xfId="1938"/>
    <cellStyle name="Comma 3 7 3 4 3 2" xfId="3751"/>
    <cellStyle name="Comma 3 7 3 4 3 3" xfId="7678"/>
    <cellStyle name="Comma 3 7 3 4 3 4" xfId="9196"/>
    <cellStyle name="Comma 3 7 3 4 3 5" xfId="12810"/>
    <cellStyle name="Comma 3 7 3 4 3 6" xfId="14556"/>
    <cellStyle name="Comma 3 7 3 4 4" xfId="4725"/>
    <cellStyle name="Comma 3 7 3 4 4 2" xfId="10194"/>
    <cellStyle name="Comma 3 7 3 4 5" xfId="5221"/>
    <cellStyle name="Comma 3 7 3 4 5 2" xfId="10696"/>
    <cellStyle name="Comma 3 7 3 4 6" xfId="5723"/>
    <cellStyle name="Comma 3 7 3 4 6 2" xfId="11198"/>
    <cellStyle name="Comma 3 7 3 4 7" xfId="2743"/>
    <cellStyle name="Comma 3 7 3 4 8" xfId="6664"/>
    <cellStyle name="Comma 3 7 3 4 9" xfId="8188"/>
    <cellStyle name="Comma 3 7 3 5" xfId="1182"/>
    <cellStyle name="Comma 3 7 3 5 2" xfId="3999"/>
    <cellStyle name="Comma 3 7 3 5 2 2" xfId="9444"/>
    <cellStyle name="Comma 3 7 3 5 3" xfId="2989"/>
    <cellStyle name="Comma 3 7 3 5 4" xfId="6922"/>
    <cellStyle name="Comma 3 7 3 5 5" xfId="8436"/>
    <cellStyle name="Comma 3 7 3 5 6" xfId="12056"/>
    <cellStyle name="Comma 3 7 3 5 7" xfId="13802"/>
    <cellStyle name="Comma 3 7 3 6" xfId="1690"/>
    <cellStyle name="Comma 3 7 3 6 2" xfId="3503"/>
    <cellStyle name="Comma 3 7 3 6 3" xfId="7430"/>
    <cellStyle name="Comma 3 7 3 6 4" xfId="8948"/>
    <cellStyle name="Comma 3 7 3 6 5" xfId="12562"/>
    <cellStyle name="Comma 3 7 3 6 6" xfId="14308"/>
    <cellStyle name="Comma 3 7 3 7" xfId="4497"/>
    <cellStyle name="Comma 3 7 3 7 2" xfId="9946"/>
    <cellStyle name="Comma 3 7 3 8" xfId="4973"/>
    <cellStyle name="Comma 3 7 3 8 2" xfId="10448"/>
    <cellStyle name="Comma 3 7 3 9" xfId="5475"/>
    <cellStyle name="Comma 3 7 3 9 2" xfId="10950"/>
    <cellStyle name="Comma 3 7 4" xfId="703"/>
    <cellStyle name="Comma 3 7 4 10" xfId="6443"/>
    <cellStyle name="Comma 3 7 4 11" xfId="7967"/>
    <cellStyle name="Comma 3 7 4 12" xfId="11577"/>
    <cellStyle name="Comma 3 7 4 13" xfId="13323"/>
    <cellStyle name="Comma 3 7 4 2" xfId="827"/>
    <cellStyle name="Comma 3 7 4 2 10" xfId="8091"/>
    <cellStyle name="Comma 3 7 4 2 11" xfId="11701"/>
    <cellStyle name="Comma 3 7 4 2 12" xfId="13447"/>
    <cellStyle name="Comma 3 7 4 2 2" xfId="1075"/>
    <cellStyle name="Comma 3 7 4 2 2 10" xfId="11949"/>
    <cellStyle name="Comma 3 7 4 2 2 11" xfId="13695"/>
    <cellStyle name="Comma 3 7 4 2 2 2" xfId="1581"/>
    <cellStyle name="Comma 3 7 4 2 2 2 2" xfId="4396"/>
    <cellStyle name="Comma 3 7 4 2 2 2 2 2" xfId="9843"/>
    <cellStyle name="Comma 3 7 4 2 2 2 3" xfId="3386"/>
    <cellStyle name="Comma 3 7 4 2 2 2 4" xfId="7321"/>
    <cellStyle name="Comma 3 7 4 2 2 2 5" xfId="8835"/>
    <cellStyle name="Comma 3 7 4 2 2 2 6" xfId="12455"/>
    <cellStyle name="Comma 3 7 4 2 2 2 7" xfId="14201"/>
    <cellStyle name="Comma 3 7 4 2 2 3" xfId="2089"/>
    <cellStyle name="Comma 3 7 4 2 2 3 2" xfId="3902"/>
    <cellStyle name="Comma 3 7 4 2 2 3 3" xfId="7829"/>
    <cellStyle name="Comma 3 7 4 2 2 3 4" xfId="9347"/>
    <cellStyle name="Comma 3 7 4 2 2 3 5" xfId="12961"/>
    <cellStyle name="Comma 3 7 4 2 2 3 6" xfId="14707"/>
    <cellStyle name="Comma 3 7 4 2 2 4" xfId="4874"/>
    <cellStyle name="Comma 3 7 4 2 2 4 2" xfId="10345"/>
    <cellStyle name="Comma 3 7 4 2 2 5" xfId="5372"/>
    <cellStyle name="Comma 3 7 4 2 2 5 2" xfId="10847"/>
    <cellStyle name="Comma 3 7 4 2 2 6" xfId="5874"/>
    <cellStyle name="Comma 3 7 4 2 2 6 2" xfId="11349"/>
    <cellStyle name="Comma 3 7 4 2 2 7" xfId="2892"/>
    <cellStyle name="Comma 3 7 4 2 2 8" xfId="6815"/>
    <cellStyle name="Comma 3 7 4 2 2 9" xfId="8339"/>
    <cellStyle name="Comma 3 7 4 2 3" xfId="1333"/>
    <cellStyle name="Comma 3 7 4 2 3 2" xfId="4148"/>
    <cellStyle name="Comma 3 7 4 2 3 2 2" xfId="9595"/>
    <cellStyle name="Comma 3 7 4 2 3 3" xfId="3138"/>
    <cellStyle name="Comma 3 7 4 2 3 4" xfId="7073"/>
    <cellStyle name="Comma 3 7 4 2 3 5" xfId="8587"/>
    <cellStyle name="Comma 3 7 4 2 3 6" xfId="12207"/>
    <cellStyle name="Comma 3 7 4 2 3 7" xfId="13953"/>
    <cellStyle name="Comma 3 7 4 2 4" xfId="1841"/>
    <cellStyle name="Comma 3 7 4 2 4 2" xfId="3654"/>
    <cellStyle name="Comma 3 7 4 2 4 3" xfId="7581"/>
    <cellStyle name="Comma 3 7 4 2 4 4" xfId="9099"/>
    <cellStyle name="Comma 3 7 4 2 4 5" xfId="12713"/>
    <cellStyle name="Comma 3 7 4 2 4 6" xfId="14459"/>
    <cellStyle name="Comma 3 7 4 2 5" xfId="4635"/>
    <cellStyle name="Comma 3 7 4 2 5 2" xfId="10097"/>
    <cellStyle name="Comma 3 7 4 2 6" xfId="5124"/>
    <cellStyle name="Comma 3 7 4 2 6 2" xfId="10599"/>
    <cellStyle name="Comma 3 7 4 2 7" xfId="5626"/>
    <cellStyle name="Comma 3 7 4 2 7 2" xfId="11101"/>
    <cellStyle name="Comma 3 7 4 2 8" xfId="2651"/>
    <cellStyle name="Comma 3 7 4 2 9" xfId="6567"/>
    <cellStyle name="Comma 3 7 4 3" xfId="951"/>
    <cellStyle name="Comma 3 7 4 3 10" xfId="11825"/>
    <cellStyle name="Comma 3 7 4 3 11" xfId="13571"/>
    <cellStyle name="Comma 3 7 4 3 2" xfId="1457"/>
    <cellStyle name="Comma 3 7 4 3 2 2" xfId="4272"/>
    <cellStyle name="Comma 3 7 4 3 2 2 2" xfId="9719"/>
    <cellStyle name="Comma 3 7 4 3 2 3" xfId="3262"/>
    <cellStyle name="Comma 3 7 4 3 2 4" xfId="7197"/>
    <cellStyle name="Comma 3 7 4 3 2 5" xfId="8711"/>
    <cellStyle name="Comma 3 7 4 3 2 6" xfId="12331"/>
    <cellStyle name="Comma 3 7 4 3 2 7" xfId="14077"/>
    <cellStyle name="Comma 3 7 4 3 3" xfId="1965"/>
    <cellStyle name="Comma 3 7 4 3 3 2" xfId="3778"/>
    <cellStyle name="Comma 3 7 4 3 3 3" xfId="7705"/>
    <cellStyle name="Comma 3 7 4 3 3 4" xfId="9223"/>
    <cellStyle name="Comma 3 7 4 3 3 5" xfId="12837"/>
    <cellStyle name="Comma 3 7 4 3 3 6" xfId="14583"/>
    <cellStyle name="Comma 3 7 4 3 4" xfId="4751"/>
    <cellStyle name="Comma 3 7 4 3 4 2" xfId="10221"/>
    <cellStyle name="Comma 3 7 4 3 5" xfId="5248"/>
    <cellStyle name="Comma 3 7 4 3 5 2" xfId="10723"/>
    <cellStyle name="Comma 3 7 4 3 6" xfId="5750"/>
    <cellStyle name="Comma 3 7 4 3 6 2" xfId="11225"/>
    <cellStyle name="Comma 3 7 4 3 7" xfId="2769"/>
    <cellStyle name="Comma 3 7 4 3 8" xfId="6691"/>
    <cellStyle name="Comma 3 7 4 3 9" xfId="8215"/>
    <cellStyle name="Comma 3 7 4 4" xfId="1209"/>
    <cellStyle name="Comma 3 7 4 4 2" xfId="4025"/>
    <cellStyle name="Comma 3 7 4 4 2 2" xfId="9471"/>
    <cellStyle name="Comma 3 7 4 4 3" xfId="3015"/>
    <cellStyle name="Comma 3 7 4 4 4" xfId="6949"/>
    <cellStyle name="Comma 3 7 4 4 5" xfId="8463"/>
    <cellStyle name="Comma 3 7 4 4 6" xfId="12083"/>
    <cellStyle name="Comma 3 7 4 4 7" xfId="13829"/>
    <cellStyle name="Comma 3 7 4 5" xfId="1717"/>
    <cellStyle name="Comma 3 7 4 5 2" xfId="3530"/>
    <cellStyle name="Comma 3 7 4 5 3" xfId="7457"/>
    <cellStyle name="Comma 3 7 4 5 4" xfId="8975"/>
    <cellStyle name="Comma 3 7 4 5 5" xfId="12589"/>
    <cellStyle name="Comma 3 7 4 5 6" xfId="14335"/>
    <cellStyle name="Comma 3 7 4 6" xfId="4521"/>
    <cellStyle name="Comma 3 7 4 6 2" xfId="9973"/>
    <cellStyle name="Comma 3 7 4 7" xfId="5000"/>
    <cellStyle name="Comma 3 7 4 7 2" xfId="10475"/>
    <cellStyle name="Comma 3 7 4 8" xfId="5502"/>
    <cellStyle name="Comma 3 7 4 8 2" xfId="10977"/>
    <cellStyle name="Comma 3 7 4 9" xfId="2537"/>
    <cellStyle name="Comma 3 7 5" xfId="758"/>
    <cellStyle name="Comma 3 7 5 10" xfId="8022"/>
    <cellStyle name="Comma 3 7 5 11" xfId="11632"/>
    <cellStyle name="Comma 3 7 5 12" xfId="13378"/>
    <cellStyle name="Comma 3 7 5 2" xfId="1006"/>
    <cellStyle name="Comma 3 7 5 2 10" xfId="11880"/>
    <cellStyle name="Comma 3 7 5 2 11" xfId="13626"/>
    <cellStyle name="Comma 3 7 5 2 2" xfId="1512"/>
    <cellStyle name="Comma 3 7 5 2 2 2" xfId="4327"/>
    <cellStyle name="Comma 3 7 5 2 2 2 2" xfId="9774"/>
    <cellStyle name="Comma 3 7 5 2 2 3" xfId="3317"/>
    <cellStyle name="Comma 3 7 5 2 2 4" xfId="7252"/>
    <cellStyle name="Comma 3 7 5 2 2 5" xfId="8766"/>
    <cellStyle name="Comma 3 7 5 2 2 6" xfId="12386"/>
    <cellStyle name="Comma 3 7 5 2 2 7" xfId="14132"/>
    <cellStyle name="Comma 3 7 5 2 3" xfId="2020"/>
    <cellStyle name="Comma 3 7 5 2 3 2" xfId="3833"/>
    <cellStyle name="Comma 3 7 5 2 3 3" xfId="7760"/>
    <cellStyle name="Comma 3 7 5 2 3 4" xfId="9278"/>
    <cellStyle name="Comma 3 7 5 2 3 5" xfId="12892"/>
    <cellStyle name="Comma 3 7 5 2 3 6" xfId="14638"/>
    <cellStyle name="Comma 3 7 5 2 4" xfId="4805"/>
    <cellStyle name="Comma 3 7 5 2 4 2" xfId="10276"/>
    <cellStyle name="Comma 3 7 5 2 5" xfId="5303"/>
    <cellStyle name="Comma 3 7 5 2 5 2" xfId="10778"/>
    <cellStyle name="Comma 3 7 5 2 6" xfId="5805"/>
    <cellStyle name="Comma 3 7 5 2 6 2" xfId="11280"/>
    <cellStyle name="Comma 3 7 5 2 7" xfId="2823"/>
    <cellStyle name="Comma 3 7 5 2 8" xfId="6746"/>
    <cellStyle name="Comma 3 7 5 2 9" xfId="8270"/>
    <cellStyle name="Comma 3 7 5 3" xfId="1264"/>
    <cellStyle name="Comma 3 7 5 3 2" xfId="4079"/>
    <cellStyle name="Comma 3 7 5 3 2 2" xfId="9526"/>
    <cellStyle name="Comma 3 7 5 3 3" xfId="3069"/>
    <cellStyle name="Comma 3 7 5 3 4" xfId="7004"/>
    <cellStyle name="Comma 3 7 5 3 5" xfId="8518"/>
    <cellStyle name="Comma 3 7 5 3 6" xfId="12138"/>
    <cellStyle name="Comma 3 7 5 3 7" xfId="13884"/>
    <cellStyle name="Comma 3 7 5 4" xfId="1772"/>
    <cellStyle name="Comma 3 7 5 4 2" xfId="3585"/>
    <cellStyle name="Comma 3 7 5 4 3" xfId="7512"/>
    <cellStyle name="Comma 3 7 5 4 4" xfId="9030"/>
    <cellStyle name="Comma 3 7 5 4 5" xfId="12644"/>
    <cellStyle name="Comma 3 7 5 4 6" xfId="14390"/>
    <cellStyle name="Comma 3 7 5 5" xfId="4571"/>
    <cellStyle name="Comma 3 7 5 5 2" xfId="10028"/>
    <cellStyle name="Comma 3 7 5 6" xfId="5055"/>
    <cellStyle name="Comma 3 7 5 6 2" xfId="10530"/>
    <cellStyle name="Comma 3 7 5 7" xfId="5557"/>
    <cellStyle name="Comma 3 7 5 7 2" xfId="11032"/>
    <cellStyle name="Comma 3 7 5 8" xfId="2587"/>
    <cellStyle name="Comma 3 7 5 9" xfId="6498"/>
    <cellStyle name="Comma 3 7 6" xfId="882"/>
    <cellStyle name="Comma 3 7 6 10" xfId="11756"/>
    <cellStyle name="Comma 3 7 6 11" xfId="13502"/>
    <cellStyle name="Comma 3 7 6 2" xfId="1388"/>
    <cellStyle name="Comma 3 7 6 2 2" xfId="4203"/>
    <cellStyle name="Comma 3 7 6 2 2 2" xfId="9650"/>
    <cellStyle name="Comma 3 7 6 2 3" xfId="3193"/>
    <cellStyle name="Comma 3 7 6 2 4" xfId="7128"/>
    <cellStyle name="Comma 3 7 6 2 5" xfId="8642"/>
    <cellStyle name="Comma 3 7 6 2 6" xfId="12262"/>
    <cellStyle name="Comma 3 7 6 2 7" xfId="14008"/>
    <cellStyle name="Comma 3 7 6 3" xfId="1896"/>
    <cellStyle name="Comma 3 7 6 3 2" xfId="3709"/>
    <cellStyle name="Comma 3 7 6 3 3" xfId="7636"/>
    <cellStyle name="Comma 3 7 6 3 4" xfId="9154"/>
    <cellStyle name="Comma 3 7 6 3 5" xfId="12768"/>
    <cellStyle name="Comma 3 7 6 3 6" xfId="14514"/>
    <cellStyle name="Comma 3 7 6 4" xfId="4687"/>
    <cellStyle name="Comma 3 7 6 4 2" xfId="10152"/>
    <cellStyle name="Comma 3 7 6 5" xfId="5179"/>
    <cellStyle name="Comma 3 7 6 5 2" xfId="10654"/>
    <cellStyle name="Comma 3 7 6 6" xfId="5681"/>
    <cellStyle name="Comma 3 7 6 6 2" xfId="11156"/>
    <cellStyle name="Comma 3 7 6 7" xfId="2705"/>
    <cellStyle name="Comma 3 7 6 8" xfId="6622"/>
    <cellStyle name="Comma 3 7 6 9" xfId="8146"/>
    <cellStyle name="Comma 3 7 7" xfId="1140"/>
    <cellStyle name="Comma 3 7 7 2" xfId="3957"/>
    <cellStyle name="Comma 3 7 7 2 2" xfId="9402"/>
    <cellStyle name="Comma 3 7 7 3" xfId="2947"/>
    <cellStyle name="Comma 3 7 7 4" xfId="6880"/>
    <cellStyle name="Comma 3 7 7 5" xfId="8394"/>
    <cellStyle name="Comma 3 7 7 6" xfId="12014"/>
    <cellStyle name="Comma 3 7 7 7" xfId="13760"/>
    <cellStyle name="Comma 3 7 8" xfId="1648"/>
    <cellStyle name="Comma 3 7 8 2" xfId="3461"/>
    <cellStyle name="Comma 3 7 8 3" xfId="7388"/>
    <cellStyle name="Comma 3 7 8 4" xfId="8906"/>
    <cellStyle name="Comma 3 7 8 5" xfId="12520"/>
    <cellStyle name="Comma 3 7 8 6" xfId="14266"/>
    <cellStyle name="Comma 3 7 9" xfId="4457"/>
    <cellStyle name="Comma 3 7 9 2" xfId="9904"/>
    <cellStyle name="Comma 3 8" xfId="628"/>
    <cellStyle name="Comma 3 8 10" xfId="4935"/>
    <cellStyle name="Comma 3 8 10 2" xfId="10408"/>
    <cellStyle name="Comma 3 8 11" xfId="5435"/>
    <cellStyle name="Comma 3 8 11 2" xfId="10910"/>
    <cellStyle name="Comma 3 8 12" xfId="2477"/>
    <cellStyle name="Comma 3 8 13" xfId="6373"/>
    <cellStyle name="Comma 3 8 14" xfId="7900"/>
    <cellStyle name="Comma 3 8 15" xfId="11510"/>
    <cellStyle name="Comma 3 8 16" xfId="13256"/>
    <cellStyle name="Comma 3 8 2" xfId="658"/>
    <cellStyle name="Comma 3 8 2 10" xfId="2497"/>
    <cellStyle name="Comma 3 8 2 11" xfId="6398"/>
    <cellStyle name="Comma 3 8 2 12" xfId="7922"/>
    <cellStyle name="Comma 3 8 2 13" xfId="11532"/>
    <cellStyle name="Comma 3 8 2 14" xfId="13278"/>
    <cellStyle name="Comma 3 8 2 2" xfId="707"/>
    <cellStyle name="Comma 3 8 2 2 10" xfId="6447"/>
    <cellStyle name="Comma 3 8 2 2 11" xfId="7971"/>
    <cellStyle name="Comma 3 8 2 2 12" xfId="11581"/>
    <cellStyle name="Comma 3 8 2 2 13" xfId="13327"/>
    <cellStyle name="Comma 3 8 2 2 2" xfId="831"/>
    <cellStyle name="Comma 3 8 2 2 2 10" xfId="8095"/>
    <cellStyle name="Comma 3 8 2 2 2 11" xfId="11705"/>
    <cellStyle name="Comma 3 8 2 2 2 12" xfId="13451"/>
    <cellStyle name="Comma 3 8 2 2 2 2" xfId="1079"/>
    <cellStyle name="Comma 3 8 2 2 2 2 10" xfId="11953"/>
    <cellStyle name="Comma 3 8 2 2 2 2 11" xfId="13699"/>
    <cellStyle name="Comma 3 8 2 2 2 2 2" xfId="1585"/>
    <cellStyle name="Comma 3 8 2 2 2 2 2 2" xfId="4400"/>
    <cellStyle name="Comma 3 8 2 2 2 2 2 2 2" xfId="9847"/>
    <cellStyle name="Comma 3 8 2 2 2 2 2 3" xfId="3390"/>
    <cellStyle name="Comma 3 8 2 2 2 2 2 4" xfId="7325"/>
    <cellStyle name="Comma 3 8 2 2 2 2 2 5" xfId="8839"/>
    <cellStyle name="Comma 3 8 2 2 2 2 2 6" xfId="12459"/>
    <cellStyle name="Comma 3 8 2 2 2 2 2 7" xfId="14205"/>
    <cellStyle name="Comma 3 8 2 2 2 2 3" xfId="2093"/>
    <cellStyle name="Comma 3 8 2 2 2 2 3 2" xfId="3906"/>
    <cellStyle name="Comma 3 8 2 2 2 2 3 3" xfId="7833"/>
    <cellStyle name="Comma 3 8 2 2 2 2 3 4" xfId="9351"/>
    <cellStyle name="Comma 3 8 2 2 2 2 3 5" xfId="12965"/>
    <cellStyle name="Comma 3 8 2 2 2 2 3 6" xfId="14711"/>
    <cellStyle name="Comma 3 8 2 2 2 2 4" xfId="4878"/>
    <cellStyle name="Comma 3 8 2 2 2 2 4 2" xfId="10349"/>
    <cellStyle name="Comma 3 8 2 2 2 2 5" xfId="5376"/>
    <cellStyle name="Comma 3 8 2 2 2 2 5 2" xfId="10851"/>
    <cellStyle name="Comma 3 8 2 2 2 2 6" xfId="5878"/>
    <cellStyle name="Comma 3 8 2 2 2 2 6 2" xfId="11353"/>
    <cellStyle name="Comma 3 8 2 2 2 2 7" xfId="2896"/>
    <cellStyle name="Comma 3 8 2 2 2 2 8" xfId="6819"/>
    <cellStyle name="Comma 3 8 2 2 2 2 9" xfId="8343"/>
    <cellStyle name="Comma 3 8 2 2 2 3" xfId="1337"/>
    <cellStyle name="Comma 3 8 2 2 2 3 2" xfId="4152"/>
    <cellStyle name="Comma 3 8 2 2 2 3 2 2" xfId="9599"/>
    <cellStyle name="Comma 3 8 2 2 2 3 3" xfId="3142"/>
    <cellStyle name="Comma 3 8 2 2 2 3 4" xfId="7077"/>
    <cellStyle name="Comma 3 8 2 2 2 3 5" xfId="8591"/>
    <cellStyle name="Comma 3 8 2 2 2 3 6" xfId="12211"/>
    <cellStyle name="Comma 3 8 2 2 2 3 7" xfId="13957"/>
    <cellStyle name="Comma 3 8 2 2 2 4" xfId="1845"/>
    <cellStyle name="Comma 3 8 2 2 2 4 2" xfId="3658"/>
    <cellStyle name="Comma 3 8 2 2 2 4 3" xfId="7585"/>
    <cellStyle name="Comma 3 8 2 2 2 4 4" xfId="9103"/>
    <cellStyle name="Comma 3 8 2 2 2 4 5" xfId="12717"/>
    <cellStyle name="Comma 3 8 2 2 2 4 6" xfId="14463"/>
    <cellStyle name="Comma 3 8 2 2 2 5" xfId="4639"/>
    <cellStyle name="Comma 3 8 2 2 2 5 2" xfId="10101"/>
    <cellStyle name="Comma 3 8 2 2 2 6" xfId="5128"/>
    <cellStyle name="Comma 3 8 2 2 2 6 2" xfId="10603"/>
    <cellStyle name="Comma 3 8 2 2 2 7" xfId="5630"/>
    <cellStyle name="Comma 3 8 2 2 2 7 2" xfId="11105"/>
    <cellStyle name="Comma 3 8 2 2 2 8" xfId="2655"/>
    <cellStyle name="Comma 3 8 2 2 2 9" xfId="6571"/>
    <cellStyle name="Comma 3 8 2 2 3" xfId="955"/>
    <cellStyle name="Comma 3 8 2 2 3 10" xfId="11829"/>
    <cellStyle name="Comma 3 8 2 2 3 11" xfId="13575"/>
    <cellStyle name="Comma 3 8 2 2 3 2" xfId="1461"/>
    <cellStyle name="Comma 3 8 2 2 3 2 2" xfId="4276"/>
    <cellStyle name="Comma 3 8 2 2 3 2 2 2" xfId="9723"/>
    <cellStyle name="Comma 3 8 2 2 3 2 3" xfId="3266"/>
    <cellStyle name="Comma 3 8 2 2 3 2 4" xfId="7201"/>
    <cellStyle name="Comma 3 8 2 2 3 2 5" xfId="8715"/>
    <cellStyle name="Comma 3 8 2 2 3 2 6" xfId="12335"/>
    <cellStyle name="Comma 3 8 2 2 3 2 7" xfId="14081"/>
    <cellStyle name="Comma 3 8 2 2 3 3" xfId="1969"/>
    <cellStyle name="Comma 3 8 2 2 3 3 2" xfId="3782"/>
    <cellStyle name="Comma 3 8 2 2 3 3 3" xfId="7709"/>
    <cellStyle name="Comma 3 8 2 2 3 3 4" xfId="9227"/>
    <cellStyle name="Comma 3 8 2 2 3 3 5" xfId="12841"/>
    <cellStyle name="Comma 3 8 2 2 3 3 6" xfId="14587"/>
    <cellStyle name="Comma 3 8 2 2 3 4" xfId="4755"/>
    <cellStyle name="Comma 3 8 2 2 3 4 2" xfId="10225"/>
    <cellStyle name="Comma 3 8 2 2 3 5" xfId="5252"/>
    <cellStyle name="Comma 3 8 2 2 3 5 2" xfId="10727"/>
    <cellStyle name="Comma 3 8 2 2 3 6" xfId="5754"/>
    <cellStyle name="Comma 3 8 2 2 3 6 2" xfId="11229"/>
    <cellStyle name="Comma 3 8 2 2 3 7" xfId="2773"/>
    <cellStyle name="Comma 3 8 2 2 3 8" xfId="6695"/>
    <cellStyle name="Comma 3 8 2 2 3 9" xfId="8219"/>
    <cellStyle name="Comma 3 8 2 2 4" xfId="1213"/>
    <cellStyle name="Comma 3 8 2 2 4 2" xfId="4029"/>
    <cellStyle name="Comma 3 8 2 2 4 2 2" xfId="9475"/>
    <cellStyle name="Comma 3 8 2 2 4 3" xfId="3019"/>
    <cellStyle name="Comma 3 8 2 2 4 4" xfId="6953"/>
    <cellStyle name="Comma 3 8 2 2 4 5" xfId="8467"/>
    <cellStyle name="Comma 3 8 2 2 4 6" xfId="12087"/>
    <cellStyle name="Comma 3 8 2 2 4 7" xfId="13833"/>
    <cellStyle name="Comma 3 8 2 2 5" xfId="1721"/>
    <cellStyle name="Comma 3 8 2 2 5 2" xfId="3534"/>
    <cellStyle name="Comma 3 8 2 2 5 3" xfId="7461"/>
    <cellStyle name="Comma 3 8 2 2 5 4" xfId="8979"/>
    <cellStyle name="Comma 3 8 2 2 5 5" xfId="12593"/>
    <cellStyle name="Comma 3 8 2 2 5 6" xfId="14339"/>
    <cellStyle name="Comma 3 8 2 2 6" xfId="4525"/>
    <cellStyle name="Comma 3 8 2 2 6 2" xfId="9977"/>
    <cellStyle name="Comma 3 8 2 2 7" xfId="5004"/>
    <cellStyle name="Comma 3 8 2 2 7 2" xfId="10479"/>
    <cellStyle name="Comma 3 8 2 2 8" xfId="5506"/>
    <cellStyle name="Comma 3 8 2 2 8 2" xfId="10981"/>
    <cellStyle name="Comma 3 8 2 2 9" xfId="2541"/>
    <cellStyle name="Comma 3 8 2 3" xfId="782"/>
    <cellStyle name="Comma 3 8 2 3 10" xfId="8046"/>
    <cellStyle name="Comma 3 8 2 3 11" xfId="11656"/>
    <cellStyle name="Comma 3 8 2 3 12" xfId="13402"/>
    <cellStyle name="Comma 3 8 2 3 2" xfId="1030"/>
    <cellStyle name="Comma 3 8 2 3 2 10" xfId="11904"/>
    <cellStyle name="Comma 3 8 2 3 2 11" xfId="13650"/>
    <cellStyle name="Comma 3 8 2 3 2 2" xfId="1536"/>
    <cellStyle name="Comma 3 8 2 3 2 2 2" xfId="4351"/>
    <cellStyle name="Comma 3 8 2 3 2 2 2 2" xfId="9798"/>
    <cellStyle name="Comma 3 8 2 3 2 2 3" xfId="3341"/>
    <cellStyle name="Comma 3 8 2 3 2 2 4" xfId="7276"/>
    <cellStyle name="Comma 3 8 2 3 2 2 5" xfId="8790"/>
    <cellStyle name="Comma 3 8 2 3 2 2 6" xfId="12410"/>
    <cellStyle name="Comma 3 8 2 3 2 2 7" xfId="14156"/>
    <cellStyle name="Comma 3 8 2 3 2 3" xfId="2044"/>
    <cellStyle name="Comma 3 8 2 3 2 3 2" xfId="3857"/>
    <cellStyle name="Comma 3 8 2 3 2 3 3" xfId="7784"/>
    <cellStyle name="Comma 3 8 2 3 2 3 4" xfId="9302"/>
    <cellStyle name="Comma 3 8 2 3 2 3 5" xfId="12916"/>
    <cellStyle name="Comma 3 8 2 3 2 3 6" xfId="14662"/>
    <cellStyle name="Comma 3 8 2 3 2 4" xfId="4829"/>
    <cellStyle name="Comma 3 8 2 3 2 4 2" xfId="10300"/>
    <cellStyle name="Comma 3 8 2 3 2 5" xfId="5327"/>
    <cellStyle name="Comma 3 8 2 3 2 5 2" xfId="10802"/>
    <cellStyle name="Comma 3 8 2 3 2 6" xfId="5829"/>
    <cellStyle name="Comma 3 8 2 3 2 6 2" xfId="11304"/>
    <cellStyle name="Comma 3 8 2 3 2 7" xfId="2847"/>
    <cellStyle name="Comma 3 8 2 3 2 8" xfId="6770"/>
    <cellStyle name="Comma 3 8 2 3 2 9" xfId="8294"/>
    <cellStyle name="Comma 3 8 2 3 3" xfId="1288"/>
    <cellStyle name="Comma 3 8 2 3 3 2" xfId="4103"/>
    <cellStyle name="Comma 3 8 2 3 3 2 2" xfId="9550"/>
    <cellStyle name="Comma 3 8 2 3 3 3" xfId="3093"/>
    <cellStyle name="Comma 3 8 2 3 3 4" xfId="7028"/>
    <cellStyle name="Comma 3 8 2 3 3 5" xfId="8542"/>
    <cellStyle name="Comma 3 8 2 3 3 6" xfId="12162"/>
    <cellStyle name="Comma 3 8 2 3 3 7" xfId="13908"/>
    <cellStyle name="Comma 3 8 2 3 4" xfId="1796"/>
    <cellStyle name="Comma 3 8 2 3 4 2" xfId="3609"/>
    <cellStyle name="Comma 3 8 2 3 4 3" xfId="7536"/>
    <cellStyle name="Comma 3 8 2 3 4 4" xfId="9054"/>
    <cellStyle name="Comma 3 8 2 3 4 5" xfId="12668"/>
    <cellStyle name="Comma 3 8 2 3 4 6" xfId="14414"/>
    <cellStyle name="Comma 3 8 2 3 5" xfId="4593"/>
    <cellStyle name="Comma 3 8 2 3 5 2" xfId="10052"/>
    <cellStyle name="Comma 3 8 2 3 6" xfId="5079"/>
    <cellStyle name="Comma 3 8 2 3 6 2" xfId="10554"/>
    <cellStyle name="Comma 3 8 2 3 7" xfId="5581"/>
    <cellStyle name="Comma 3 8 2 3 7 2" xfId="11056"/>
    <cellStyle name="Comma 3 8 2 3 8" xfId="2609"/>
    <cellStyle name="Comma 3 8 2 3 9" xfId="6522"/>
    <cellStyle name="Comma 3 8 2 4" xfId="906"/>
    <cellStyle name="Comma 3 8 2 4 10" xfId="11780"/>
    <cellStyle name="Comma 3 8 2 4 11" xfId="13526"/>
    <cellStyle name="Comma 3 8 2 4 2" xfId="1412"/>
    <cellStyle name="Comma 3 8 2 4 2 2" xfId="4227"/>
    <cellStyle name="Comma 3 8 2 4 2 2 2" xfId="9674"/>
    <cellStyle name="Comma 3 8 2 4 2 3" xfId="3217"/>
    <cellStyle name="Comma 3 8 2 4 2 4" xfId="7152"/>
    <cellStyle name="Comma 3 8 2 4 2 5" xfId="8666"/>
    <cellStyle name="Comma 3 8 2 4 2 6" xfId="12286"/>
    <cellStyle name="Comma 3 8 2 4 2 7" xfId="14032"/>
    <cellStyle name="Comma 3 8 2 4 3" xfId="1920"/>
    <cellStyle name="Comma 3 8 2 4 3 2" xfId="3733"/>
    <cellStyle name="Comma 3 8 2 4 3 3" xfId="7660"/>
    <cellStyle name="Comma 3 8 2 4 3 4" xfId="9178"/>
    <cellStyle name="Comma 3 8 2 4 3 5" xfId="12792"/>
    <cellStyle name="Comma 3 8 2 4 3 6" xfId="14538"/>
    <cellStyle name="Comma 3 8 2 4 4" xfId="4709"/>
    <cellStyle name="Comma 3 8 2 4 4 2" xfId="10176"/>
    <cellStyle name="Comma 3 8 2 4 5" xfId="5203"/>
    <cellStyle name="Comma 3 8 2 4 5 2" xfId="10678"/>
    <cellStyle name="Comma 3 8 2 4 6" xfId="5705"/>
    <cellStyle name="Comma 3 8 2 4 6 2" xfId="11180"/>
    <cellStyle name="Comma 3 8 2 4 7" xfId="2727"/>
    <cellStyle name="Comma 3 8 2 4 8" xfId="6646"/>
    <cellStyle name="Comma 3 8 2 4 9" xfId="8170"/>
    <cellStyle name="Comma 3 8 2 5" xfId="1164"/>
    <cellStyle name="Comma 3 8 2 5 2" xfId="3981"/>
    <cellStyle name="Comma 3 8 2 5 2 2" xfId="9426"/>
    <cellStyle name="Comma 3 8 2 5 3" xfId="2971"/>
    <cellStyle name="Comma 3 8 2 5 4" xfId="6904"/>
    <cellStyle name="Comma 3 8 2 5 5" xfId="8418"/>
    <cellStyle name="Comma 3 8 2 5 6" xfId="12038"/>
    <cellStyle name="Comma 3 8 2 5 7" xfId="13784"/>
    <cellStyle name="Comma 3 8 2 6" xfId="1672"/>
    <cellStyle name="Comma 3 8 2 6 2" xfId="3485"/>
    <cellStyle name="Comma 3 8 2 6 3" xfId="7412"/>
    <cellStyle name="Comma 3 8 2 6 4" xfId="8930"/>
    <cellStyle name="Comma 3 8 2 6 5" xfId="12544"/>
    <cellStyle name="Comma 3 8 2 6 6" xfId="14290"/>
    <cellStyle name="Comma 3 8 2 7" xfId="4481"/>
    <cellStyle name="Comma 3 8 2 7 2" xfId="9928"/>
    <cellStyle name="Comma 3 8 2 8" xfId="4955"/>
    <cellStyle name="Comma 3 8 2 8 2" xfId="10430"/>
    <cellStyle name="Comma 3 8 2 9" xfId="5457"/>
    <cellStyle name="Comma 3 8 2 9 2" xfId="10932"/>
    <cellStyle name="Comma 3 8 3" xfId="678"/>
    <cellStyle name="Comma 3 8 3 10" xfId="2515"/>
    <cellStyle name="Comma 3 8 3 11" xfId="6418"/>
    <cellStyle name="Comma 3 8 3 12" xfId="7942"/>
    <cellStyle name="Comma 3 8 3 13" xfId="11552"/>
    <cellStyle name="Comma 3 8 3 14" xfId="13298"/>
    <cellStyle name="Comma 3 8 3 2" xfId="708"/>
    <cellStyle name="Comma 3 8 3 2 10" xfId="6448"/>
    <cellStyle name="Comma 3 8 3 2 11" xfId="7972"/>
    <cellStyle name="Comma 3 8 3 2 12" xfId="11582"/>
    <cellStyle name="Comma 3 8 3 2 13" xfId="13328"/>
    <cellStyle name="Comma 3 8 3 2 2" xfId="832"/>
    <cellStyle name="Comma 3 8 3 2 2 10" xfId="8096"/>
    <cellStyle name="Comma 3 8 3 2 2 11" xfId="11706"/>
    <cellStyle name="Comma 3 8 3 2 2 12" xfId="13452"/>
    <cellStyle name="Comma 3 8 3 2 2 2" xfId="1080"/>
    <cellStyle name="Comma 3 8 3 2 2 2 10" xfId="11954"/>
    <cellStyle name="Comma 3 8 3 2 2 2 11" xfId="13700"/>
    <cellStyle name="Comma 3 8 3 2 2 2 2" xfId="1586"/>
    <cellStyle name="Comma 3 8 3 2 2 2 2 2" xfId="4401"/>
    <cellStyle name="Comma 3 8 3 2 2 2 2 2 2" xfId="9848"/>
    <cellStyle name="Comma 3 8 3 2 2 2 2 3" xfId="3391"/>
    <cellStyle name="Comma 3 8 3 2 2 2 2 4" xfId="7326"/>
    <cellStyle name="Comma 3 8 3 2 2 2 2 5" xfId="8840"/>
    <cellStyle name="Comma 3 8 3 2 2 2 2 6" xfId="12460"/>
    <cellStyle name="Comma 3 8 3 2 2 2 2 7" xfId="14206"/>
    <cellStyle name="Comma 3 8 3 2 2 2 3" xfId="2094"/>
    <cellStyle name="Comma 3 8 3 2 2 2 3 2" xfId="3907"/>
    <cellStyle name="Comma 3 8 3 2 2 2 3 3" xfId="7834"/>
    <cellStyle name="Comma 3 8 3 2 2 2 3 4" xfId="9352"/>
    <cellStyle name="Comma 3 8 3 2 2 2 3 5" xfId="12966"/>
    <cellStyle name="Comma 3 8 3 2 2 2 3 6" xfId="14712"/>
    <cellStyle name="Comma 3 8 3 2 2 2 4" xfId="4879"/>
    <cellStyle name="Comma 3 8 3 2 2 2 4 2" xfId="10350"/>
    <cellStyle name="Comma 3 8 3 2 2 2 5" xfId="5377"/>
    <cellStyle name="Comma 3 8 3 2 2 2 5 2" xfId="10852"/>
    <cellStyle name="Comma 3 8 3 2 2 2 6" xfId="5879"/>
    <cellStyle name="Comma 3 8 3 2 2 2 6 2" xfId="11354"/>
    <cellStyle name="Comma 3 8 3 2 2 2 7" xfId="2897"/>
    <cellStyle name="Comma 3 8 3 2 2 2 8" xfId="6820"/>
    <cellStyle name="Comma 3 8 3 2 2 2 9" xfId="8344"/>
    <cellStyle name="Comma 3 8 3 2 2 3" xfId="1338"/>
    <cellStyle name="Comma 3 8 3 2 2 3 2" xfId="4153"/>
    <cellStyle name="Comma 3 8 3 2 2 3 2 2" xfId="9600"/>
    <cellStyle name="Comma 3 8 3 2 2 3 3" xfId="3143"/>
    <cellStyle name="Comma 3 8 3 2 2 3 4" xfId="7078"/>
    <cellStyle name="Comma 3 8 3 2 2 3 5" xfId="8592"/>
    <cellStyle name="Comma 3 8 3 2 2 3 6" xfId="12212"/>
    <cellStyle name="Comma 3 8 3 2 2 3 7" xfId="13958"/>
    <cellStyle name="Comma 3 8 3 2 2 4" xfId="1846"/>
    <cellStyle name="Comma 3 8 3 2 2 4 2" xfId="3659"/>
    <cellStyle name="Comma 3 8 3 2 2 4 3" xfId="7586"/>
    <cellStyle name="Comma 3 8 3 2 2 4 4" xfId="9104"/>
    <cellStyle name="Comma 3 8 3 2 2 4 5" xfId="12718"/>
    <cellStyle name="Comma 3 8 3 2 2 4 6" xfId="14464"/>
    <cellStyle name="Comma 3 8 3 2 2 5" xfId="4640"/>
    <cellStyle name="Comma 3 8 3 2 2 5 2" xfId="10102"/>
    <cellStyle name="Comma 3 8 3 2 2 6" xfId="5129"/>
    <cellStyle name="Comma 3 8 3 2 2 6 2" xfId="10604"/>
    <cellStyle name="Comma 3 8 3 2 2 7" xfId="5631"/>
    <cellStyle name="Comma 3 8 3 2 2 7 2" xfId="11106"/>
    <cellStyle name="Comma 3 8 3 2 2 8" xfId="2656"/>
    <cellStyle name="Comma 3 8 3 2 2 9" xfId="6572"/>
    <cellStyle name="Comma 3 8 3 2 3" xfId="956"/>
    <cellStyle name="Comma 3 8 3 2 3 10" xfId="11830"/>
    <cellStyle name="Comma 3 8 3 2 3 11" xfId="13576"/>
    <cellStyle name="Comma 3 8 3 2 3 2" xfId="1462"/>
    <cellStyle name="Comma 3 8 3 2 3 2 2" xfId="4277"/>
    <cellStyle name="Comma 3 8 3 2 3 2 2 2" xfId="9724"/>
    <cellStyle name="Comma 3 8 3 2 3 2 3" xfId="3267"/>
    <cellStyle name="Comma 3 8 3 2 3 2 4" xfId="7202"/>
    <cellStyle name="Comma 3 8 3 2 3 2 5" xfId="8716"/>
    <cellStyle name="Comma 3 8 3 2 3 2 6" xfId="12336"/>
    <cellStyle name="Comma 3 8 3 2 3 2 7" xfId="14082"/>
    <cellStyle name="Comma 3 8 3 2 3 3" xfId="1970"/>
    <cellStyle name="Comma 3 8 3 2 3 3 2" xfId="3783"/>
    <cellStyle name="Comma 3 8 3 2 3 3 3" xfId="7710"/>
    <cellStyle name="Comma 3 8 3 2 3 3 4" xfId="9228"/>
    <cellStyle name="Comma 3 8 3 2 3 3 5" xfId="12842"/>
    <cellStyle name="Comma 3 8 3 2 3 3 6" xfId="14588"/>
    <cellStyle name="Comma 3 8 3 2 3 4" xfId="4756"/>
    <cellStyle name="Comma 3 8 3 2 3 4 2" xfId="10226"/>
    <cellStyle name="Comma 3 8 3 2 3 5" xfId="5253"/>
    <cellStyle name="Comma 3 8 3 2 3 5 2" xfId="10728"/>
    <cellStyle name="Comma 3 8 3 2 3 6" xfId="5755"/>
    <cellStyle name="Comma 3 8 3 2 3 6 2" xfId="11230"/>
    <cellStyle name="Comma 3 8 3 2 3 7" xfId="2774"/>
    <cellStyle name="Comma 3 8 3 2 3 8" xfId="6696"/>
    <cellStyle name="Comma 3 8 3 2 3 9" xfId="8220"/>
    <cellStyle name="Comma 3 8 3 2 4" xfId="1214"/>
    <cellStyle name="Comma 3 8 3 2 4 2" xfId="4030"/>
    <cellStyle name="Comma 3 8 3 2 4 2 2" xfId="9476"/>
    <cellStyle name="Comma 3 8 3 2 4 3" xfId="3020"/>
    <cellStyle name="Comma 3 8 3 2 4 4" xfId="6954"/>
    <cellStyle name="Comma 3 8 3 2 4 5" xfId="8468"/>
    <cellStyle name="Comma 3 8 3 2 4 6" xfId="12088"/>
    <cellStyle name="Comma 3 8 3 2 4 7" xfId="13834"/>
    <cellStyle name="Comma 3 8 3 2 5" xfId="1722"/>
    <cellStyle name="Comma 3 8 3 2 5 2" xfId="3535"/>
    <cellStyle name="Comma 3 8 3 2 5 3" xfId="7462"/>
    <cellStyle name="Comma 3 8 3 2 5 4" xfId="8980"/>
    <cellStyle name="Comma 3 8 3 2 5 5" xfId="12594"/>
    <cellStyle name="Comma 3 8 3 2 5 6" xfId="14340"/>
    <cellStyle name="Comma 3 8 3 2 6" xfId="4526"/>
    <cellStyle name="Comma 3 8 3 2 6 2" xfId="9978"/>
    <cellStyle name="Comma 3 8 3 2 7" xfId="5005"/>
    <cellStyle name="Comma 3 8 3 2 7 2" xfId="10480"/>
    <cellStyle name="Comma 3 8 3 2 8" xfId="5507"/>
    <cellStyle name="Comma 3 8 3 2 8 2" xfId="10982"/>
    <cellStyle name="Comma 3 8 3 2 9" xfId="2542"/>
    <cellStyle name="Comma 3 8 3 3" xfId="802"/>
    <cellStyle name="Comma 3 8 3 3 10" xfId="8066"/>
    <cellStyle name="Comma 3 8 3 3 11" xfId="11676"/>
    <cellStyle name="Comma 3 8 3 3 12" xfId="13422"/>
    <cellStyle name="Comma 3 8 3 3 2" xfId="1050"/>
    <cellStyle name="Comma 3 8 3 3 2 10" xfId="11924"/>
    <cellStyle name="Comma 3 8 3 3 2 11" xfId="13670"/>
    <cellStyle name="Comma 3 8 3 3 2 2" xfId="1556"/>
    <cellStyle name="Comma 3 8 3 3 2 2 2" xfId="4371"/>
    <cellStyle name="Comma 3 8 3 3 2 2 2 2" xfId="9818"/>
    <cellStyle name="Comma 3 8 3 3 2 2 3" xfId="3361"/>
    <cellStyle name="Comma 3 8 3 3 2 2 4" xfId="7296"/>
    <cellStyle name="Comma 3 8 3 3 2 2 5" xfId="8810"/>
    <cellStyle name="Comma 3 8 3 3 2 2 6" xfId="12430"/>
    <cellStyle name="Comma 3 8 3 3 2 2 7" xfId="14176"/>
    <cellStyle name="Comma 3 8 3 3 2 3" xfId="2064"/>
    <cellStyle name="Comma 3 8 3 3 2 3 2" xfId="3877"/>
    <cellStyle name="Comma 3 8 3 3 2 3 3" xfId="7804"/>
    <cellStyle name="Comma 3 8 3 3 2 3 4" xfId="9322"/>
    <cellStyle name="Comma 3 8 3 3 2 3 5" xfId="12936"/>
    <cellStyle name="Comma 3 8 3 3 2 3 6" xfId="14682"/>
    <cellStyle name="Comma 3 8 3 3 2 4" xfId="4849"/>
    <cellStyle name="Comma 3 8 3 3 2 4 2" xfId="10320"/>
    <cellStyle name="Comma 3 8 3 3 2 5" xfId="5347"/>
    <cellStyle name="Comma 3 8 3 3 2 5 2" xfId="10822"/>
    <cellStyle name="Comma 3 8 3 3 2 6" xfId="5849"/>
    <cellStyle name="Comma 3 8 3 3 2 6 2" xfId="11324"/>
    <cellStyle name="Comma 3 8 3 3 2 7" xfId="2867"/>
    <cellStyle name="Comma 3 8 3 3 2 8" xfId="6790"/>
    <cellStyle name="Comma 3 8 3 3 2 9" xfId="8314"/>
    <cellStyle name="Comma 3 8 3 3 3" xfId="1308"/>
    <cellStyle name="Comma 3 8 3 3 3 2" xfId="4123"/>
    <cellStyle name="Comma 3 8 3 3 3 2 2" xfId="9570"/>
    <cellStyle name="Comma 3 8 3 3 3 3" xfId="3113"/>
    <cellStyle name="Comma 3 8 3 3 3 4" xfId="7048"/>
    <cellStyle name="Comma 3 8 3 3 3 5" xfId="8562"/>
    <cellStyle name="Comma 3 8 3 3 3 6" xfId="12182"/>
    <cellStyle name="Comma 3 8 3 3 3 7" xfId="13928"/>
    <cellStyle name="Comma 3 8 3 3 4" xfId="1816"/>
    <cellStyle name="Comma 3 8 3 3 4 2" xfId="3629"/>
    <cellStyle name="Comma 3 8 3 3 4 3" xfId="7556"/>
    <cellStyle name="Comma 3 8 3 3 4 4" xfId="9074"/>
    <cellStyle name="Comma 3 8 3 3 4 5" xfId="12688"/>
    <cellStyle name="Comma 3 8 3 3 4 6" xfId="14434"/>
    <cellStyle name="Comma 3 8 3 3 5" xfId="4611"/>
    <cellStyle name="Comma 3 8 3 3 5 2" xfId="10072"/>
    <cellStyle name="Comma 3 8 3 3 6" xfId="5099"/>
    <cellStyle name="Comma 3 8 3 3 6 2" xfId="10574"/>
    <cellStyle name="Comma 3 8 3 3 7" xfId="5601"/>
    <cellStyle name="Comma 3 8 3 3 7 2" xfId="11076"/>
    <cellStyle name="Comma 3 8 3 3 8" xfId="2627"/>
    <cellStyle name="Comma 3 8 3 3 9" xfId="6542"/>
    <cellStyle name="Comma 3 8 3 4" xfId="926"/>
    <cellStyle name="Comma 3 8 3 4 10" xfId="11800"/>
    <cellStyle name="Comma 3 8 3 4 11" xfId="13546"/>
    <cellStyle name="Comma 3 8 3 4 2" xfId="1432"/>
    <cellStyle name="Comma 3 8 3 4 2 2" xfId="4247"/>
    <cellStyle name="Comma 3 8 3 4 2 2 2" xfId="9694"/>
    <cellStyle name="Comma 3 8 3 4 2 3" xfId="3237"/>
    <cellStyle name="Comma 3 8 3 4 2 4" xfId="7172"/>
    <cellStyle name="Comma 3 8 3 4 2 5" xfId="8686"/>
    <cellStyle name="Comma 3 8 3 4 2 6" xfId="12306"/>
    <cellStyle name="Comma 3 8 3 4 2 7" xfId="14052"/>
    <cellStyle name="Comma 3 8 3 4 3" xfId="1940"/>
    <cellStyle name="Comma 3 8 3 4 3 2" xfId="3753"/>
    <cellStyle name="Comma 3 8 3 4 3 3" xfId="7680"/>
    <cellStyle name="Comma 3 8 3 4 3 4" xfId="9198"/>
    <cellStyle name="Comma 3 8 3 4 3 5" xfId="12812"/>
    <cellStyle name="Comma 3 8 3 4 3 6" xfId="14558"/>
    <cellStyle name="Comma 3 8 3 4 4" xfId="4727"/>
    <cellStyle name="Comma 3 8 3 4 4 2" xfId="10196"/>
    <cellStyle name="Comma 3 8 3 4 5" xfId="5223"/>
    <cellStyle name="Comma 3 8 3 4 5 2" xfId="10698"/>
    <cellStyle name="Comma 3 8 3 4 6" xfId="5725"/>
    <cellStyle name="Comma 3 8 3 4 6 2" xfId="11200"/>
    <cellStyle name="Comma 3 8 3 4 7" xfId="2745"/>
    <cellStyle name="Comma 3 8 3 4 8" xfId="6666"/>
    <cellStyle name="Comma 3 8 3 4 9" xfId="8190"/>
    <cellStyle name="Comma 3 8 3 5" xfId="1184"/>
    <cellStyle name="Comma 3 8 3 5 2" xfId="4001"/>
    <cellStyle name="Comma 3 8 3 5 2 2" xfId="9446"/>
    <cellStyle name="Comma 3 8 3 5 3" xfId="2991"/>
    <cellStyle name="Comma 3 8 3 5 4" xfId="6924"/>
    <cellStyle name="Comma 3 8 3 5 5" xfId="8438"/>
    <cellStyle name="Comma 3 8 3 5 6" xfId="12058"/>
    <cellStyle name="Comma 3 8 3 5 7" xfId="13804"/>
    <cellStyle name="Comma 3 8 3 6" xfId="1692"/>
    <cellStyle name="Comma 3 8 3 6 2" xfId="3505"/>
    <cellStyle name="Comma 3 8 3 6 3" xfId="7432"/>
    <cellStyle name="Comma 3 8 3 6 4" xfId="8950"/>
    <cellStyle name="Comma 3 8 3 6 5" xfId="12564"/>
    <cellStyle name="Comma 3 8 3 6 6" xfId="14310"/>
    <cellStyle name="Comma 3 8 3 7" xfId="4499"/>
    <cellStyle name="Comma 3 8 3 7 2" xfId="9948"/>
    <cellStyle name="Comma 3 8 3 8" xfId="4975"/>
    <cellStyle name="Comma 3 8 3 8 2" xfId="10450"/>
    <cellStyle name="Comma 3 8 3 9" xfId="5477"/>
    <cellStyle name="Comma 3 8 3 9 2" xfId="10952"/>
    <cellStyle name="Comma 3 8 4" xfId="706"/>
    <cellStyle name="Comma 3 8 4 10" xfId="6446"/>
    <cellStyle name="Comma 3 8 4 11" xfId="7970"/>
    <cellStyle name="Comma 3 8 4 12" xfId="11580"/>
    <cellStyle name="Comma 3 8 4 13" xfId="13326"/>
    <cellStyle name="Comma 3 8 4 2" xfId="830"/>
    <cellStyle name="Comma 3 8 4 2 10" xfId="8094"/>
    <cellStyle name="Comma 3 8 4 2 11" xfId="11704"/>
    <cellStyle name="Comma 3 8 4 2 12" xfId="13450"/>
    <cellStyle name="Comma 3 8 4 2 2" xfId="1078"/>
    <cellStyle name="Comma 3 8 4 2 2 10" xfId="11952"/>
    <cellStyle name="Comma 3 8 4 2 2 11" xfId="13698"/>
    <cellStyle name="Comma 3 8 4 2 2 2" xfId="1584"/>
    <cellStyle name="Comma 3 8 4 2 2 2 2" xfId="4399"/>
    <cellStyle name="Comma 3 8 4 2 2 2 2 2" xfId="9846"/>
    <cellStyle name="Comma 3 8 4 2 2 2 3" xfId="3389"/>
    <cellStyle name="Comma 3 8 4 2 2 2 4" xfId="7324"/>
    <cellStyle name="Comma 3 8 4 2 2 2 5" xfId="8838"/>
    <cellStyle name="Comma 3 8 4 2 2 2 6" xfId="12458"/>
    <cellStyle name="Comma 3 8 4 2 2 2 7" xfId="14204"/>
    <cellStyle name="Comma 3 8 4 2 2 3" xfId="2092"/>
    <cellStyle name="Comma 3 8 4 2 2 3 2" xfId="3905"/>
    <cellStyle name="Comma 3 8 4 2 2 3 3" xfId="7832"/>
    <cellStyle name="Comma 3 8 4 2 2 3 4" xfId="9350"/>
    <cellStyle name="Comma 3 8 4 2 2 3 5" xfId="12964"/>
    <cellStyle name="Comma 3 8 4 2 2 3 6" xfId="14710"/>
    <cellStyle name="Comma 3 8 4 2 2 4" xfId="4877"/>
    <cellStyle name="Comma 3 8 4 2 2 4 2" xfId="10348"/>
    <cellStyle name="Comma 3 8 4 2 2 5" xfId="5375"/>
    <cellStyle name="Comma 3 8 4 2 2 5 2" xfId="10850"/>
    <cellStyle name="Comma 3 8 4 2 2 6" xfId="5877"/>
    <cellStyle name="Comma 3 8 4 2 2 6 2" xfId="11352"/>
    <cellStyle name="Comma 3 8 4 2 2 7" xfId="2895"/>
    <cellStyle name="Comma 3 8 4 2 2 8" xfId="6818"/>
    <cellStyle name="Comma 3 8 4 2 2 9" xfId="8342"/>
    <cellStyle name="Comma 3 8 4 2 3" xfId="1336"/>
    <cellStyle name="Comma 3 8 4 2 3 2" xfId="4151"/>
    <cellStyle name="Comma 3 8 4 2 3 2 2" xfId="9598"/>
    <cellStyle name="Comma 3 8 4 2 3 3" xfId="3141"/>
    <cellStyle name="Comma 3 8 4 2 3 4" xfId="7076"/>
    <cellStyle name="Comma 3 8 4 2 3 5" xfId="8590"/>
    <cellStyle name="Comma 3 8 4 2 3 6" xfId="12210"/>
    <cellStyle name="Comma 3 8 4 2 3 7" xfId="13956"/>
    <cellStyle name="Comma 3 8 4 2 4" xfId="1844"/>
    <cellStyle name="Comma 3 8 4 2 4 2" xfId="3657"/>
    <cellStyle name="Comma 3 8 4 2 4 3" xfId="7584"/>
    <cellStyle name="Comma 3 8 4 2 4 4" xfId="9102"/>
    <cellStyle name="Comma 3 8 4 2 4 5" xfId="12716"/>
    <cellStyle name="Comma 3 8 4 2 4 6" xfId="14462"/>
    <cellStyle name="Comma 3 8 4 2 5" xfId="4638"/>
    <cellStyle name="Comma 3 8 4 2 5 2" xfId="10100"/>
    <cellStyle name="Comma 3 8 4 2 6" xfId="5127"/>
    <cellStyle name="Comma 3 8 4 2 6 2" xfId="10602"/>
    <cellStyle name="Comma 3 8 4 2 7" xfId="5629"/>
    <cellStyle name="Comma 3 8 4 2 7 2" xfId="11104"/>
    <cellStyle name="Comma 3 8 4 2 8" xfId="2654"/>
    <cellStyle name="Comma 3 8 4 2 9" xfId="6570"/>
    <cellStyle name="Comma 3 8 4 3" xfId="954"/>
    <cellStyle name="Comma 3 8 4 3 10" xfId="11828"/>
    <cellStyle name="Comma 3 8 4 3 11" xfId="13574"/>
    <cellStyle name="Comma 3 8 4 3 2" xfId="1460"/>
    <cellStyle name="Comma 3 8 4 3 2 2" xfId="4275"/>
    <cellStyle name="Comma 3 8 4 3 2 2 2" xfId="9722"/>
    <cellStyle name="Comma 3 8 4 3 2 3" xfId="3265"/>
    <cellStyle name="Comma 3 8 4 3 2 4" xfId="7200"/>
    <cellStyle name="Comma 3 8 4 3 2 5" xfId="8714"/>
    <cellStyle name="Comma 3 8 4 3 2 6" xfId="12334"/>
    <cellStyle name="Comma 3 8 4 3 2 7" xfId="14080"/>
    <cellStyle name="Comma 3 8 4 3 3" xfId="1968"/>
    <cellStyle name="Comma 3 8 4 3 3 2" xfId="3781"/>
    <cellStyle name="Comma 3 8 4 3 3 3" xfId="7708"/>
    <cellStyle name="Comma 3 8 4 3 3 4" xfId="9226"/>
    <cellStyle name="Comma 3 8 4 3 3 5" xfId="12840"/>
    <cellStyle name="Comma 3 8 4 3 3 6" xfId="14586"/>
    <cellStyle name="Comma 3 8 4 3 4" xfId="4754"/>
    <cellStyle name="Comma 3 8 4 3 4 2" xfId="10224"/>
    <cellStyle name="Comma 3 8 4 3 5" xfId="5251"/>
    <cellStyle name="Comma 3 8 4 3 5 2" xfId="10726"/>
    <cellStyle name="Comma 3 8 4 3 6" xfId="5753"/>
    <cellStyle name="Comma 3 8 4 3 6 2" xfId="11228"/>
    <cellStyle name="Comma 3 8 4 3 7" xfId="2772"/>
    <cellStyle name="Comma 3 8 4 3 8" xfId="6694"/>
    <cellStyle name="Comma 3 8 4 3 9" xfId="8218"/>
    <cellStyle name="Comma 3 8 4 4" xfId="1212"/>
    <cellStyle name="Comma 3 8 4 4 2" xfId="4028"/>
    <cellStyle name="Comma 3 8 4 4 2 2" xfId="9474"/>
    <cellStyle name="Comma 3 8 4 4 3" xfId="3018"/>
    <cellStyle name="Comma 3 8 4 4 4" xfId="6952"/>
    <cellStyle name="Comma 3 8 4 4 5" xfId="8466"/>
    <cellStyle name="Comma 3 8 4 4 6" xfId="12086"/>
    <cellStyle name="Comma 3 8 4 4 7" xfId="13832"/>
    <cellStyle name="Comma 3 8 4 5" xfId="1720"/>
    <cellStyle name="Comma 3 8 4 5 2" xfId="3533"/>
    <cellStyle name="Comma 3 8 4 5 3" xfId="7460"/>
    <cellStyle name="Comma 3 8 4 5 4" xfId="8978"/>
    <cellStyle name="Comma 3 8 4 5 5" xfId="12592"/>
    <cellStyle name="Comma 3 8 4 5 6" xfId="14338"/>
    <cellStyle name="Comma 3 8 4 6" xfId="4524"/>
    <cellStyle name="Comma 3 8 4 6 2" xfId="9976"/>
    <cellStyle name="Comma 3 8 4 7" xfId="5003"/>
    <cellStyle name="Comma 3 8 4 7 2" xfId="10478"/>
    <cellStyle name="Comma 3 8 4 8" xfId="5505"/>
    <cellStyle name="Comma 3 8 4 8 2" xfId="10980"/>
    <cellStyle name="Comma 3 8 4 9" xfId="2540"/>
    <cellStyle name="Comma 3 8 5" xfId="760"/>
    <cellStyle name="Comma 3 8 5 10" xfId="8024"/>
    <cellStyle name="Comma 3 8 5 11" xfId="11634"/>
    <cellStyle name="Comma 3 8 5 12" xfId="13380"/>
    <cellStyle name="Comma 3 8 5 2" xfId="1008"/>
    <cellStyle name="Comma 3 8 5 2 10" xfId="11882"/>
    <cellStyle name="Comma 3 8 5 2 11" xfId="13628"/>
    <cellStyle name="Comma 3 8 5 2 2" xfId="1514"/>
    <cellStyle name="Comma 3 8 5 2 2 2" xfId="4329"/>
    <cellStyle name="Comma 3 8 5 2 2 2 2" xfId="9776"/>
    <cellStyle name="Comma 3 8 5 2 2 3" xfId="3319"/>
    <cellStyle name="Comma 3 8 5 2 2 4" xfId="7254"/>
    <cellStyle name="Comma 3 8 5 2 2 5" xfId="8768"/>
    <cellStyle name="Comma 3 8 5 2 2 6" xfId="12388"/>
    <cellStyle name="Comma 3 8 5 2 2 7" xfId="14134"/>
    <cellStyle name="Comma 3 8 5 2 3" xfId="2022"/>
    <cellStyle name="Comma 3 8 5 2 3 2" xfId="3835"/>
    <cellStyle name="Comma 3 8 5 2 3 3" xfId="7762"/>
    <cellStyle name="Comma 3 8 5 2 3 4" xfId="9280"/>
    <cellStyle name="Comma 3 8 5 2 3 5" xfId="12894"/>
    <cellStyle name="Comma 3 8 5 2 3 6" xfId="14640"/>
    <cellStyle name="Comma 3 8 5 2 4" xfId="4807"/>
    <cellStyle name="Comma 3 8 5 2 4 2" xfId="10278"/>
    <cellStyle name="Comma 3 8 5 2 5" xfId="5305"/>
    <cellStyle name="Comma 3 8 5 2 5 2" xfId="10780"/>
    <cellStyle name="Comma 3 8 5 2 6" xfId="5807"/>
    <cellStyle name="Comma 3 8 5 2 6 2" xfId="11282"/>
    <cellStyle name="Comma 3 8 5 2 7" xfId="2825"/>
    <cellStyle name="Comma 3 8 5 2 8" xfId="6748"/>
    <cellStyle name="Comma 3 8 5 2 9" xfId="8272"/>
    <cellStyle name="Comma 3 8 5 3" xfId="1266"/>
    <cellStyle name="Comma 3 8 5 3 2" xfId="4081"/>
    <cellStyle name="Comma 3 8 5 3 2 2" xfId="9528"/>
    <cellStyle name="Comma 3 8 5 3 3" xfId="3071"/>
    <cellStyle name="Comma 3 8 5 3 4" xfId="7006"/>
    <cellStyle name="Comma 3 8 5 3 5" xfId="8520"/>
    <cellStyle name="Comma 3 8 5 3 6" xfId="12140"/>
    <cellStyle name="Comma 3 8 5 3 7" xfId="13886"/>
    <cellStyle name="Comma 3 8 5 4" xfId="1774"/>
    <cellStyle name="Comma 3 8 5 4 2" xfId="3587"/>
    <cellStyle name="Comma 3 8 5 4 3" xfId="7514"/>
    <cellStyle name="Comma 3 8 5 4 4" xfId="9032"/>
    <cellStyle name="Comma 3 8 5 4 5" xfId="12646"/>
    <cellStyle name="Comma 3 8 5 4 6" xfId="14392"/>
    <cellStyle name="Comma 3 8 5 5" xfId="4573"/>
    <cellStyle name="Comma 3 8 5 5 2" xfId="10030"/>
    <cellStyle name="Comma 3 8 5 6" xfId="5057"/>
    <cellStyle name="Comma 3 8 5 6 2" xfId="10532"/>
    <cellStyle name="Comma 3 8 5 7" xfId="5559"/>
    <cellStyle name="Comma 3 8 5 7 2" xfId="11034"/>
    <cellStyle name="Comma 3 8 5 8" xfId="2589"/>
    <cellStyle name="Comma 3 8 5 9" xfId="6500"/>
    <cellStyle name="Comma 3 8 6" xfId="884"/>
    <cellStyle name="Comma 3 8 6 10" xfId="11758"/>
    <cellStyle name="Comma 3 8 6 11" xfId="13504"/>
    <cellStyle name="Comma 3 8 6 2" xfId="1390"/>
    <cellStyle name="Comma 3 8 6 2 2" xfId="4205"/>
    <cellStyle name="Comma 3 8 6 2 2 2" xfId="9652"/>
    <cellStyle name="Comma 3 8 6 2 3" xfId="3195"/>
    <cellStyle name="Comma 3 8 6 2 4" xfId="7130"/>
    <cellStyle name="Comma 3 8 6 2 5" xfId="8644"/>
    <cellStyle name="Comma 3 8 6 2 6" xfId="12264"/>
    <cellStyle name="Comma 3 8 6 2 7" xfId="14010"/>
    <cellStyle name="Comma 3 8 6 3" xfId="1898"/>
    <cellStyle name="Comma 3 8 6 3 2" xfId="3711"/>
    <cellStyle name="Comma 3 8 6 3 3" xfId="7638"/>
    <cellStyle name="Comma 3 8 6 3 4" xfId="9156"/>
    <cellStyle name="Comma 3 8 6 3 5" xfId="12770"/>
    <cellStyle name="Comma 3 8 6 3 6" xfId="14516"/>
    <cellStyle name="Comma 3 8 6 4" xfId="4689"/>
    <cellStyle name="Comma 3 8 6 4 2" xfId="10154"/>
    <cellStyle name="Comma 3 8 6 5" xfId="5181"/>
    <cellStyle name="Comma 3 8 6 5 2" xfId="10656"/>
    <cellStyle name="Comma 3 8 6 6" xfId="5683"/>
    <cellStyle name="Comma 3 8 6 6 2" xfId="11158"/>
    <cellStyle name="Comma 3 8 6 7" xfId="2707"/>
    <cellStyle name="Comma 3 8 6 8" xfId="6624"/>
    <cellStyle name="Comma 3 8 6 9" xfId="8148"/>
    <cellStyle name="Comma 3 8 7" xfId="1142"/>
    <cellStyle name="Comma 3 8 7 2" xfId="3959"/>
    <cellStyle name="Comma 3 8 7 2 2" xfId="9404"/>
    <cellStyle name="Comma 3 8 7 3" xfId="2949"/>
    <cellStyle name="Comma 3 8 7 4" xfId="6882"/>
    <cellStyle name="Comma 3 8 7 5" xfId="8396"/>
    <cellStyle name="Comma 3 8 7 6" xfId="12016"/>
    <cellStyle name="Comma 3 8 7 7" xfId="13762"/>
    <cellStyle name="Comma 3 8 8" xfId="1650"/>
    <cellStyle name="Comma 3 8 8 2" xfId="3463"/>
    <cellStyle name="Comma 3 8 8 3" xfId="7390"/>
    <cellStyle name="Comma 3 8 8 4" xfId="8908"/>
    <cellStyle name="Comma 3 8 8 5" xfId="12522"/>
    <cellStyle name="Comma 3 8 8 6" xfId="14268"/>
    <cellStyle name="Comma 3 8 9" xfId="4459"/>
    <cellStyle name="Comma 3 8 9 2" xfId="9906"/>
    <cellStyle name="Comma 3 9" xfId="630"/>
    <cellStyle name="Comma 3 9 10" xfId="4937"/>
    <cellStyle name="Comma 3 9 10 2" xfId="10410"/>
    <cellStyle name="Comma 3 9 11" xfId="5437"/>
    <cellStyle name="Comma 3 9 11 2" xfId="10912"/>
    <cellStyle name="Comma 3 9 12" xfId="2479"/>
    <cellStyle name="Comma 3 9 13" xfId="6375"/>
    <cellStyle name="Comma 3 9 14" xfId="7902"/>
    <cellStyle name="Comma 3 9 15" xfId="11512"/>
    <cellStyle name="Comma 3 9 16" xfId="13258"/>
    <cellStyle name="Comma 3 9 2" xfId="660"/>
    <cellStyle name="Comma 3 9 2 10" xfId="2499"/>
    <cellStyle name="Comma 3 9 2 11" xfId="6400"/>
    <cellStyle name="Comma 3 9 2 12" xfId="7924"/>
    <cellStyle name="Comma 3 9 2 13" xfId="11534"/>
    <cellStyle name="Comma 3 9 2 14" xfId="13280"/>
    <cellStyle name="Comma 3 9 2 2" xfId="710"/>
    <cellStyle name="Comma 3 9 2 2 10" xfId="6450"/>
    <cellStyle name="Comma 3 9 2 2 11" xfId="7974"/>
    <cellStyle name="Comma 3 9 2 2 12" xfId="11584"/>
    <cellStyle name="Comma 3 9 2 2 13" xfId="13330"/>
    <cellStyle name="Comma 3 9 2 2 2" xfId="834"/>
    <cellStyle name="Comma 3 9 2 2 2 10" xfId="8098"/>
    <cellStyle name="Comma 3 9 2 2 2 11" xfId="11708"/>
    <cellStyle name="Comma 3 9 2 2 2 12" xfId="13454"/>
    <cellStyle name="Comma 3 9 2 2 2 2" xfId="1082"/>
    <cellStyle name="Comma 3 9 2 2 2 2 10" xfId="11956"/>
    <cellStyle name="Comma 3 9 2 2 2 2 11" xfId="13702"/>
    <cellStyle name="Comma 3 9 2 2 2 2 2" xfId="1588"/>
    <cellStyle name="Comma 3 9 2 2 2 2 2 2" xfId="4403"/>
    <cellStyle name="Comma 3 9 2 2 2 2 2 2 2" xfId="9850"/>
    <cellStyle name="Comma 3 9 2 2 2 2 2 3" xfId="3393"/>
    <cellStyle name="Comma 3 9 2 2 2 2 2 4" xfId="7328"/>
    <cellStyle name="Comma 3 9 2 2 2 2 2 5" xfId="8842"/>
    <cellStyle name="Comma 3 9 2 2 2 2 2 6" xfId="12462"/>
    <cellStyle name="Comma 3 9 2 2 2 2 2 7" xfId="14208"/>
    <cellStyle name="Comma 3 9 2 2 2 2 3" xfId="2096"/>
    <cellStyle name="Comma 3 9 2 2 2 2 3 2" xfId="3909"/>
    <cellStyle name="Comma 3 9 2 2 2 2 3 3" xfId="7836"/>
    <cellStyle name="Comma 3 9 2 2 2 2 3 4" xfId="9354"/>
    <cellStyle name="Comma 3 9 2 2 2 2 3 5" xfId="12968"/>
    <cellStyle name="Comma 3 9 2 2 2 2 3 6" xfId="14714"/>
    <cellStyle name="Comma 3 9 2 2 2 2 4" xfId="4881"/>
    <cellStyle name="Comma 3 9 2 2 2 2 4 2" xfId="10352"/>
    <cellStyle name="Comma 3 9 2 2 2 2 5" xfId="5379"/>
    <cellStyle name="Comma 3 9 2 2 2 2 5 2" xfId="10854"/>
    <cellStyle name="Comma 3 9 2 2 2 2 6" xfId="5881"/>
    <cellStyle name="Comma 3 9 2 2 2 2 6 2" xfId="11356"/>
    <cellStyle name="Comma 3 9 2 2 2 2 7" xfId="2899"/>
    <cellStyle name="Comma 3 9 2 2 2 2 8" xfId="6822"/>
    <cellStyle name="Comma 3 9 2 2 2 2 9" xfId="8346"/>
    <cellStyle name="Comma 3 9 2 2 2 3" xfId="1340"/>
    <cellStyle name="Comma 3 9 2 2 2 3 2" xfId="4155"/>
    <cellStyle name="Comma 3 9 2 2 2 3 2 2" xfId="9602"/>
    <cellStyle name="Comma 3 9 2 2 2 3 3" xfId="3145"/>
    <cellStyle name="Comma 3 9 2 2 2 3 4" xfId="7080"/>
    <cellStyle name="Comma 3 9 2 2 2 3 5" xfId="8594"/>
    <cellStyle name="Comma 3 9 2 2 2 3 6" xfId="12214"/>
    <cellStyle name="Comma 3 9 2 2 2 3 7" xfId="13960"/>
    <cellStyle name="Comma 3 9 2 2 2 4" xfId="1848"/>
    <cellStyle name="Comma 3 9 2 2 2 4 2" xfId="3661"/>
    <cellStyle name="Comma 3 9 2 2 2 4 3" xfId="7588"/>
    <cellStyle name="Comma 3 9 2 2 2 4 4" xfId="9106"/>
    <cellStyle name="Comma 3 9 2 2 2 4 5" xfId="12720"/>
    <cellStyle name="Comma 3 9 2 2 2 4 6" xfId="14466"/>
    <cellStyle name="Comma 3 9 2 2 2 5" xfId="4642"/>
    <cellStyle name="Comma 3 9 2 2 2 5 2" xfId="10104"/>
    <cellStyle name="Comma 3 9 2 2 2 6" xfId="5131"/>
    <cellStyle name="Comma 3 9 2 2 2 6 2" xfId="10606"/>
    <cellStyle name="Comma 3 9 2 2 2 7" xfId="5633"/>
    <cellStyle name="Comma 3 9 2 2 2 7 2" xfId="11108"/>
    <cellStyle name="Comma 3 9 2 2 2 8" xfId="2658"/>
    <cellStyle name="Comma 3 9 2 2 2 9" xfId="6574"/>
    <cellStyle name="Comma 3 9 2 2 3" xfId="958"/>
    <cellStyle name="Comma 3 9 2 2 3 10" xfId="11832"/>
    <cellStyle name="Comma 3 9 2 2 3 11" xfId="13578"/>
    <cellStyle name="Comma 3 9 2 2 3 2" xfId="1464"/>
    <cellStyle name="Comma 3 9 2 2 3 2 2" xfId="4279"/>
    <cellStyle name="Comma 3 9 2 2 3 2 2 2" xfId="9726"/>
    <cellStyle name="Comma 3 9 2 2 3 2 3" xfId="3269"/>
    <cellStyle name="Comma 3 9 2 2 3 2 4" xfId="7204"/>
    <cellStyle name="Comma 3 9 2 2 3 2 5" xfId="8718"/>
    <cellStyle name="Comma 3 9 2 2 3 2 6" xfId="12338"/>
    <cellStyle name="Comma 3 9 2 2 3 2 7" xfId="14084"/>
    <cellStyle name="Comma 3 9 2 2 3 3" xfId="1972"/>
    <cellStyle name="Comma 3 9 2 2 3 3 2" xfId="3785"/>
    <cellStyle name="Comma 3 9 2 2 3 3 3" xfId="7712"/>
    <cellStyle name="Comma 3 9 2 2 3 3 4" xfId="9230"/>
    <cellStyle name="Comma 3 9 2 2 3 3 5" xfId="12844"/>
    <cellStyle name="Comma 3 9 2 2 3 3 6" xfId="14590"/>
    <cellStyle name="Comma 3 9 2 2 3 4" xfId="4758"/>
    <cellStyle name="Comma 3 9 2 2 3 4 2" xfId="10228"/>
    <cellStyle name="Comma 3 9 2 2 3 5" xfId="5255"/>
    <cellStyle name="Comma 3 9 2 2 3 5 2" xfId="10730"/>
    <cellStyle name="Comma 3 9 2 2 3 6" xfId="5757"/>
    <cellStyle name="Comma 3 9 2 2 3 6 2" xfId="11232"/>
    <cellStyle name="Comma 3 9 2 2 3 7" xfId="2776"/>
    <cellStyle name="Comma 3 9 2 2 3 8" xfId="6698"/>
    <cellStyle name="Comma 3 9 2 2 3 9" xfId="8222"/>
    <cellStyle name="Comma 3 9 2 2 4" xfId="1216"/>
    <cellStyle name="Comma 3 9 2 2 4 2" xfId="4032"/>
    <cellStyle name="Comma 3 9 2 2 4 2 2" xfId="9478"/>
    <cellStyle name="Comma 3 9 2 2 4 3" xfId="3022"/>
    <cellStyle name="Comma 3 9 2 2 4 4" xfId="6956"/>
    <cellStyle name="Comma 3 9 2 2 4 5" xfId="8470"/>
    <cellStyle name="Comma 3 9 2 2 4 6" xfId="12090"/>
    <cellStyle name="Comma 3 9 2 2 4 7" xfId="13836"/>
    <cellStyle name="Comma 3 9 2 2 5" xfId="1724"/>
    <cellStyle name="Comma 3 9 2 2 5 2" xfId="3537"/>
    <cellStyle name="Comma 3 9 2 2 5 3" xfId="7464"/>
    <cellStyle name="Comma 3 9 2 2 5 4" xfId="8982"/>
    <cellStyle name="Comma 3 9 2 2 5 5" xfId="12596"/>
    <cellStyle name="Comma 3 9 2 2 5 6" xfId="14342"/>
    <cellStyle name="Comma 3 9 2 2 6" xfId="4528"/>
    <cellStyle name="Comma 3 9 2 2 6 2" xfId="9980"/>
    <cellStyle name="Comma 3 9 2 2 7" xfId="5007"/>
    <cellStyle name="Comma 3 9 2 2 7 2" xfId="10482"/>
    <cellStyle name="Comma 3 9 2 2 8" xfId="5509"/>
    <cellStyle name="Comma 3 9 2 2 8 2" xfId="10984"/>
    <cellStyle name="Comma 3 9 2 2 9" xfId="2544"/>
    <cellStyle name="Comma 3 9 2 3" xfId="784"/>
    <cellStyle name="Comma 3 9 2 3 10" xfId="8048"/>
    <cellStyle name="Comma 3 9 2 3 11" xfId="11658"/>
    <cellStyle name="Comma 3 9 2 3 12" xfId="13404"/>
    <cellStyle name="Comma 3 9 2 3 2" xfId="1032"/>
    <cellStyle name="Comma 3 9 2 3 2 10" xfId="11906"/>
    <cellStyle name="Comma 3 9 2 3 2 11" xfId="13652"/>
    <cellStyle name="Comma 3 9 2 3 2 2" xfId="1538"/>
    <cellStyle name="Comma 3 9 2 3 2 2 2" xfId="4353"/>
    <cellStyle name="Comma 3 9 2 3 2 2 2 2" xfId="9800"/>
    <cellStyle name="Comma 3 9 2 3 2 2 3" xfId="3343"/>
    <cellStyle name="Comma 3 9 2 3 2 2 4" xfId="7278"/>
    <cellStyle name="Comma 3 9 2 3 2 2 5" xfId="8792"/>
    <cellStyle name="Comma 3 9 2 3 2 2 6" xfId="12412"/>
    <cellStyle name="Comma 3 9 2 3 2 2 7" xfId="14158"/>
    <cellStyle name="Comma 3 9 2 3 2 3" xfId="2046"/>
    <cellStyle name="Comma 3 9 2 3 2 3 2" xfId="3859"/>
    <cellStyle name="Comma 3 9 2 3 2 3 3" xfId="7786"/>
    <cellStyle name="Comma 3 9 2 3 2 3 4" xfId="9304"/>
    <cellStyle name="Comma 3 9 2 3 2 3 5" xfId="12918"/>
    <cellStyle name="Comma 3 9 2 3 2 3 6" xfId="14664"/>
    <cellStyle name="Comma 3 9 2 3 2 4" xfId="4831"/>
    <cellStyle name="Comma 3 9 2 3 2 4 2" xfId="10302"/>
    <cellStyle name="Comma 3 9 2 3 2 5" xfId="5329"/>
    <cellStyle name="Comma 3 9 2 3 2 5 2" xfId="10804"/>
    <cellStyle name="Comma 3 9 2 3 2 6" xfId="5831"/>
    <cellStyle name="Comma 3 9 2 3 2 6 2" xfId="11306"/>
    <cellStyle name="Comma 3 9 2 3 2 7" xfId="2849"/>
    <cellStyle name="Comma 3 9 2 3 2 8" xfId="6772"/>
    <cellStyle name="Comma 3 9 2 3 2 9" xfId="8296"/>
    <cellStyle name="Comma 3 9 2 3 3" xfId="1290"/>
    <cellStyle name="Comma 3 9 2 3 3 2" xfId="4105"/>
    <cellStyle name="Comma 3 9 2 3 3 2 2" xfId="9552"/>
    <cellStyle name="Comma 3 9 2 3 3 3" xfId="3095"/>
    <cellStyle name="Comma 3 9 2 3 3 4" xfId="7030"/>
    <cellStyle name="Comma 3 9 2 3 3 5" xfId="8544"/>
    <cellStyle name="Comma 3 9 2 3 3 6" xfId="12164"/>
    <cellStyle name="Comma 3 9 2 3 3 7" xfId="13910"/>
    <cellStyle name="Comma 3 9 2 3 4" xfId="1798"/>
    <cellStyle name="Comma 3 9 2 3 4 2" xfId="3611"/>
    <cellStyle name="Comma 3 9 2 3 4 3" xfId="7538"/>
    <cellStyle name="Comma 3 9 2 3 4 4" xfId="9056"/>
    <cellStyle name="Comma 3 9 2 3 4 5" xfId="12670"/>
    <cellStyle name="Comma 3 9 2 3 4 6" xfId="14416"/>
    <cellStyle name="Comma 3 9 2 3 5" xfId="4595"/>
    <cellStyle name="Comma 3 9 2 3 5 2" xfId="10054"/>
    <cellStyle name="Comma 3 9 2 3 6" xfId="5081"/>
    <cellStyle name="Comma 3 9 2 3 6 2" xfId="10556"/>
    <cellStyle name="Comma 3 9 2 3 7" xfId="5583"/>
    <cellStyle name="Comma 3 9 2 3 7 2" xfId="11058"/>
    <cellStyle name="Comma 3 9 2 3 8" xfId="2611"/>
    <cellStyle name="Comma 3 9 2 3 9" xfId="6524"/>
    <cellStyle name="Comma 3 9 2 4" xfId="908"/>
    <cellStyle name="Comma 3 9 2 4 10" xfId="11782"/>
    <cellStyle name="Comma 3 9 2 4 11" xfId="13528"/>
    <cellStyle name="Comma 3 9 2 4 2" xfId="1414"/>
    <cellStyle name="Comma 3 9 2 4 2 2" xfId="4229"/>
    <cellStyle name="Comma 3 9 2 4 2 2 2" xfId="9676"/>
    <cellStyle name="Comma 3 9 2 4 2 3" xfId="3219"/>
    <cellStyle name="Comma 3 9 2 4 2 4" xfId="7154"/>
    <cellStyle name="Comma 3 9 2 4 2 5" xfId="8668"/>
    <cellStyle name="Comma 3 9 2 4 2 6" xfId="12288"/>
    <cellStyle name="Comma 3 9 2 4 2 7" xfId="14034"/>
    <cellStyle name="Comma 3 9 2 4 3" xfId="1922"/>
    <cellStyle name="Comma 3 9 2 4 3 2" xfId="3735"/>
    <cellStyle name="Comma 3 9 2 4 3 3" xfId="7662"/>
    <cellStyle name="Comma 3 9 2 4 3 4" xfId="9180"/>
    <cellStyle name="Comma 3 9 2 4 3 5" xfId="12794"/>
    <cellStyle name="Comma 3 9 2 4 3 6" xfId="14540"/>
    <cellStyle name="Comma 3 9 2 4 4" xfId="4711"/>
    <cellStyle name="Comma 3 9 2 4 4 2" xfId="10178"/>
    <cellStyle name="Comma 3 9 2 4 5" xfId="5205"/>
    <cellStyle name="Comma 3 9 2 4 5 2" xfId="10680"/>
    <cellStyle name="Comma 3 9 2 4 6" xfId="5707"/>
    <cellStyle name="Comma 3 9 2 4 6 2" xfId="11182"/>
    <cellStyle name="Comma 3 9 2 4 7" xfId="2729"/>
    <cellStyle name="Comma 3 9 2 4 8" xfId="6648"/>
    <cellStyle name="Comma 3 9 2 4 9" xfId="8172"/>
    <cellStyle name="Comma 3 9 2 5" xfId="1166"/>
    <cellStyle name="Comma 3 9 2 5 2" xfId="3983"/>
    <cellStyle name="Comma 3 9 2 5 2 2" xfId="9428"/>
    <cellStyle name="Comma 3 9 2 5 3" xfId="2973"/>
    <cellStyle name="Comma 3 9 2 5 4" xfId="6906"/>
    <cellStyle name="Comma 3 9 2 5 5" xfId="8420"/>
    <cellStyle name="Comma 3 9 2 5 6" xfId="12040"/>
    <cellStyle name="Comma 3 9 2 5 7" xfId="13786"/>
    <cellStyle name="Comma 3 9 2 6" xfId="1674"/>
    <cellStyle name="Comma 3 9 2 6 2" xfId="3487"/>
    <cellStyle name="Comma 3 9 2 6 3" xfId="7414"/>
    <cellStyle name="Comma 3 9 2 6 4" xfId="8932"/>
    <cellStyle name="Comma 3 9 2 6 5" xfId="12546"/>
    <cellStyle name="Comma 3 9 2 6 6" xfId="14292"/>
    <cellStyle name="Comma 3 9 2 7" xfId="4483"/>
    <cellStyle name="Comma 3 9 2 7 2" xfId="9930"/>
    <cellStyle name="Comma 3 9 2 8" xfId="4957"/>
    <cellStyle name="Comma 3 9 2 8 2" xfId="10432"/>
    <cellStyle name="Comma 3 9 2 9" xfId="5459"/>
    <cellStyle name="Comma 3 9 2 9 2" xfId="10934"/>
    <cellStyle name="Comma 3 9 3" xfId="680"/>
    <cellStyle name="Comma 3 9 3 10" xfId="2517"/>
    <cellStyle name="Comma 3 9 3 11" xfId="6420"/>
    <cellStyle name="Comma 3 9 3 12" xfId="7944"/>
    <cellStyle name="Comma 3 9 3 13" xfId="11554"/>
    <cellStyle name="Comma 3 9 3 14" xfId="13300"/>
    <cellStyle name="Comma 3 9 3 2" xfId="711"/>
    <cellStyle name="Comma 3 9 3 2 10" xfId="6451"/>
    <cellStyle name="Comma 3 9 3 2 11" xfId="7975"/>
    <cellStyle name="Comma 3 9 3 2 12" xfId="11585"/>
    <cellStyle name="Comma 3 9 3 2 13" xfId="13331"/>
    <cellStyle name="Comma 3 9 3 2 2" xfId="835"/>
    <cellStyle name="Comma 3 9 3 2 2 10" xfId="8099"/>
    <cellStyle name="Comma 3 9 3 2 2 11" xfId="11709"/>
    <cellStyle name="Comma 3 9 3 2 2 12" xfId="13455"/>
    <cellStyle name="Comma 3 9 3 2 2 2" xfId="1083"/>
    <cellStyle name="Comma 3 9 3 2 2 2 10" xfId="11957"/>
    <cellStyle name="Comma 3 9 3 2 2 2 11" xfId="13703"/>
    <cellStyle name="Comma 3 9 3 2 2 2 2" xfId="1589"/>
    <cellStyle name="Comma 3 9 3 2 2 2 2 2" xfId="4404"/>
    <cellStyle name="Comma 3 9 3 2 2 2 2 2 2" xfId="9851"/>
    <cellStyle name="Comma 3 9 3 2 2 2 2 3" xfId="3394"/>
    <cellStyle name="Comma 3 9 3 2 2 2 2 4" xfId="7329"/>
    <cellStyle name="Comma 3 9 3 2 2 2 2 5" xfId="8843"/>
    <cellStyle name="Comma 3 9 3 2 2 2 2 6" xfId="12463"/>
    <cellStyle name="Comma 3 9 3 2 2 2 2 7" xfId="14209"/>
    <cellStyle name="Comma 3 9 3 2 2 2 3" xfId="2097"/>
    <cellStyle name="Comma 3 9 3 2 2 2 3 2" xfId="3910"/>
    <cellStyle name="Comma 3 9 3 2 2 2 3 3" xfId="7837"/>
    <cellStyle name="Comma 3 9 3 2 2 2 3 4" xfId="9355"/>
    <cellStyle name="Comma 3 9 3 2 2 2 3 5" xfId="12969"/>
    <cellStyle name="Comma 3 9 3 2 2 2 3 6" xfId="14715"/>
    <cellStyle name="Comma 3 9 3 2 2 2 4" xfId="4882"/>
    <cellStyle name="Comma 3 9 3 2 2 2 4 2" xfId="10353"/>
    <cellStyle name="Comma 3 9 3 2 2 2 5" xfId="5380"/>
    <cellStyle name="Comma 3 9 3 2 2 2 5 2" xfId="10855"/>
    <cellStyle name="Comma 3 9 3 2 2 2 6" xfId="5882"/>
    <cellStyle name="Comma 3 9 3 2 2 2 6 2" xfId="11357"/>
    <cellStyle name="Comma 3 9 3 2 2 2 7" xfId="2900"/>
    <cellStyle name="Comma 3 9 3 2 2 2 8" xfId="6823"/>
    <cellStyle name="Comma 3 9 3 2 2 2 9" xfId="8347"/>
    <cellStyle name="Comma 3 9 3 2 2 3" xfId="1341"/>
    <cellStyle name="Comma 3 9 3 2 2 3 2" xfId="4156"/>
    <cellStyle name="Comma 3 9 3 2 2 3 2 2" xfId="9603"/>
    <cellStyle name="Comma 3 9 3 2 2 3 3" xfId="3146"/>
    <cellStyle name="Comma 3 9 3 2 2 3 4" xfId="7081"/>
    <cellStyle name="Comma 3 9 3 2 2 3 5" xfId="8595"/>
    <cellStyle name="Comma 3 9 3 2 2 3 6" xfId="12215"/>
    <cellStyle name="Comma 3 9 3 2 2 3 7" xfId="13961"/>
    <cellStyle name="Comma 3 9 3 2 2 4" xfId="1849"/>
    <cellStyle name="Comma 3 9 3 2 2 4 2" xfId="3662"/>
    <cellStyle name="Comma 3 9 3 2 2 4 3" xfId="7589"/>
    <cellStyle name="Comma 3 9 3 2 2 4 4" xfId="9107"/>
    <cellStyle name="Comma 3 9 3 2 2 4 5" xfId="12721"/>
    <cellStyle name="Comma 3 9 3 2 2 4 6" xfId="14467"/>
    <cellStyle name="Comma 3 9 3 2 2 5" xfId="4643"/>
    <cellStyle name="Comma 3 9 3 2 2 5 2" xfId="10105"/>
    <cellStyle name="Comma 3 9 3 2 2 6" xfId="5132"/>
    <cellStyle name="Comma 3 9 3 2 2 6 2" xfId="10607"/>
    <cellStyle name="Comma 3 9 3 2 2 7" xfId="5634"/>
    <cellStyle name="Comma 3 9 3 2 2 7 2" xfId="11109"/>
    <cellStyle name="Comma 3 9 3 2 2 8" xfId="2659"/>
    <cellStyle name="Comma 3 9 3 2 2 9" xfId="6575"/>
    <cellStyle name="Comma 3 9 3 2 3" xfId="959"/>
    <cellStyle name="Comma 3 9 3 2 3 10" xfId="11833"/>
    <cellStyle name="Comma 3 9 3 2 3 11" xfId="13579"/>
    <cellStyle name="Comma 3 9 3 2 3 2" xfId="1465"/>
    <cellStyle name="Comma 3 9 3 2 3 2 2" xfId="4280"/>
    <cellStyle name="Comma 3 9 3 2 3 2 2 2" xfId="9727"/>
    <cellStyle name="Comma 3 9 3 2 3 2 3" xfId="3270"/>
    <cellStyle name="Comma 3 9 3 2 3 2 4" xfId="7205"/>
    <cellStyle name="Comma 3 9 3 2 3 2 5" xfId="8719"/>
    <cellStyle name="Comma 3 9 3 2 3 2 6" xfId="12339"/>
    <cellStyle name="Comma 3 9 3 2 3 2 7" xfId="14085"/>
    <cellStyle name="Comma 3 9 3 2 3 3" xfId="1973"/>
    <cellStyle name="Comma 3 9 3 2 3 3 2" xfId="3786"/>
    <cellStyle name="Comma 3 9 3 2 3 3 3" xfId="7713"/>
    <cellStyle name="Comma 3 9 3 2 3 3 4" xfId="9231"/>
    <cellStyle name="Comma 3 9 3 2 3 3 5" xfId="12845"/>
    <cellStyle name="Comma 3 9 3 2 3 3 6" xfId="14591"/>
    <cellStyle name="Comma 3 9 3 2 3 4" xfId="4759"/>
    <cellStyle name="Comma 3 9 3 2 3 4 2" xfId="10229"/>
    <cellStyle name="Comma 3 9 3 2 3 5" xfId="5256"/>
    <cellStyle name="Comma 3 9 3 2 3 5 2" xfId="10731"/>
    <cellStyle name="Comma 3 9 3 2 3 6" xfId="5758"/>
    <cellStyle name="Comma 3 9 3 2 3 6 2" xfId="11233"/>
    <cellStyle name="Comma 3 9 3 2 3 7" xfId="2777"/>
    <cellStyle name="Comma 3 9 3 2 3 8" xfId="6699"/>
    <cellStyle name="Comma 3 9 3 2 3 9" xfId="8223"/>
    <cellStyle name="Comma 3 9 3 2 4" xfId="1217"/>
    <cellStyle name="Comma 3 9 3 2 4 2" xfId="4033"/>
    <cellStyle name="Comma 3 9 3 2 4 2 2" xfId="9479"/>
    <cellStyle name="Comma 3 9 3 2 4 3" xfId="3023"/>
    <cellStyle name="Comma 3 9 3 2 4 4" xfId="6957"/>
    <cellStyle name="Comma 3 9 3 2 4 5" xfId="8471"/>
    <cellStyle name="Comma 3 9 3 2 4 6" xfId="12091"/>
    <cellStyle name="Comma 3 9 3 2 4 7" xfId="13837"/>
    <cellStyle name="Comma 3 9 3 2 5" xfId="1725"/>
    <cellStyle name="Comma 3 9 3 2 5 2" xfId="3538"/>
    <cellStyle name="Comma 3 9 3 2 5 3" xfId="7465"/>
    <cellStyle name="Comma 3 9 3 2 5 4" xfId="8983"/>
    <cellStyle name="Comma 3 9 3 2 5 5" xfId="12597"/>
    <cellStyle name="Comma 3 9 3 2 5 6" xfId="14343"/>
    <cellStyle name="Comma 3 9 3 2 6" xfId="4529"/>
    <cellStyle name="Comma 3 9 3 2 6 2" xfId="9981"/>
    <cellStyle name="Comma 3 9 3 2 7" xfId="5008"/>
    <cellStyle name="Comma 3 9 3 2 7 2" xfId="10483"/>
    <cellStyle name="Comma 3 9 3 2 8" xfId="5510"/>
    <cellStyle name="Comma 3 9 3 2 8 2" xfId="10985"/>
    <cellStyle name="Comma 3 9 3 2 9" xfId="2545"/>
    <cellStyle name="Comma 3 9 3 3" xfId="804"/>
    <cellStyle name="Comma 3 9 3 3 10" xfId="8068"/>
    <cellStyle name="Comma 3 9 3 3 11" xfId="11678"/>
    <cellStyle name="Comma 3 9 3 3 12" xfId="13424"/>
    <cellStyle name="Comma 3 9 3 3 2" xfId="1052"/>
    <cellStyle name="Comma 3 9 3 3 2 10" xfId="11926"/>
    <cellStyle name="Comma 3 9 3 3 2 11" xfId="13672"/>
    <cellStyle name="Comma 3 9 3 3 2 2" xfId="1558"/>
    <cellStyle name="Comma 3 9 3 3 2 2 2" xfId="4373"/>
    <cellStyle name="Comma 3 9 3 3 2 2 2 2" xfId="9820"/>
    <cellStyle name="Comma 3 9 3 3 2 2 3" xfId="3363"/>
    <cellStyle name="Comma 3 9 3 3 2 2 4" xfId="7298"/>
    <cellStyle name="Comma 3 9 3 3 2 2 5" xfId="8812"/>
    <cellStyle name="Comma 3 9 3 3 2 2 6" xfId="12432"/>
    <cellStyle name="Comma 3 9 3 3 2 2 7" xfId="14178"/>
    <cellStyle name="Comma 3 9 3 3 2 3" xfId="2066"/>
    <cellStyle name="Comma 3 9 3 3 2 3 2" xfId="3879"/>
    <cellStyle name="Comma 3 9 3 3 2 3 3" xfId="7806"/>
    <cellStyle name="Comma 3 9 3 3 2 3 4" xfId="9324"/>
    <cellStyle name="Comma 3 9 3 3 2 3 5" xfId="12938"/>
    <cellStyle name="Comma 3 9 3 3 2 3 6" xfId="14684"/>
    <cellStyle name="Comma 3 9 3 3 2 4" xfId="4851"/>
    <cellStyle name="Comma 3 9 3 3 2 4 2" xfId="10322"/>
    <cellStyle name="Comma 3 9 3 3 2 5" xfId="5349"/>
    <cellStyle name="Comma 3 9 3 3 2 5 2" xfId="10824"/>
    <cellStyle name="Comma 3 9 3 3 2 6" xfId="5851"/>
    <cellStyle name="Comma 3 9 3 3 2 6 2" xfId="11326"/>
    <cellStyle name="Comma 3 9 3 3 2 7" xfId="2869"/>
    <cellStyle name="Comma 3 9 3 3 2 8" xfId="6792"/>
    <cellStyle name="Comma 3 9 3 3 2 9" xfId="8316"/>
    <cellStyle name="Comma 3 9 3 3 3" xfId="1310"/>
    <cellStyle name="Comma 3 9 3 3 3 2" xfId="4125"/>
    <cellStyle name="Comma 3 9 3 3 3 2 2" xfId="9572"/>
    <cellStyle name="Comma 3 9 3 3 3 3" xfId="3115"/>
    <cellStyle name="Comma 3 9 3 3 3 4" xfId="7050"/>
    <cellStyle name="Comma 3 9 3 3 3 5" xfId="8564"/>
    <cellStyle name="Comma 3 9 3 3 3 6" xfId="12184"/>
    <cellStyle name="Comma 3 9 3 3 3 7" xfId="13930"/>
    <cellStyle name="Comma 3 9 3 3 4" xfId="1818"/>
    <cellStyle name="Comma 3 9 3 3 4 2" xfId="3631"/>
    <cellStyle name="Comma 3 9 3 3 4 3" xfId="7558"/>
    <cellStyle name="Comma 3 9 3 3 4 4" xfId="9076"/>
    <cellStyle name="Comma 3 9 3 3 4 5" xfId="12690"/>
    <cellStyle name="Comma 3 9 3 3 4 6" xfId="14436"/>
    <cellStyle name="Comma 3 9 3 3 5" xfId="4613"/>
    <cellStyle name="Comma 3 9 3 3 5 2" xfId="10074"/>
    <cellStyle name="Comma 3 9 3 3 6" xfId="5101"/>
    <cellStyle name="Comma 3 9 3 3 6 2" xfId="10576"/>
    <cellStyle name="Comma 3 9 3 3 7" xfId="5603"/>
    <cellStyle name="Comma 3 9 3 3 7 2" xfId="11078"/>
    <cellStyle name="Comma 3 9 3 3 8" xfId="2629"/>
    <cellStyle name="Comma 3 9 3 3 9" xfId="6544"/>
    <cellStyle name="Comma 3 9 3 4" xfId="928"/>
    <cellStyle name="Comma 3 9 3 4 10" xfId="11802"/>
    <cellStyle name="Comma 3 9 3 4 11" xfId="13548"/>
    <cellStyle name="Comma 3 9 3 4 2" xfId="1434"/>
    <cellStyle name="Comma 3 9 3 4 2 2" xfId="4249"/>
    <cellStyle name="Comma 3 9 3 4 2 2 2" xfId="9696"/>
    <cellStyle name="Comma 3 9 3 4 2 3" xfId="3239"/>
    <cellStyle name="Comma 3 9 3 4 2 4" xfId="7174"/>
    <cellStyle name="Comma 3 9 3 4 2 5" xfId="8688"/>
    <cellStyle name="Comma 3 9 3 4 2 6" xfId="12308"/>
    <cellStyle name="Comma 3 9 3 4 2 7" xfId="14054"/>
    <cellStyle name="Comma 3 9 3 4 3" xfId="1942"/>
    <cellStyle name="Comma 3 9 3 4 3 2" xfId="3755"/>
    <cellStyle name="Comma 3 9 3 4 3 3" xfId="7682"/>
    <cellStyle name="Comma 3 9 3 4 3 4" xfId="9200"/>
    <cellStyle name="Comma 3 9 3 4 3 5" xfId="12814"/>
    <cellStyle name="Comma 3 9 3 4 3 6" xfId="14560"/>
    <cellStyle name="Comma 3 9 3 4 4" xfId="4729"/>
    <cellStyle name="Comma 3 9 3 4 4 2" xfId="10198"/>
    <cellStyle name="Comma 3 9 3 4 5" xfId="5225"/>
    <cellStyle name="Comma 3 9 3 4 5 2" xfId="10700"/>
    <cellStyle name="Comma 3 9 3 4 6" xfId="5727"/>
    <cellStyle name="Comma 3 9 3 4 6 2" xfId="11202"/>
    <cellStyle name="Comma 3 9 3 4 7" xfId="2747"/>
    <cellStyle name="Comma 3 9 3 4 8" xfId="6668"/>
    <cellStyle name="Comma 3 9 3 4 9" xfId="8192"/>
    <cellStyle name="Comma 3 9 3 5" xfId="1186"/>
    <cellStyle name="Comma 3 9 3 5 2" xfId="4003"/>
    <cellStyle name="Comma 3 9 3 5 2 2" xfId="9448"/>
    <cellStyle name="Comma 3 9 3 5 3" xfId="2993"/>
    <cellStyle name="Comma 3 9 3 5 4" xfId="6926"/>
    <cellStyle name="Comma 3 9 3 5 5" xfId="8440"/>
    <cellStyle name="Comma 3 9 3 5 6" xfId="12060"/>
    <cellStyle name="Comma 3 9 3 5 7" xfId="13806"/>
    <cellStyle name="Comma 3 9 3 6" xfId="1694"/>
    <cellStyle name="Comma 3 9 3 6 2" xfId="3507"/>
    <cellStyle name="Comma 3 9 3 6 3" xfId="7434"/>
    <cellStyle name="Comma 3 9 3 6 4" xfId="8952"/>
    <cellStyle name="Comma 3 9 3 6 5" xfId="12566"/>
    <cellStyle name="Comma 3 9 3 6 6" xfId="14312"/>
    <cellStyle name="Comma 3 9 3 7" xfId="4501"/>
    <cellStyle name="Comma 3 9 3 7 2" xfId="9950"/>
    <cellStyle name="Comma 3 9 3 8" xfId="4977"/>
    <cellStyle name="Comma 3 9 3 8 2" xfId="10452"/>
    <cellStyle name="Comma 3 9 3 9" xfId="5479"/>
    <cellStyle name="Comma 3 9 3 9 2" xfId="10954"/>
    <cellStyle name="Comma 3 9 4" xfId="709"/>
    <cellStyle name="Comma 3 9 4 10" xfId="6449"/>
    <cellStyle name="Comma 3 9 4 11" xfId="7973"/>
    <cellStyle name="Comma 3 9 4 12" xfId="11583"/>
    <cellStyle name="Comma 3 9 4 13" xfId="13329"/>
    <cellStyle name="Comma 3 9 4 2" xfId="833"/>
    <cellStyle name="Comma 3 9 4 2 10" xfId="8097"/>
    <cellStyle name="Comma 3 9 4 2 11" xfId="11707"/>
    <cellStyle name="Comma 3 9 4 2 12" xfId="13453"/>
    <cellStyle name="Comma 3 9 4 2 2" xfId="1081"/>
    <cellStyle name="Comma 3 9 4 2 2 10" xfId="11955"/>
    <cellStyle name="Comma 3 9 4 2 2 11" xfId="13701"/>
    <cellStyle name="Comma 3 9 4 2 2 2" xfId="1587"/>
    <cellStyle name="Comma 3 9 4 2 2 2 2" xfId="4402"/>
    <cellStyle name="Comma 3 9 4 2 2 2 2 2" xfId="9849"/>
    <cellStyle name="Comma 3 9 4 2 2 2 3" xfId="3392"/>
    <cellStyle name="Comma 3 9 4 2 2 2 4" xfId="7327"/>
    <cellStyle name="Comma 3 9 4 2 2 2 5" xfId="8841"/>
    <cellStyle name="Comma 3 9 4 2 2 2 6" xfId="12461"/>
    <cellStyle name="Comma 3 9 4 2 2 2 7" xfId="14207"/>
    <cellStyle name="Comma 3 9 4 2 2 3" xfId="2095"/>
    <cellStyle name="Comma 3 9 4 2 2 3 2" xfId="3908"/>
    <cellStyle name="Comma 3 9 4 2 2 3 3" xfId="7835"/>
    <cellStyle name="Comma 3 9 4 2 2 3 4" xfId="9353"/>
    <cellStyle name="Comma 3 9 4 2 2 3 5" xfId="12967"/>
    <cellStyle name="Comma 3 9 4 2 2 3 6" xfId="14713"/>
    <cellStyle name="Comma 3 9 4 2 2 4" xfId="4880"/>
    <cellStyle name="Comma 3 9 4 2 2 4 2" xfId="10351"/>
    <cellStyle name="Comma 3 9 4 2 2 5" xfId="5378"/>
    <cellStyle name="Comma 3 9 4 2 2 5 2" xfId="10853"/>
    <cellStyle name="Comma 3 9 4 2 2 6" xfId="5880"/>
    <cellStyle name="Comma 3 9 4 2 2 6 2" xfId="11355"/>
    <cellStyle name="Comma 3 9 4 2 2 7" xfId="2898"/>
    <cellStyle name="Comma 3 9 4 2 2 8" xfId="6821"/>
    <cellStyle name="Comma 3 9 4 2 2 9" xfId="8345"/>
    <cellStyle name="Comma 3 9 4 2 3" xfId="1339"/>
    <cellStyle name="Comma 3 9 4 2 3 2" xfId="4154"/>
    <cellStyle name="Comma 3 9 4 2 3 2 2" xfId="9601"/>
    <cellStyle name="Comma 3 9 4 2 3 3" xfId="3144"/>
    <cellStyle name="Comma 3 9 4 2 3 4" xfId="7079"/>
    <cellStyle name="Comma 3 9 4 2 3 5" xfId="8593"/>
    <cellStyle name="Comma 3 9 4 2 3 6" xfId="12213"/>
    <cellStyle name="Comma 3 9 4 2 3 7" xfId="13959"/>
    <cellStyle name="Comma 3 9 4 2 4" xfId="1847"/>
    <cellStyle name="Comma 3 9 4 2 4 2" xfId="3660"/>
    <cellStyle name="Comma 3 9 4 2 4 3" xfId="7587"/>
    <cellStyle name="Comma 3 9 4 2 4 4" xfId="9105"/>
    <cellStyle name="Comma 3 9 4 2 4 5" xfId="12719"/>
    <cellStyle name="Comma 3 9 4 2 4 6" xfId="14465"/>
    <cellStyle name="Comma 3 9 4 2 5" xfId="4641"/>
    <cellStyle name="Comma 3 9 4 2 5 2" xfId="10103"/>
    <cellStyle name="Comma 3 9 4 2 6" xfId="5130"/>
    <cellStyle name="Comma 3 9 4 2 6 2" xfId="10605"/>
    <cellStyle name="Comma 3 9 4 2 7" xfId="5632"/>
    <cellStyle name="Comma 3 9 4 2 7 2" xfId="11107"/>
    <cellStyle name="Comma 3 9 4 2 8" xfId="2657"/>
    <cellStyle name="Comma 3 9 4 2 9" xfId="6573"/>
    <cellStyle name="Comma 3 9 4 3" xfId="957"/>
    <cellStyle name="Comma 3 9 4 3 10" xfId="11831"/>
    <cellStyle name="Comma 3 9 4 3 11" xfId="13577"/>
    <cellStyle name="Comma 3 9 4 3 2" xfId="1463"/>
    <cellStyle name="Comma 3 9 4 3 2 2" xfId="4278"/>
    <cellStyle name="Comma 3 9 4 3 2 2 2" xfId="9725"/>
    <cellStyle name="Comma 3 9 4 3 2 3" xfId="3268"/>
    <cellStyle name="Comma 3 9 4 3 2 4" xfId="7203"/>
    <cellStyle name="Comma 3 9 4 3 2 5" xfId="8717"/>
    <cellStyle name="Comma 3 9 4 3 2 6" xfId="12337"/>
    <cellStyle name="Comma 3 9 4 3 2 7" xfId="14083"/>
    <cellStyle name="Comma 3 9 4 3 3" xfId="1971"/>
    <cellStyle name="Comma 3 9 4 3 3 2" xfId="3784"/>
    <cellStyle name="Comma 3 9 4 3 3 3" xfId="7711"/>
    <cellStyle name="Comma 3 9 4 3 3 4" xfId="9229"/>
    <cellStyle name="Comma 3 9 4 3 3 5" xfId="12843"/>
    <cellStyle name="Comma 3 9 4 3 3 6" xfId="14589"/>
    <cellStyle name="Comma 3 9 4 3 4" xfId="4757"/>
    <cellStyle name="Comma 3 9 4 3 4 2" xfId="10227"/>
    <cellStyle name="Comma 3 9 4 3 5" xfId="5254"/>
    <cellStyle name="Comma 3 9 4 3 5 2" xfId="10729"/>
    <cellStyle name="Comma 3 9 4 3 6" xfId="5756"/>
    <cellStyle name="Comma 3 9 4 3 6 2" xfId="11231"/>
    <cellStyle name="Comma 3 9 4 3 7" xfId="2775"/>
    <cellStyle name="Comma 3 9 4 3 8" xfId="6697"/>
    <cellStyle name="Comma 3 9 4 3 9" xfId="8221"/>
    <cellStyle name="Comma 3 9 4 4" xfId="1215"/>
    <cellStyle name="Comma 3 9 4 4 2" xfId="4031"/>
    <cellStyle name="Comma 3 9 4 4 2 2" xfId="9477"/>
    <cellStyle name="Comma 3 9 4 4 3" xfId="3021"/>
    <cellStyle name="Comma 3 9 4 4 4" xfId="6955"/>
    <cellStyle name="Comma 3 9 4 4 5" xfId="8469"/>
    <cellStyle name="Comma 3 9 4 4 6" xfId="12089"/>
    <cellStyle name="Comma 3 9 4 4 7" xfId="13835"/>
    <cellStyle name="Comma 3 9 4 5" xfId="1723"/>
    <cellStyle name="Comma 3 9 4 5 2" xfId="3536"/>
    <cellStyle name="Comma 3 9 4 5 3" xfId="7463"/>
    <cellStyle name="Comma 3 9 4 5 4" xfId="8981"/>
    <cellStyle name="Comma 3 9 4 5 5" xfId="12595"/>
    <cellStyle name="Comma 3 9 4 5 6" xfId="14341"/>
    <cellStyle name="Comma 3 9 4 6" xfId="4527"/>
    <cellStyle name="Comma 3 9 4 6 2" xfId="9979"/>
    <cellStyle name="Comma 3 9 4 7" xfId="5006"/>
    <cellStyle name="Comma 3 9 4 7 2" xfId="10481"/>
    <cellStyle name="Comma 3 9 4 8" xfId="5508"/>
    <cellStyle name="Comma 3 9 4 8 2" xfId="10983"/>
    <cellStyle name="Comma 3 9 4 9" xfId="2543"/>
    <cellStyle name="Comma 3 9 5" xfId="762"/>
    <cellStyle name="Comma 3 9 5 10" xfId="8026"/>
    <cellStyle name="Comma 3 9 5 11" xfId="11636"/>
    <cellStyle name="Comma 3 9 5 12" xfId="13382"/>
    <cellStyle name="Comma 3 9 5 2" xfId="1010"/>
    <cellStyle name="Comma 3 9 5 2 10" xfId="11884"/>
    <cellStyle name="Comma 3 9 5 2 11" xfId="13630"/>
    <cellStyle name="Comma 3 9 5 2 2" xfId="1516"/>
    <cellStyle name="Comma 3 9 5 2 2 2" xfId="4331"/>
    <cellStyle name="Comma 3 9 5 2 2 2 2" xfId="9778"/>
    <cellStyle name="Comma 3 9 5 2 2 3" xfId="3321"/>
    <cellStyle name="Comma 3 9 5 2 2 4" xfId="7256"/>
    <cellStyle name="Comma 3 9 5 2 2 5" xfId="8770"/>
    <cellStyle name="Comma 3 9 5 2 2 6" xfId="12390"/>
    <cellStyle name="Comma 3 9 5 2 2 7" xfId="14136"/>
    <cellStyle name="Comma 3 9 5 2 3" xfId="2024"/>
    <cellStyle name="Comma 3 9 5 2 3 2" xfId="3837"/>
    <cellStyle name="Comma 3 9 5 2 3 3" xfId="7764"/>
    <cellStyle name="Comma 3 9 5 2 3 4" xfId="9282"/>
    <cellStyle name="Comma 3 9 5 2 3 5" xfId="12896"/>
    <cellStyle name="Comma 3 9 5 2 3 6" xfId="14642"/>
    <cellStyle name="Comma 3 9 5 2 4" xfId="4809"/>
    <cellStyle name="Comma 3 9 5 2 4 2" xfId="10280"/>
    <cellStyle name="Comma 3 9 5 2 5" xfId="5307"/>
    <cellStyle name="Comma 3 9 5 2 5 2" xfId="10782"/>
    <cellStyle name="Comma 3 9 5 2 6" xfId="5809"/>
    <cellStyle name="Comma 3 9 5 2 6 2" xfId="11284"/>
    <cellStyle name="Comma 3 9 5 2 7" xfId="2827"/>
    <cellStyle name="Comma 3 9 5 2 8" xfId="6750"/>
    <cellStyle name="Comma 3 9 5 2 9" xfId="8274"/>
    <cellStyle name="Comma 3 9 5 3" xfId="1268"/>
    <cellStyle name="Comma 3 9 5 3 2" xfId="4083"/>
    <cellStyle name="Comma 3 9 5 3 2 2" xfId="9530"/>
    <cellStyle name="Comma 3 9 5 3 3" xfId="3073"/>
    <cellStyle name="Comma 3 9 5 3 4" xfId="7008"/>
    <cellStyle name="Comma 3 9 5 3 5" xfId="8522"/>
    <cellStyle name="Comma 3 9 5 3 6" xfId="12142"/>
    <cellStyle name="Comma 3 9 5 3 7" xfId="13888"/>
    <cellStyle name="Comma 3 9 5 4" xfId="1776"/>
    <cellStyle name="Comma 3 9 5 4 2" xfId="3589"/>
    <cellStyle name="Comma 3 9 5 4 3" xfId="7516"/>
    <cellStyle name="Comma 3 9 5 4 4" xfId="9034"/>
    <cellStyle name="Comma 3 9 5 4 5" xfId="12648"/>
    <cellStyle name="Comma 3 9 5 4 6" xfId="14394"/>
    <cellStyle name="Comma 3 9 5 5" xfId="4575"/>
    <cellStyle name="Comma 3 9 5 5 2" xfId="10032"/>
    <cellStyle name="Comma 3 9 5 6" xfId="5059"/>
    <cellStyle name="Comma 3 9 5 6 2" xfId="10534"/>
    <cellStyle name="Comma 3 9 5 7" xfId="5561"/>
    <cellStyle name="Comma 3 9 5 7 2" xfId="11036"/>
    <cellStyle name="Comma 3 9 5 8" xfId="2591"/>
    <cellStyle name="Comma 3 9 5 9" xfId="6502"/>
    <cellStyle name="Comma 3 9 6" xfId="886"/>
    <cellStyle name="Comma 3 9 6 10" xfId="11760"/>
    <cellStyle name="Comma 3 9 6 11" xfId="13506"/>
    <cellStyle name="Comma 3 9 6 2" xfId="1392"/>
    <cellStyle name="Comma 3 9 6 2 2" xfId="4207"/>
    <cellStyle name="Comma 3 9 6 2 2 2" xfId="9654"/>
    <cellStyle name="Comma 3 9 6 2 3" xfId="3197"/>
    <cellStyle name="Comma 3 9 6 2 4" xfId="7132"/>
    <cellStyle name="Comma 3 9 6 2 5" xfId="8646"/>
    <cellStyle name="Comma 3 9 6 2 6" xfId="12266"/>
    <cellStyle name="Comma 3 9 6 2 7" xfId="14012"/>
    <cellStyle name="Comma 3 9 6 3" xfId="1900"/>
    <cellStyle name="Comma 3 9 6 3 2" xfId="3713"/>
    <cellStyle name="Comma 3 9 6 3 3" xfId="7640"/>
    <cellStyle name="Comma 3 9 6 3 4" xfId="9158"/>
    <cellStyle name="Comma 3 9 6 3 5" xfId="12772"/>
    <cellStyle name="Comma 3 9 6 3 6" xfId="14518"/>
    <cellStyle name="Comma 3 9 6 4" xfId="4691"/>
    <cellStyle name="Comma 3 9 6 4 2" xfId="10156"/>
    <cellStyle name="Comma 3 9 6 5" xfId="5183"/>
    <cellStyle name="Comma 3 9 6 5 2" xfId="10658"/>
    <cellStyle name="Comma 3 9 6 6" xfId="5685"/>
    <cellStyle name="Comma 3 9 6 6 2" xfId="11160"/>
    <cellStyle name="Comma 3 9 6 7" xfId="2709"/>
    <cellStyle name="Comma 3 9 6 8" xfId="6626"/>
    <cellStyle name="Comma 3 9 6 9" xfId="8150"/>
    <cellStyle name="Comma 3 9 7" xfId="1144"/>
    <cellStyle name="Comma 3 9 7 2" xfId="3961"/>
    <cellStyle name="Comma 3 9 7 2 2" xfId="9406"/>
    <cellStyle name="Comma 3 9 7 3" xfId="2951"/>
    <cellStyle name="Comma 3 9 7 4" xfId="6884"/>
    <cellStyle name="Comma 3 9 7 5" xfId="8398"/>
    <cellStyle name="Comma 3 9 7 6" xfId="12018"/>
    <cellStyle name="Comma 3 9 7 7" xfId="13764"/>
    <cellStyle name="Comma 3 9 8" xfId="1652"/>
    <cellStyle name="Comma 3 9 8 2" xfId="3465"/>
    <cellStyle name="Comma 3 9 8 3" xfId="7392"/>
    <cellStyle name="Comma 3 9 8 4" xfId="8910"/>
    <cellStyle name="Comma 3 9 8 5" xfId="12524"/>
    <cellStyle name="Comma 3 9 8 6" xfId="14270"/>
    <cellStyle name="Comma 3 9 9" xfId="4461"/>
    <cellStyle name="Comma 3 9 9 2" xfId="9908"/>
    <cellStyle name="Comma 30" xfId="5997"/>
    <cellStyle name="Comma 30 2" xfId="11420"/>
    <cellStyle name="Comma 31" xfId="6020"/>
    <cellStyle name="Comma 31 2" xfId="11465"/>
    <cellStyle name="Comma 32" xfId="5991"/>
    <cellStyle name="Comma 32 2" xfId="11414"/>
    <cellStyle name="Comma 33" xfId="6015"/>
    <cellStyle name="Comma 33 2" xfId="11460"/>
    <cellStyle name="Comma 34" xfId="6019"/>
    <cellStyle name="Comma 34 2" xfId="11464"/>
    <cellStyle name="Comma 35" xfId="6016"/>
    <cellStyle name="Comma 35 2" xfId="11461"/>
    <cellStyle name="Comma 4" xfId="68"/>
    <cellStyle name="Comma 4 2" xfId="69"/>
    <cellStyle name="Comma 4 2 2" xfId="226"/>
    <cellStyle name="Comma 4 3" xfId="213"/>
    <cellStyle name="Comma 5" xfId="70"/>
    <cellStyle name="Comma 5 2" xfId="404"/>
    <cellStyle name="Comma 5 2 2" xfId="2210"/>
    <cellStyle name="Comma 5 2 2 2" xfId="6333"/>
    <cellStyle name="Comma 5 3" xfId="5982"/>
    <cellStyle name="Comma 6" xfId="71"/>
    <cellStyle name="Comma 6 2" xfId="405"/>
    <cellStyle name="Comma 6 2 2" xfId="2346"/>
    <cellStyle name="Comma 6 2 2 2" xfId="6334"/>
    <cellStyle name="Comma 6 2 3" xfId="6114"/>
    <cellStyle name="Comma 6 2 4" xfId="13094"/>
    <cellStyle name="Comma 6 3" xfId="2397"/>
    <cellStyle name="Comma 6 3 2" xfId="6165"/>
    <cellStyle name="Comma 6 3 3" xfId="11445"/>
    <cellStyle name="Comma 6 3 4" xfId="13145"/>
    <cellStyle name="Comma 6 4" xfId="2453"/>
    <cellStyle name="Comma 6 4 2" xfId="6221"/>
    <cellStyle name="Comma 6 4 3" xfId="13201"/>
    <cellStyle name="Comma 6 5" xfId="2208"/>
    <cellStyle name="Comma 6 5 2" xfId="6241"/>
    <cellStyle name="Comma 6 6" xfId="6063"/>
    <cellStyle name="Comma 6 7" xfId="13043"/>
    <cellStyle name="Comma 7" xfId="72"/>
    <cellStyle name="Comma 7 10" xfId="11472"/>
    <cellStyle name="Comma 7 11" xfId="13018"/>
    <cellStyle name="Comma 7 2" xfId="73"/>
    <cellStyle name="Comma 7 2 10" xfId="13022"/>
    <cellStyle name="Comma 7 2 2" xfId="407"/>
    <cellStyle name="Comma 7 2 2 2" xfId="2353"/>
    <cellStyle name="Comma 7 2 2 2 2" xfId="6121"/>
    <cellStyle name="Comma 7 2 2 2 3" xfId="11452"/>
    <cellStyle name="Comma 7 2 2 2 4" xfId="13101"/>
    <cellStyle name="Comma 7 2 2 3" xfId="2404"/>
    <cellStyle name="Comma 7 2 2 3 2" xfId="6172"/>
    <cellStyle name="Comma 7 2 2 3 3" xfId="13152"/>
    <cellStyle name="Comma 7 2 2 4" xfId="2460"/>
    <cellStyle name="Comma 7 2 2 4 2" xfId="6228"/>
    <cellStyle name="Comma 7 2 2 4 3" xfId="13208"/>
    <cellStyle name="Comma 7 2 2 5" xfId="2301"/>
    <cellStyle name="Comma 7 2 2 5 2" xfId="6336"/>
    <cellStyle name="Comma 7 2 2 6" xfId="6070"/>
    <cellStyle name="Comma 7 2 2 7" xfId="13050"/>
    <cellStyle name="Comma 7 2 3" xfId="204"/>
    <cellStyle name="Comma 7 2 3 2" xfId="2312"/>
    <cellStyle name="Comma 7 2 3 2 2" xfId="6273"/>
    <cellStyle name="Comma 7 2 3 2 3" xfId="13237"/>
    <cellStyle name="Comma 7 2 3 3" xfId="6081"/>
    <cellStyle name="Comma 7 2 3 4" xfId="8889"/>
    <cellStyle name="Comma 7 2 3 5" xfId="11491"/>
    <cellStyle name="Comma 7 2 3 6" xfId="13061"/>
    <cellStyle name="Comma 7 2 4" xfId="1123"/>
    <cellStyle name="Comma 7 2 4 2" xfId="2364"/>
    <cellStyle name="Comma 7 2 4 2 2" xfId="6863"/>
    <cellStyle name="Comma 7 2 4 2 3" xfId="13743"/>
    <cellStyle name="Comma 7 2 4 3" xfId="6132"/>
    <cellStyle name="Comma 7 2 4 4" xfId="11422"/>
    <cellStyle name="Comma 7 2 4 5" xfId="11997"/>
    <cellStyle name="Comma 7 2 4 6" xfId="13112"/>
    <cellStyle name="Comma 7 2 5" xfId="1630"/>
    <cellStyle name="Comma 7 2 5 2" xfId="2432"/>
    <cellStyle name="Comma 7 2 5 2 2" xfId="7370"/>
    <cellStyle name="Comma 7 2 5 2 3" xfId="14249"/>
    <cellStyle name="Comma 7 2 5 3" xfId="6200"/>
    <cellStyle name="Comma 7 2 5 4" xfId="12503"/>
    <cellStyle name="Comma 7 2 5 5" xfId="13180"/>
    <cellStyle name="Comma 7 2 6" xfId="2183"/>
    <cellStyle name="Comma 7 2 6 2" xfId="6243"/>
    <cellStyle name="Comma 7 2 6 3" xfId="13219"/>
    <cellStyle name="Comma 7 2 7" xfId="6042"/>
    <cellStyle name="Comma 7 2 8" xfId="7881"/>
    <cellStyle name="Comma 7 2 9" xfId="11473"/>
    <cellStyle name="Comma 7 3" xfId="406"/>
    <cellStyle name="Comma 7 3 2" xfId="2349"/>
    <cellStyle name="Comma 7 3 2 2" xfId="6117"/>
    <cellStyle name="Comma 7 3 2 3" xfId="11448"/>
    <cellStyle name="Comma 7 3 2 4" xfId="13097"/>
    <cellStyle name="Comma 7 3 3" xfId="2400"/>
    <cellStyle name="Comma 7 3 3 2" xfId="6168"/>
    <cellStyle name="Comma 7 3 3 3" xfId="13148"/>
    <cellStyle name="Comma 7 3 4" xfId="2456"/>
    <cellStyle name="Comma 7 3 4 2" xfId="6224"/>
    <cellStyle name="Comma 7 3 4 3" xfId="13204"/>
    <cellStyle name="Comma 7 3 5" xfId="2256"/>
    <cellStyle name="Comma 7 3 5 2" xfId="6335"/>
    <cellStyle name="Comma 7 3 6" xfId="6066"/>
    <cellStyle name="Comma 7 3 7" xfId="13046"/>
    <cellStyle name="Comma 7 4" xfId="200"/>
    <cellStyle name="Comma 7 4 2" xfId="2308"/>
    <cellStyle name="Comma 7 4 2 2" xfId="6269"/>
    <cellStyle name="Comma 7 4 2 3" xfId="13233"/>
    <cellStyle name="Comma 7 4 3" xfId="6077"/>
    <cellStyle name="Comma 7 4 4" xfId="8885"/>
    <cellStyle name="Comma 7 4 5" xfId="11487"/>
    <cellStyle name="Comma 7 4 6" xfId="13057"/>
    <cellStyle name="Comma 7 5" xfId="1119"/>
    <cellStyle name="Comma 7 5 2" xfId="2360"/>
    <cellStyle name="Comma 7 5 2 2" xfId="6859"/>
    <cellStyle name="Comma 7 5 2 3" xfId="13739"/>
    <cellStyle name="Comma 7 5 3" xfId="6128"/>
    <cellStyle name="Comma 7 5 4" xfId="11417"/>
    <cellStyle name="Comma 7 5 5" xfId="11993"/>
    <cellStyle name="Comma 7 5 6" xfId="13108"/>
    <cellStyle name="Comma 7 6" xfId="1626"/>
    <cellStyle name="Comma 7 6 2" xfId="2428"/>
    <cellStyle name="Comma 7 6 2 2" xfId="7366"/>
    <cellStyle name="Comma 7 6 2 3" xfId="14245"/>
    <cellStyle name="Comma 7 6 3" xfId="6196"/>
    <cellStyle name="Comma 7 6 4" xfId="12499"/>
    <cellStyle name="Comma 7 6 5" xfId="13176"/>
    <cellStyle name="Comma 7 7" xfId="2178"/>
    <cellStyle name="Comma 7 7 2" xfId="6242"/>
    <cellStyle name="Comma 7 7 3" xfId="13218"/>
    <cellStyle name="Comma 7 8" xfId="6038"/>
    <cellStyle name="Comma 7 9" xfId="7877"/>
    <cellStyle name="Comma 8" xfId="188"/>
    <cellStyle name="Comma 8 2" xfId="409"/>
    <cellStyle name="Comma 8 3" xfId="408"/>
    <cellStyle name="Comma 8 4" xfId="2425"/>
    <cellStyle name="Comma 8 4 2" xfId="6258"/>
    <cellStyle name="Comma 8 5" xfId="6193"/>
    <cellStyle name="Comma 8 6" xfId="13173"/>
    <cellStyle name="Comma 9" xfId="193"/>
    <cellStyle name="Comma 9 2" xfId="410"/>
    <cellStyle name="Comma 9 3" xfId="6262"/>
    <cellStyle name="Comma 9 4" xfId="11481"/>
    <cellStyle name="Comma 9 5" xfId="13227"/>
    <cellStyle name="CommaBlank" xfId="411"/>
    <cellStyle name="CommaBlank 2" xfId="412"/>
    <cellStyle name="Currency" xfId="2" builtinId="4"/>
    <cellStyle name="Currency 10" xfId="413"/>
    <cellStyle name="Currency 10 10" xfId="4925"/>
    <cellStyle name="Currency 10 10 2" xfId="10396"/>
    <cellStyle name="Currency 10 11" xfId="5423"/>
    <cellStyle name="Currency 10 11 2" xfId="10898"/>
    <cellStyle name="Currency 10 12" xfId="2180"/>
    <cellStyle name="Currency 10 13" xfId="6337"/>
    <cellStyle name="Currency 10 14" xfId="7888"/>
    <cellStyle name="Currency 10 15" xfId="11498"/>
    <cellStyle name="Currency 10 16" xfId="13244"/>
    <cellStyle name="Currency 10 2" xfId="640"/>
    <cellStyle name="Currency 10 2 10" xfId="2487"/>
    <cellStyle name="Currency 10 2 11" xfId="6384"/>
    <cellStyle name="Currency 10 2 12" xfId="7910"/>
    <cellStyle name="Currency 10 2 13" xfId="11520"/>
    <cellStyle name="Currency 10 2 14" xfId="13266"/>
    <cellStyle name="Currency 10 2 2" xfId="713"/>
    <cellStyle name="Currency 10 2 2 10" xfId="6453"/>
    <cellStyle name="Currency 10 2 2 11" xfId="7977"/>
    <cellStyle name="Currency 10 2 2 12" xfId="11587"/>
    <cellStyle name="Currency 10 2 2 13" xfId="13333"/>
    <cellStyle name="Currency 10 2 2 2" xfId="837"/>
    <cellStyle name="Currency 10 2 2 2 10" xfId="8101"/>
    <cellStyle name="Currency 10 2 2 2 11" xfId="11711"/>
    <cellStyle name="Currency 10 2 2 2 12" xfId="13457"/>
    <cellStyle name="Currency 10 2 2 2 2" xfId="1085"/>
    <cellStyle name="Currency 10 2 2 2 2 10" xfId="11959"/>
    <cellStyle name="Currency 10 2 2 2 2 11" xfId="13705"/>
    <cellStyle name="Currency 10 2 2 2 2 2" xfId="1591"/>
    <cellStyle name="Currency 10 2 2 2 2 2 2" xfId="4406"/>
    <cellStyle name="Currency 10 2 2 2 2 2 2 2" xfId="9853"/>
    <cellStyle name="Currency 10 2 2 2 2 2 3" xfId="3396"/>
    <cellStyle name="Currency 10 2 2 2 2 2 4" xfId="7331"/>
    <cellStyle name="Currency 10 2 2 2 2 2 5" xfId="8845"/>
    <cellStyle name="Currency 10 2 2 2 2 2 6" xfId="12465"/>
    <cellStyle name="Currency 10 2 2 2 2 2 7" xfId="14211"/>
    <cellStyle name="Currency 10 2 2 2 2 3" xfId="2099"/>
    <cellStyle name="Currency 10 2 2 2 2 3 2" xfId="3912"/>
    <cellStyle name="Currency 10 2 2 2 2 3 3" xfId="7839"/>
    <cellStyle name="Currency 10 2 2 2 2 3 4" xfId="9357"/>
    <cellStyle name="Currency 10 2 2 2 2 3 5" xfId="12971"/>
    <cellStyle name="Currency 10 2 2 2 2 3 6" xfId="14717"/>
    <cellStyle name="Currency 10 2 2 2 2 4" xfId="4884"/>
    <cellStyle name="Currency 10 2 2 2 2 4 2" xfId="10355"/>
    <cellStyle name="Currency 10 2 2 2 2 5" xfId="5382"/>
    <cellStyle name="Currency 10 2 2 2 2 5 2" xfId="10857"/>
    <cellStyle name="Currency 10 2 2 2 2 6" xfId="5884"/>
    <cellStyle name="Currency 10 2 2 2 2 6 2" xfId="11359"/>
    <cellStyle name="Currency 10 2 2 2 2 7" xfId="2902"/>
    <cellStyle name="Currency 10 2 2 2 2 8" xfId="6825"/>
    <cellStyle name="Currency 10 2 2 2 2 9" xfId="8349"/>
    <cellStyle name="Currency 10 2 2 2 3" xfId="1343"/>
    <cellStyle name="Currency 10 2 2 2 3 2" xfId="4158"/>
    <cellStyle name="Currency 10 2 2 2 3 2 2" xfId="9605"/>
    <cellStyle name="Currency 10 2 2 2 3 3" xfId="3148"/>
    <cellStyle name="Currency 10 2 2 2 3 4" xfId="7083"/>
    <cellStyle name="Currency 10 2 2 2 3 5" xfId="8597"/>
    <cellStyle name="Currency 10 2 2 2 3 6" xfId="12217"/>
    <cellStyle name="Currency 10 2 2 2 3 7" xfId="13963"/>
    <cellStyle name="Currency 10 2 2 2 4" xfId="1851"/>
    <cellStyle name="Currency 10 2 2 2 4 2" xfId="3664"/>
    <cellStyle name="Currency 10 2 2 2 4 3" xfId="7591"/>
    <cellStyle name="Currency 10 2 2 2 4 4" xfId="9109"/>
    <cellStyle name="Currency 10 2 2 2 4 5" xfId="12723"/>
    <cellStyle name="Currency 10 2 2 2 4 6" xfId="14469"/>
    <cellStyle name="Currency 10 2 2 2 5" xfId="4645"/>
    <cellStyle name="Currency 10 2 2 2 5 2" xfId="10107"/>
    <cellStyle name="Currency 10 2 2 2 6" xfId="5134"/>
    <cellStyle name="Currency 10 2 2 2 6 2" xfId="10609"/>
    <cellStyle name="Currency 10 2 2 2 7" xfId="5636"/>
    <cellStyle name="Currency 10 2 2 2 7 2" xfId="11111"/>
    <cellStyle name="Currency 10 2 2 2 8" xfId="2661"/>
    <cellStyle name="Currency 10 2 2 2 9" xfId="6577"/>
    <cellStyle name="Currency 10 2 2 3" xfId="961"/>
    <cellStyle name="Currency 10 2 2 3 10" xfId="11835"/>
    <cellStyle name="Currency 10 2 2 3 11" xfId="13581"/>
    <cellStyle name="Currency 10 2 2 3 2" xfId="1467"/>
    <cellStyle name="Currency 10 2 2 3 2 2" xfId="4282"/>
    <cellStyle name="Currency 10 2 2 3 2 2 2" xfId="9729"/>
    <cellStyle name="Currency 10 2 2 3 2 3" xfId="3272"/>
    <cellStyle name="Currency 10 2 2 3 2 4" xfId="7207"/>
    <cellStyle name="Currency 10 2 2 3 2 5" xfId="8721"/>
    <cellStyle name="Currency 10 2 2 3 2 6" xfId="12341"/>
    <cellStyle name="Currency 10 2 2 3 2 7" xfId="14087"/>
    <cellStyle name="Currency 10 2 2 3 3" xfId="1975"/>
    <cellStyle name="Currency 10 2 2 3 3 2" xfId="3788"/>
    <cellStyle name="Currency 10 2 2 3 3 3" xfId="7715"/>
    <cellStyle name="Currency 10 2 2 3 3 4" xfId="9233"/>
    <cellStyle name="Currency 10 2 2 3 3 5" xfId="12847"/>
    <cellStyle name="Currency 10 2 2 3 3 6" xfId="14593"/>
    <cellStyle name="Currency 10 2 2 3 4" xfId="4761"/>
    <cellStyle name="Currency 10 2 2 3 4 2" xfId="10231"/>
    <cellStyle name="Currency 10 2 2 3 5" xfId="5258"/>
    <cellStyle name="Currency 10 2 2 3 5 2" xfId="10733"/>
    <cellStyle name="Currency 10 2 2 3 6" xfId="5760"/>
    <cellStyle name="Currency 10 2 2 3 6 2" xfId="11235"/>
    <cellStyle name="Currency 10 2 2 3 7" xfId="2779"/>
    <cellStyle name="Currency 10 2 2 3 8" xfId="6701"/>
    <cellStyle name="Currency 10 2 2 3 9" xfId="8225"/>
    <cellStyle name="Currency 10 2 2 4" xfId="1219"/>
    <cellStyle name="Currency 10 2 2 4 2" xfId="4035"/>
    <cellStyle name="Currency 10 2 2 4 2 2" xfId="9481"/>
    <cellStyle name="Currency 10 2 2 4 3" xfId="3025"/>
    <cellStyle name="Currency 10 2 2 4 4" xfId="6959"/>
    <cellStyle name="Currency 10 2 2 4 5" xfId="8473"/>
    <cellStyle name="Currency 10 2 2 4 6" xfId="12093"/>
    <cellStyle name="Currency 10 2 2 4 7" xfId="13839"/>
    <cellStyle name="Currency 10 2 2 5" xfId="1727"/>
    <cellStyle name="Currency 10 2 2 5 2" xfId="3540"/>
    <cellStyle name="Currency 10 2 2 5 3" xfId="7467"/>
    <cellStyle name="Currency 10 2 2 5 4" xfId="8985"/>
    <cellStyle name="Currency 10 2 2 5 5" xfId="12599"/>
    <cellStyle name="Currency 10 2 2 5 6" xfId="14345"/>
    <cellStyle name="Currency 10 2 2 6" xfId="4531"/>
    <cellStyle name="Currency 10 2 2 6 2" xfId="9983"/>
    <cellStyle name="Currency 10 2 2 7" xfId="5010"/>
    <cellStyle name="Currency 10 2 2 7 2" xfId="10485"/>
    <cellStyle name="Currency 10 2 2 8" xfId="5512"/>
    <cellStyle name="Currency 10 2 2 8 2" xfId="10987"/>
    <cellStyle name="Currency 10 2 2 9" xfId="2547"/>
    <cellStyle name="Currency 10 2 3" xfId="770"/>
    <cellStyle name="Currency 10 2 3 10" xfId="8034"/>
    <cellStyle name="Currency 10 2 3 11" xfId="11644"/>
    <cellStyle name="Currency 10 2 3 12" xfId="13390"/>
    <cellStyle name="Currency 10 2 3 2" xfId="1018"/>
    <cellStyle name="Currency 10 2 3 2 10" xfId="11892"/>
    <cellStyle name="Currency 10 2 3 2 11" xfId="13638"/>
    <cellStyle name="Currency 10 2 3 2 2" xfId="1524"/>
    <cellStyle name="Currency 10 2 3 2 2 2" xfId="4339"/>
    <cellStyle name="Currency 10 2 3 2 2 2 2" xfId="9786"/>
    <cellStyle name="Currency 10 2 3 2 2 3" xfId="3329"/>
    <cellStyle name="Currency 10 2 3 2 2 4" xfId="7264"/>
    <cellStyle name="Currency 10 2 3 2 2 5" xfId="8778"/>
    <cellStyle name="Currency 10 2 3 2 2 6" xfId="12398"/>
    <cellStyle name="Currency 10 2 3 2 2 7" xfId="14144"/>
    <cellStyle name="Currency 10 2 3 2 3" xfId="2032"/>
    <cellStyle name="Currency 10 2 3 2 3 2" xfId="3845"/>
    <cellStyle name="Currency 10 2 3 2 3 3" xfId="7772"/>
    <cellStyle name="Currency 10 2 3 2 3 4" xfId="9290"/>
    <cellStyle name="Currency 10 2 3 2 3 5" xfId="12904"/>
    <cellStyle name="Currency 10 2 3 2 3 6" xfId="14650"/>
    <cellStyle name="Currency 10 2 3 2 4" xfId="4817"/>
    <cellStyle name="Currency 10 2 3 2 4 2" xfId="10288"/>
    <cellStyle name="Currency 10 2 3 2 5" xfId="5315"/>
    <cellStyle name="Currency 10 2 3 2 5 2" xfId="10790"/>
    <cellStyle name="Currency 10 2 3 2 6" xfId="5817"/>
    <cellStyle name="Currency 10 2 3 2 6 2" xfId="11292"/>
    <cellStyle name="Currency 10 2 3 2 7" xfId="2835"/>
    <cellStyle name="Currency 10 2 3 2 8" xfId="6758"/>
    <cellStyle name="Currency 10 2 3 2 9" xfId="8282"/>
    <cellStyle name="Currency 10 2 3 3" xfId="1276"/>
    <cellStyle name="Currency 10 2 3 3 2" xfId="4091"/>
    <cellStyle name="Currency 10 2 3 3 2 2" xfId="9538"/>
    <cellStyle name="Currency 10 2 3 3 3" xfId="3081"/>
    <cellStyle name="Currency 10 2 3 3 4" xfId="7016"/>
    <cellStyle name="Currency 10 2 3 3 5" xfId="8530"/>
    <cellStyle name="Currency 10 2 3 3 6" xfId="12150"/>
    <cellStyle name="Currency 10 2 3 3 7" xfId="13896"/>
    <cellStyle name="Currency 10 2 3 4" xfId="1784"/>
    <cellStyle name="Currency 10 2 3 4 2" xfId="3597"/>
    <cellStyle name="Currency 10 2 3 4 3" xfId="7524"/>
    <cellStyle name="Currency 10 2 3 4 4" xfId="9042"/>
    <cellStyle name="Currency 10 2 3 4 5" xfId="12656"/>
    <cellStyle name="Currency 10 2 3 4 6" xfId="14402"/>
    <cellStyle name="Currency 10 2 3 5" xfId="4583"/>
    <cellStyle name="Currency 10 2 3 5 2" xfId="10040"/>
    <cellStyle name="Currency 10 2 3 6" xfId="5067"/>
    <cellStyle name="Currency 10 2 3 6 2" xfId="10542"/>
    <cellStyle name="Currency 10 2 3 7" xfId="5569"/>
    <cellStyle name="Currency 10 2 3 7 2" xfId="11044"/>
    <cellStyle name="Currency 10 2 3 8" xfId="2599"/>
    <cellStyle name="Currency 10 2 3 9" xfId="6510"/>
    <cellStyle name="Currency 10 2 4" xfId="894"/>
    <cellStyle name="Currency 10 2 4 10" xfId="11768"/>
    <cellStyle name="Currency 10 2 4 11" xfId="13514"/>
    <cellStyle name="Currency 10 2 4 2" xfId="1400"/>
    <cellStyle name="Currency 10 2 4 2 2" xfId="4215"/>
    <cellStyle name="Currency 10 2 4 2 2 2" xfId="9662"/>
    <cellStyle name="Currency 10 2 4 2 3" xfId="3205"/>
    <cellStyle name="Currency 10 2 4 2 4" xfId="7140"/>
    <cellStyle name="Currency 10 2 4 2 5" xfId="8654"/>
    <cellStyle name="Currency 10 2 4 2 6" xfId="12274"/>
    <cellStyle name="Currency 10 2 4 2 7" xfId="14020"/>
    <cellStyle name="Currency 10 2 4 3" xfId="1908"/>
    <cellStyle name="Currency 10 2 4 3 2" xfId="3721"/>
    <cellStyle name="Currency 10 2 4 3 3" xfId="7648"/>
    <cellStyle name="Currency 10 2 4 3 4" xfId="9166"/>
    <cellStyle name="Currency 10 2 4 3 5" xfId="12780"/>
    <cellStyle name="Currency 10 2 4 3 6" xfId="14526"/>
    <cellStyle name="Currency 10 2 4 4" xfId="4699"/>
    <cellStyle name="Currency 10 2 4 4 2" xfId="10164"/>
    <cellStyle name="Currency 10 2 4 5" xfId="5191"/>
    <cellStyle name="Currency 10 2 4 5 2" xfId="10666"/>
    <cellStyle name="Currency 10 2 4 6" xfId="5693"/>
    <cellStyle name="Currency 10 2 4 6 2" xfId="11168"/>
    <cellStyle name="Currency 10 2 4 7" xfId="2717"/>
    <cellStyle name="Currency 10 2 4 8" xfId="6634"/>
    <cellStyle name="Currency 10 2 4 9" xfId="8158"/>
    <cellStyle name="Currency 10 2 5" xfId="1152"/>
    <cellStyle name="Currency 10 2 5 2" xfId="3969"/>
    <cellStyle name="Currency 10 2 5 2 2" xfId="9414"/>
    <cellStyle name="Currency 10 2 5 3" xfId="2959"/>
    <cellStyle name="Currency 10 2 5 4" xfId="6892"/>
    <cellStyle name="Currency 10 2 5 5" xfId="8406"/>
    <cellStyle name="Currency 10 2 5 6" xfId="12026"/>
    <cellStyle name="Currency 10 2 5 7" xfId="13772"/>
    <cellStyle name="Currency 10 2 6" xfId="1660"/>
    <cellStyle name="Currency 10 2 6 2" xfId="3473"/>
    <cellStyle name="Currency 10 2 6 3" xfId="7400"/>
    <cellStyle name="Currency 10 2 6 4" xfId="8918"/>
    <cellStyle name="Currency 10 2 6 5" xfId="12532"/>
    <cellStyle name="Currency 10 2 6 6" xfId="14278"/>
    <cellStyle name="Currency 10 2 7" xfId="4469"/>
    <cellStyle name="Currency 10 2 7 2" xfId="9916"/>
    <cellStyle name="Currency 10 2 8" xfId="4945"/>
    <cellStyle name="Currency 10 2 8 2" xfId="10418"/>
    <cellStyle name="Currency 10 2 9" xfId="5445"/>
    <cellStyle name="Currency 10 2 9 2" xfId="10920"/>
    <cellStyle name="Currency 10 3" xfId="666"/>
    <cellStyle name="Currency 10 3 10" xfId="2505"/>
    <cellStyle name="Currency 10 3 11" xfId="6406"/>
    <cellStyle name="Currency 10 3 12" xfId="7930"/>
    <cellStyle name="Currency 10 3 13" xfId="11540"/>
    <cellStyle name="Currency 10 3 14" xfId="13286"/>
    <cellStyle name="Currency 10 3 2" xfId="714"/>
    <cellStyle name="Currency 10 3 2 10" xfId="6454"/>
    <cellStyle name="Currency 10 3 2 11" xfId="7978"/>
    <cellStyle name="Currency 10 3 2 12" xfId="11588"/>
    <cellStyle name="Currency 10 3 2 13" xfId="13334"/>
    <cellStyle name="Currency 10 3 2 2" xfId="838"/>
    <cellStyle name="Currency 10 3 2 2 10" xfId="8102"/>
    <cellStyle name="Currency 10 3 2 2 11" xfId="11712"/>
    <cellStyle name="Currency 10 3 2 2 12" xfId="13458"/>
    <cellStyle name="Currency 10 3 2 2 2" xfId="1086"/>
    <cellStyle name="Currency 10 3 2 2 2 10" xfId="11960"/>
    <cellStyle name="Currency 10 3 2 2 2 11" xfId="13706"/>
    <cellStyle name="Currency 10 3 2 2 2 2" xfId="1592"/>
    <cellStyle name="Currency 10 3 2 2 2 2 2" xfId="4407"/>
    <cellStyle name="Currency 10 3 2 2 2 2 2 2" xfId="9854"/>
    <cellStyle name="Currency 10 3 2 2 2 2 3" xfId="3397"/>
    <cellStyle name="Currency 10 3 2 2 2 2 4" xfId="7332"/>
    <cellStyle name="Currency 10 3 2 2 2 2 5" xfId="8846"/>
    <cellStyle name="Currency 10 3 2 2 2 2 6" xfId="12466"/>
    <cellStyle name="Currency 10 3 2 2 2 2 7" xfId="14212"/>
    <cellStyle name="Currency 10 3 2 2 2 3" xfId="2100"/>
    <cellStyle name="Currency 10 3 2 2 2 3 2" xfId="3913"/>
    <cellStyle name="Currency 10 3 2 2 2 3 3" xfId="7840"/>
    <cellStyle name="Currency 10 3 2 2 2 3 4" xfId="9358"/>
    <cellStyle name="Currency 10 3 2 2 2 3 5" xfId="12972"/>
    <cellStyle name="Currency 10 3 2 2 2 3 6" xfId="14718"/>
    <cellStyle name="Currency 10 3 2 2 2 4" xfId="4885"/>
    <cellStyle name="Currency 10 3 2 2 2 4 2" xfId="10356"/>
    <cellStyle name="Currency 10 3 2 2 2 5" xfId="5383"/>
    <cellStyle name="Currency 10 3 2 2 2 5 2" xfId="10858"/>
    <cellStyle name="Currency 10 3 2 2 2 6" xfId="5885"/>
    <cellStyle name="Currency 10 3 2 2 2 6 2" xfId="11360"/>
    <cellStyle name="Currency 10 3 2 2 2 7" xfId="2903"/>
    <cellStyle name="Currency 10 3 2 2 2 8" xfId="6826"/>
    <cellStyle name="Currency 10 3 2 2 2 9" xfId="8350"/>
    <cellStyle name="Currency 10 3 2 2 3" xfId="1344"/>
    <cellStyle name="Currency 10 3 2 2 3 2" xfId="4159"/>
    <cellStyle name="Currency 10 3 2 2 3 2 2" xfId="9606"/>
    <cellStyle name="Currency 10 3 2 2 3 3" xfId="3149"/>
    <cellStyle name="Currency 10 3 2 2 3 4" xfId="7084"/>
    <cellStyle name="Currency 10 3 2 2 3 5" xfId="8598"/>
    <cellStyle name="Currency 10 3 2 2 3 6" xfId="12218"/>
    <cellStyle name="Currency 10 3 2 2 3 7" xfId="13964"/>
    <cellStyle name="Currency 10 3 2 2 4" xfId="1852"/>
    <cellStyle name="Currency 10 3 2 2 4 2" xfId="3665"/>
    <cellStyle name="Currency 10 3 2 2 4 3" xfId="7592"/>
    <cellStyle name="Currency 10 3 2 2 4 4" xfId="9110"/>
    <cellStyle name="Currency 10 3 2 2 4 5" xfId="12724"/>
    <cellStyle name="Currency 10 3 2 2 4 6" xfId="14470"/>
    <cellStyle name="Currency 10 3 2 2 5" xfId="4646"/>
    <cellStyle name="Currency 10 3 2 2 5 2" xfId="10108"/>
    <cellStyle name="Currency 10 3 2 2 6" xfId="5135"/>
    <cellStyle name="Currency 10 3 2 2 6 2" xfId="10610"/>
    <cellStyle name="Currency 10 3 2 2 7" xfId="5637"/>
    <cellStyle name="Currency 10 3 2 2 7 2" xfId="11112"/>
    <cellStyle name="Currency 10 3 2 2 8" xfId="2662"/>
    <cellStyle name="Currency 10 3 2 2 9" xfId="6578"/>
    <cellStyle name="Currency 10 3 2 3" xfId="962"/>
    <cellStyle name="Currency 10 3 2 3 10" xfId="11836"/>
    <cellStyle name="Currency 10 3 2 3 11" xfId="13582"/>
    <cellStyle name="Currency 10 3 2 3 2" xfId="1468"/>
    <cellStyle name="Currency 10 3 2 3 2 2" xfId="4283"/>
    <cellStyle name="Currency 10 3 2 3 2 2 2" xfId="9730"/>
    <cellStyle name="Currency 10 3 2 3 2 3" xfId="3273"/>
    <cellStyle name="Currency 10 3 2 3 2 4" xfId="7208"/>
    <cellStyle name="Currency 10 3 2 3 2 5" xfId="8722"/>
    <cellStyle name="Currency 10 3 2 3 2 6" xfId="12342"/>
    <cellStyle name="Currency 10 3 2 3 2 7" xfId="14088"/>
    <cellStyle name="Currency 10 3 2 3 3" xfId="1976"/>
    <cellStyle name="Currency 10 3 2 3 3 2" xfId="3789"/>
    <cellStyle name="Currency 10 3 2 3 3 3" xfId="7716"/>
    <cellStyle name="Currency 10 3 2 3 3 4" xfId="9234"/>
    <cellStyle name="Currency 10 3 2 3 3 5" xfId="12848"/>
    <cellStyle name="Currency 10 3 2 3 3 6" xfId="14594"/>
    <cellStyle name="Currency 10 3 2 3 4" xfId="4762"/>
    <cellStyle name="Currency 10 3 2 3 4 2" xfId="10232"/>
    <cellStyle name="Currency 10 3 2 3 5" xfId="5259"/>
    <cellStyle name="Currency 10 3 2 3 5 2" xfId="10734"/>
    <cellStyle name="Currency 10 3 2 3 6" xfId="5761"/>
    <cellStyle name="Currency 10 3 2 3 6 2" xfId="11236"/>
    <cellStyle name="Currency 10 3 2 3 7" xfId="2780"/>
    <cellStyle name="Currency 10 3 2 3 8" xfId="6702"/>
    <cellStyle name="Currency 10 3 2 3 9" xfId="8226"/>
    <cellStyle name="Currency 10 3 2 4" xfId="1220"/>
    <cellStyle name="Currency 10 3 2 4 2" xfId="4036"/>
    <cellStyle name="Currency 10 3 2 4 2 2" xfId="9482"/>
    <cellStyle name="Currency 10 3 2 4 3" xfId="3026"/>
    <cellStyle name="Currency 10 3 2 4 4" xfId="6960"/>
    <cellStyle name="Currency 10 3 2 4 5" xfId="8474"/>
    <cellStyle name="Currency 10 3 2 4 6" xfId="12094"/>
    <cellStyle name="Currency 10 3 2 4 7" xfId="13840"/>
    <cellStyle name="Currency 10 3 2 5" xfId="1728"/>
    <cellStyle name="Currency 10 3 2 5 2" xfId="3541"/>
    <cellStyle name="Currency 10 3 2 5 3" xfId="7468"/>
    <cellStyle name="Currency 10 3 2 5 4" xfId="8986"/>
    <cellStyle name="Currency 10 3 2 5 5" xfId="12600"/>
    <cellStyle name="Currency 10 3 2 5 6" xfId="14346"/>
    <cellStyle name="Currency 10 3 2 6" xfId="4532"/>
    <cellStyle name="Currency 10 3 2 6 2" xfId="9984"/>
    <cellStyle name="Currency 10 3 2 7" xfId="5011"/>
    <cellStyle name="Currency 10 3 2 7 2" xfId="10486"/>
    <cellStyle name="Currency 10 3 2 8" xfId="5513"/>
    <cellStyle name="Currency 10 3 2 8 2" xfId="10988"/>
    <cellStyle name="Currency 10 3 2 9" xfId="2548"/>
    <cellStyle name="Currency 10 3 3" xfId="790"/>
    <cellStyle name="Currency 10 3 3 10" xfId="8054"/>
    <cellStyle name="Currency 10 3 3 11" xfId="11664"/>
    <cellStyle name="Currency 10 3 3 12" xfId="13410"/>
    <cellStyle name="Currency 10 3 3 2" xfId="1038"/>
    <cellStyle name="Currency 10 3 3 2 10" xfId="11912"/>
    <cellStyle name="Currency 10 3 3 2 11" xfId="13658"/>
    <cellStyle name="Currency 10 3 3 2 2" xfId="1544"/>
    <cellStyle name="Currency 10 3 3 2 2 2" xfId="4359"/>
    <cellStyle name="Currency 10 3 3 2 2 2 2" xfId="9806"/>
    <cellStyle name="Currency 10 3 3 2 2 3" xfId="3349"/>
    <cellStyle name="Currency 10 3 3 2 2 4" xfId="7284"/>
    <cellStyle name="Currency 10 3 3 2 2 5" xfId="8798"/>
    <cellStyle name="Currency 10 3 3 2 2 6" xfId="12418"/>
    <cellStyle name="Currency 10 3 3 2 2 7" xfId="14164"/>
    <cellStyle name="Currency 10 3 3 2 3" xfId="2052"/>
    <cellStyle name="Currency 10 3 3 2 3 2" xfId="3865"/>
    <cellStyle name="Currency 10 3 3 2 3 3" xfId="7792"/>
    <cellStyle name="Currency 10 3 3 2 3 4" xfId="9310"/>
    <cellStyle name="Currency 10 3 3 2 3 5" xfId="12924"/>
    <cellStyle name="Currency 10 3 3 2 3 6" xfId="14670"/>
    <cellStyle name="Currency 10 3 3 2 4" xfId="4837"/>
    <cellStyle name="Currency 10 3 3 2 4 2" xfId="10308"/>
    <cellStyle name="Currency 10 3 3 2 5" xfId="5335"/>
    <cellStyle name="Currency 10 3 3 2 5 2" xfId="10810"/>
    <cellStyle name="Currency 10 3 3 2 6" xfId="5837"/>
    <cellStyle name="Currency 10 3 3 2 6 2" xfId="11312"/>
    <cellStyle name="Currency 10 3 3 2 7" xfId="2855"/>
    <cellStyle name="Currency 10 3 3 2 8" xfId="6778"/>
    <cellStyle name="Currency 10 3 3 2 9" xfId="8302"/>
    <cellStyle name="Currency 10 3 3 3" xfId="1296"/>
    <cellStyle name="Currency 10 3 3 3 2" xfId="4111"/>
    <cellStyle name="Currency 10 3 3 3 2 2" xfId="9558"/>
    <cellStyle name="Currency 10 3 3 3 3" xfId="3101"/>
    <cellStyle name="Currency 10 3 3 3 4" xfId="7036"/>
    <cellStyle name="Currency 10 3 3 3 5" xfId="8550"/>
    <cellStyle name="Currency 10 3 3 3 6" xfId="12170"/>
    <cellStyle name="Currency 10 3 3 3 7" xfId="13916"/>
    <cellStyle name="Currency 10 3 3 4" xfId="1804"/>
    <cellStyle name="Currency 10 3 3 4 2" xfId="3617"/>
    <cellStyle name="Currency 10 3 3 4 3" xfId="7544"/>
    <cellStyle name="Currency 10 3 3 4 4" xfId="9062"/>
    <cellStyle name="Currency 10 3 3 4 5" xfId="12676"/>
    <cellStyle name="Currency 10 3 3 4 6" xfId="14422"/>
    <cellStyle name="Currency 10 3 3 5" xfId="4601"/>
    <cellStyle name="Currency 10 3 3 5 2" xfId="10060"/>
    <cellStyle name="Currency 10 3 3 6" xfId="5087"/>
    <cellStyle name="Currency 10 3 3 6 2" xfId="10562"/>
    <cellStyle name="Currency 10 3 3 7" xfId="5589"/>
    <cellStyle name="Currency 10 3 3 7 2" xfId="11064"/>
    <cellStyle name="Currency 10 3 3 8" xfId="2617"/>
    <cellStyle name="Currency 10 3 3 9" xfId="6530"/>
    <cellStyle name="Currency 10 3 4" xfId="914"/>
    <cellStyle name="Currency 10 3 4 10" xfId="11788"/>
    <cellStyle name="Currency 10 3 4 11" xfId="13534"/>
    <cellStyle name="Currency 10 3 4 2" xfId="1420"/>
    <cellStyle name="Currency 10 3 4 2 2" xfId="4235"/>
    <cellStyle name="Currency 10 3 4 2 2 2" xfId="9682"/>
    <cellStyle name="Currency 10 3 4 2 3" xfId="3225"/>
    <cellStyle name="Currency 10 3 4 2 4" xfId="7160"/>
    <cellStyle name="Currency 10 3 4 2 5" xfId="8674"/>
    <cellStyle name="Currency 10 3 4 2 6" xfId="12294"/>
    <cellStyle name="Currency 10 3 4 2 7" xfId="14040"/>
    <cellStyle name="Currency 10 3 4 3" xfId="1928"/>
    <cellStyle name="Currency 10 3 4 3 2" xfId="3741"/>
    <cellStyle name="Currency 10 3 4 3 3" xfId="7668"/>
    <cellStyle name="Currency 10 3 4 3 4" xfId="9186"/>
    <cellStyle name="Currency 10 3 4 3 5" xfId="12800"/>
    <cellStyle name="Currency 10 3 4 3 6" xfId="14546"/>
    <cellStyle name="Currency 10 3 4 4" xfId="4717"/>
    <cellStyle name="Currency 10 3 4 4 2" xfId="10184"/>
    <cellStyle name="Currency 10 3 4 5" xfId="5211"/>
    <cellStyle name="Currency 10 3 4 5 2" xfId="10686"/>
    <cellStyle name="Currency 10 3 4 6" xfId="5713"/>
    <cellStyle name="Currency 10 3 4 6 2" xfId="11188"/>
    <cellStyle name="Currency 10 3 4 7" xfId="2735"/>
    <cellStyle name="Currency 10 3 4 8" xfId="6654"/>
    <cellStyle name="Currency 10 3 4 9" xfId="8178"/>
    <cellStyle name="Currency 10 3 5" xfId="1172"/>
    <cellStyle name="Currency 10 3 5 2" xfId="3989"/>
    <cellStyle name="Currency 10 3 5 2 2" xfId="9434"/>
    <cellStyle name="Currency 10 3 5 3" xfId="2979"/>
    <cellStyle name="Currency 10 3 5 4" xfId="6912"/>
    <cellStyle name="Currency 10 3 5 5" xfId="8426"/>
    <cellStyle name="Currency 10 3 5 6" xfId="12046"/>
    <cellStyle name="Currency 10 3 5 7" xfId="13792"/>
    <cellStyle name="Currency 10 3 6" xfId="1680"/>
    <cellStyle name="Currency 10 3 6 2" xfId="3493"/>
    <cellStyle name="Currency 10 3 6 3" xfId="7420"/>
    <cellStyle name="Currency 10 3 6 4" xfId="8938"/>
    <cellStyle name="Currency 10 3 6 5" xfId="12552"/>
    <cellStyle name="Currency 10 3 6 6" xfId="14298"/>
    <cellStyle name="Currency 10 3 7" xfId="4489"/>
    <cellStyle name="Currency 10 3 7 2" xfId="9936"/>
    <cellStyle name="Currency 10 3 8" xfId="4963"/>
    <cellStyle name="Currency 10 3 8 2" xfId="10438"/>
    <cellStyle name="Currency 10 3 9" xfId="5465"/>
    <cellStyle name="Currency 10 3 9 2" xfId="10940"/>
    <cellStyle name="Currency 10 4" xfId="712"/>
    <cellStyle name="Currency 10 4 10" xfId="6452"/>
    <cellStyle name="Currency 10 4 11" xfId="7976"/>
    <cellStyle name="Currency 10 4 12" xfId="11586"/>
    <cellStyle name="Currency 10 4 13" xfId="13332"/>
    <cellStyle name="Currency 10 4 2" xfId="836"/>
    <cellStyle name="Currency 10 4 2 10" xfId="8100"/>
    <cellStyle name="Currency 10 4 2 11" xfId="11710"/>
    <cellStyle name="Currency 10 4 2 12" xfId="13456"/>
    <cellStyle name="Currency 10 4 2 2" xfId="1084"/>
    <cellStyle name="Currency 10 4 2 2 10" xfId="11958"/>
    <cellStyle name="Currency 10 4 2 2 11" xfId="13704"/>
    <cellStyle name="Currency 10 4 2 2 2" xfId="1590"/>
    <cellStyle name="Currency 10 4 2 2 2 2" xfId="4405"/>
    <cellStyle name="Currency 10 4 2 2 2 2 2" xfId="9852"/>
    <cellStyle name="Currency 10 4 2 2 2 3" xfId="3395"/>
    <cellStyle name="Currency 10 4 2 2 2 4" xfId="7330"/>
    <cellStyle name="Currency 10 4 2 2 2 5" xfId="8844"/>
    <cellStyle name="Currency 10 4 2 2 2 6" xfId="12464"/>
    <cellStyle name="Currency 10 4 2 2 2 7" xfId="14210"/>
    <cellStyle name="Currency 10 4 2 2 3" xfId="2098"/>
    <cellStyle name="Currency 10 4 2 2 3 2" xfId="3911"/>
    <cellStyle name="Currency 10 4 2 2 3 3" xfId="7838"/>
    <cellStyle name="Currency 10 4 2 2 3 4" xfId="9356"/>
    <cellStyle name="Currency 10 4 2 2 3 5" xfId="12970"/>
    <cellStyle name="Currency 10 4 2 2 3 6" xfId="14716"/>
    <cellStyle name="Currency 10 4 2 2 4" xfId="4883"/>
    <cellStyle name="Currency 10 4 2 2 4 2" xfId="10354"/>
    <cellStyle name="Currency 10 4 2 2 5" xfId="5381"/>
    <cellStyle name="Currency 10 4 2 2 5 2" xfId="10856"/>
    <cellStyle name="Currency 10 4 2 2 6" xfId="5883"/>
    <cellStyle name="Currency 10 4 2 2 6 2" xfId="11358"/>
    <cellStyle name="Currency 10 4 2 2 7" xfId="2901"/>
    <cellStyle name="Currency 10 4 2 2 8" xfId="6824"/>
    <cellStyle name="Currency 10 4 2 2 9" xfId="8348"/>
    <cellStyle name="Currency 10 4 2 3" xfId="1342"/>
    <cellStyle name="Currency 10 4 2 3 2" xfId="4157"/>
    <cellStyle name="Currency 10 4 2 3 2 2" xfId="9604"/>
    <cellStyle name="Currency 10 4 2 3 3" xfId="3147"/>
    <cellStyle name="Currency 10 4 2 3 4" xfId="7082"/>
    <cellStyle name="Currency 10 4 2 3 5" xfId="8596"/>
    <cellStyle name="Currency 10 4 2 3 6" xfId="12216"/>
    <cellStyle name="Currency 10 4 2 3 7" xfId="13962"/>
    <cellStyle name="Currency 10 4 2 4" xfId="1850"/>
    <cellStyle name="Currency 10 4 2 4 2" xfId="3663"/>
    <cellStyle name="Currency 10 4 2 4 3" xfId="7590"/>
    <cellStyle name="Currency 10 4 2 4 4" xfId="9108"/>
    <cellStyle name="Currency 10 4 2 4 5" xfId="12722"/>
    <cellStyle name="Currency 10 4 2 4 6" xfId="14468"/>
    <cellStyle name="Currency 10 4 2 5" xfId="4644"/>
    <cellStyle name="Currency 10 4 2 5 2" xfId="10106"/>
    <cellStyle name="Currency 10 4 2 6" xfId="5133"/>
    <cellStyle name="Currency 10 4 2 6 2" xfId="10608"/>
    <cellStyle name="Currency 10 4 2 7" xfId="5635"/>
    <cellStyle name="Currency 10 4 2 7 2" xfId="11110"/>
    <cellStyle name="Currency 10 4 2 8" xfId="2660"/>
    <cellStyle name="Currency 10 4 2 9" xfId="6576"/>
    <cellStyle name="Currency 10 4 3" xfId="960"/>
    <cellStyle name="Currency 10 4 3 10" xfId="11834"/>
    <cellStyle name="Currency 10 4 3 11" xfId="13580"/>
    <cellStyle name="Currency 10 4 3 2" xfId="1466"/>
    <cellStyle name="Currency 10 4 3 2 2" xfId="4281"/>
    <cellStyle name="Currency 10 4 3 2 2 2" xfId="9728"/>
    <cellStyle name="Currency 10 4 3 2 3" xfId="3271"/>
    <cellStyle name="Currency 10 4 3 2 4" xfId="7206"/>
    <cellStyle name="Currency 10 4 3 2 5" xfId="8720"/>
    <cellStyle name="Currency 10 4 3 2 6" xfId="12340"/>
    <cellStyle name="Currency 10 4 3 2 7" xfId="14086"/>
    <cellStyle name="Currency 10 4 3 3" xfId="1974"/>
    <cellStyle name="Currency 10 4 3 3 2" xfId="3787"/>
    <cellStyle name="Currency 10 4 3 3 3" xfId="7714"/>
    <cellStyle name="Currency 10 4 3 3 4" xfId="9232"/>
    <cellStyle name="Currency 10 4 3 3 5" xfId="12846"/>
    <cellStyle name="Currency 10 4 3 3 6" xfId="14592"/>
    <cellStyle name="Currency 10 4 3 4" xfId="4760"/>
    <cellStyle name="Currency 10 4 3 4 2" xfId="10230"/>
    <cellStyle name="Currency 10 4 3 5" xfId="5257"/>
    <cellStyle name="Currency 10 4 3 5 2" xfId="10732"/>
    <cellStyle name="Currency 10 4 3 6" xfId="5759"/>
    <cellStyle name="Currency 10 4 3 6 2" xfId="11234"/>
    <cellStyle name="Currency 10 4 3 7" xfId="2778"/>
    <cellStyle name="Currency 10 4 3 8" xfId="6700"/>
    <cellStyle name="Currency 10 4 3 9" xfId="8224"/>
    <cellStyle name="Currency 10 4 4" xfId="1218"/>
    <cellStyle name="Currency 10 4 4 2" xfId="4034"/>
    <cellStyle name="Currency 10 4 4 2 2" xfId="9480"/>
    <cellStyle name="Currency 10 4 4 3" xfId="3024"/>
    <cellStyle name="Currency 10 4 4 4" xfId="6958"/>
    <cellStyle name="Currency 10 4 4 5" xfId="8472"/>
    <cellStyle name="Currency 10 4 4 6" xfId="12092"/>
    <cellStyle name="Currency 10 4 4 7" xfId="13838"/>
    <cellStyle name="Currency 10 4 5" xfId="1726"/>
    <cellStyle name="Currency 10 4 5 2" xfId="3539"/>
    <cellStyle name="Currency 10 4 5 3" xfId="7466"/>
    <cellStyle name="Currency 10 4 5 4" xfId="8984"/>
    <cellStyle name="Currency 10 4 5 5" xfId="12598"/>
    <cellStyle name="Currency 10 4 5 6" xfId="14344"/>
    <cellStyle name="Currency 10 4 6" xfId="4530"/>
    <cellStyle name="Currency 10 4 6 2" xfId="9982"/>
    <cellStyle name="Currency 10 4 7" xfId="5009"/>
    <cellStyle name="Currency 10 4 7 2" xfId="10484"/>
    <cellStyle name="Currency 10 4 8" xfId="5511"/>
    <cellStyle name="Currency 10 4 8 2" xfId="10986"/>
    <cellStyle name="Currency 10 4 9" xfId="2546"/>
    <cellStyle name="Currency 10 5" xfId="748"/>
    <cellStyle name="Currency 10 5 10" xfId="8012"/>
    <cellStyle name="Currency 10 5 11" xfId="11622"/>
    <cellStyle name="Currency 10 5 12" xfId="13368"/>
    <cellStyle name="Currency 10 5 2" xfId="996"/>
    <cellStyle name="Currency 10 5 2 10" xfId="11870"/>
    <cellStyle name="Currency 10 5 2 11" xfId="13616"/>
    <cellStyle name="Currency 10 5 2 2" xfId="1502"/>
    <cellStyle name="Currency 10 5 2 2 2" xfId="4317"/>
    <cellStyle name="Currency 10 5 2 2 2 2" xfId="9764"/>
    <cellStyle name="Currency 10 5 2 2 3" xfId="3307"/>
    <cellStyle name="Currency 10 5 2 2 4" xfId="7242"/>
    <cellStyle name="Currency 10 5 2 2 5" xfId="8756"/>
    <cellStyle name="Currency 10 5 2 2 6" xfId="12376"/>
    <cellStyle name="Currency 10 5 2 2 7" xfId="14122"/>
    <cellStyle name="Currency 10 5 2 3" xfId="2010"/>
    <cellStyle name="Currency 10 5 2 3 2" xfId="3823"/>
    <cellStyle name="Currency 10 5 2 3 3" xfId="7750"/>
    <cellStyle name="Currency 10 5 2 3 4" xfId="9268"/>
    <cellStyle name="Currency 10 5 2 3 5" xfId="12882"/>
    <cellStyle name="Currency 10 5 2 3 6" xfId="14628"/>
    <cellStyle name="Currency 10 5 2 4" xfId="4795"/>
    <cellStyle name="Currency 10 5 2 4 2" xfId="10266"/>
    <cellStyle name="Currency 10 5 2 5" xfId="5293"/>
    <cellStyle name="Currency 10 5 2 5 2" xfId="10768"/>
    <cellStyle name="Currency 10 5 2 6" xfId="5795"/>
    <cellStyle name="Currency 10 5 2 6 2" xfId="11270"/>
    <cellStyle name="Currency 10 5 2 7" xfId="2813"/>
    <cellStyle name="Currency 10 5 2 8" xfId="6736"/>
    <cellStyle name="Currency 10 5 2 9" xfId="8260"/>
    <cellStyle name="Currency 10 5 3" xfId="1254"/>
    <cellStyle name="Currency 10 5 3 2" xfId="4069"/>
    <cellStyle name="Currency 10 5 3 2 2" xfId="9516"/>
    <cellStyle name="Currency 10 5 3 3" xfId="3059"/>
    <cellStyle name="Currency 10 5 3 4" xfId="6994"/>
    <cellStyle name="Currency 10 5 3 5" xfId="8508"/>
    <cellStyle name="Currency 10 5 3 6" xfId="12128"/>
    <cellStyle name="Currency 10 5 3 7" xfId="13874"/>
    <cellStyle name="Currency 10 5 4" xfId="1762"/>
    <cellStyle name="Currency 10 5 4 2" xfId="3575"/>
    <cellStyle name="Currency 10 5 4 3" xfId="7502"/>
    <cellStyle name="Currency 10 5 4 4" xfId="9020"/>
    <cellStyle name="Currency 10 5 4 5" xfId="12634"/>
    <cellStyle name="Currency 10 5 4 6" xfId="14380"/>
    <cellStyle name="Currency 10 5 5" xfId="4563"/>
    <cellStyle name="Currency 10 5 5 2" xfId="10018"/>
    <cellStyle name="Currency 10 5 6" xfId="5045"/>
    <cellStyle name="Currency 10 5 6 2" xfId="10520"/>
    <cellStyle name="Currency 10 5 7" xfId="5547"/>
    <cellStyle name="Currency 10 5 7 2" xfId="11022"/>
    <cellStyle name="Currency 10 5 8" xfId="2579"/>
    <cellStyle name="Currency 10 5 9" xfId="6488"/>
    <cellStyle name="Currency 10 6" xfId="872"/>
    <cellStyle name="Currency 10 6 10" xfId="11746"/>
    <cellStyle name="Currency 10 6 11" xfId="13492"/>
    <cellStyle name="Currency 10 6 2" xfId="1378"/>
    <cellStyle name="Currency 10 6 2 2" xfId="4193"/>
    <cellStyle name="Currency 10 6 2 2 2" xfId="9640"/>
    <cellStyle name="Currency 10 6 2 3" xfId="3183"/>
    <cellStyle name="Currency 10 6 2 4" xfId="7118"/>
    <cellStyle name="Currency 10 6 2 5" xfId="8632"/>
    <cellStyle name="Currency 10 6 2 6" xfId="12252"/>
    <cellStyle name="Currency 10 6 2 7" xfId="13998"/>
    <cellStyle name="Currency 10 6 3" xfId="1886"/>
    <cellStyle name="Currency 10 6 3 2" xfId="3699"/>
    <cellStyle name="Currency 10 6 3 3" xfId="7626"/>
    <cellStyle name="Currency 10 6 3 4" xfId="9144"/>
    <cellStyle name="Currency 10 6 3 5" xfId="12758"/>
    <cellStyle name="Currency 10 6 3 6" xfId="14504"/>
    <cellStyle name="Currency 10 6 4" xfId="4679"/>
    <cellStyle name="Currency 10 6 4 2" xfId="10142"/>
    <cellStyle name="Currency 10 6 5" xfId="5169"/>
    <cellStyle name="Currency 10 6 5 2" xfId="10644"/>
    <cellStyle name="Currency 10 6 6" xfId="5671"/>
    <cellStyle name="Currency 10 6 6 2" xfId="11146"/>
    <cellStyle name="Currency 10 6 7" xfId="2695"/>
    <cellStyle name="Currency 10 6 8" xfId="6612"/>
    <cellStyle name="Currency 10 6 9" xfId="8136"/>
    <cellStyle name="Currency 10 7" xfId="1130"/>
    <cellStyle name="Currency 10 7 2" xfId="3947"/>
    <cellStyle name="Currency 10 7 2 2" xfId="9392"/>
    <cellStyle name="Currency 10 7 3" xfId="2937"/>
    <cellStyle name="Currency 10 7 4" xfId="6870"/>
    <cellStyle name="Currency 10 7 5" xfId="8384"/>
    <cellStyle name="Currency 10 7 6" xfId="12004"/>
    <cellStyle name="Currency 10 7 7" xfId="13750"/>
    <cellStyle name="Currency 10 8" xfId="1637"/>
    <cellStyle name="Currency 10 8 2" xfId="3451"/>
    <cellStyle name="Currency 10 8 3" xfId="7377"/>
    <cellStyle name="Currency 10 8 4" xfId="8896"/>
    <cellStyle name="Currency 10 8 5" xfId="12510"/>
    <cellStyle name="Currency 10 8 6" xfId="14256"/>
    <cellStyle name="Currency 10 9" xfId="4447"/>
    <cellStyle name="Currency 10 9 2" xfId="9894"/>
    <cellStyle name="Currency 11" xfId="11467"/>
    <cellStyle name="Currency 2" xfId="74"/>
    <cellStyle name="Currency 2 2" xfId="75"/>
    <cellStyle name="Currency 2 2 2" xfId="76"/>
    <cellStyle name="Currency 2 2 2 2" xfId="3442"/>
    <cellStyle name="Currency 2 2 3" xfId="77"/>
    <cellStyle name="Currency 2 2 3 2" xfId="2276"/>
    <cellStyle name="Currency 2 3" xfId="78"/>
    <cellStyle name="Currency 2 3 2" xfId="79"/>
    <cellStyle name="Currency 2 3 2 2" xfId="2277"/>
    <cellStyle name="Currency 2 3 3" xfId="616"/>
    <cellStyle name="Currency 2 3 3 2" xfId="2225"/>
    <cellStyle name="Currency 2 3 3 2 2" xfId="6363"/>
    <cellStyle name="Currency 2 4" xfId="80"/>
    <cellStyle name="Currency 2 4 2" xfId="81"/>
    <cellStyle name="Currency 2 4 2 2" xfId="2278"/>
    <cellStyle name="Currency 2 4 3" xfId="2226"/>
    <cellStyle name="Currency 2 5" xfId="82"/>
    <cellStyle name="Currency 2 5 2" xfId="2259"/>
    <cellStyle name="Currency 2 6" xfId="211"/>
    <cellStyle name="Currency 3" xfId="83"/>
    <cellStyle name="Currency 3 2" xfId="214"/>
    <cellStyle name="Currency 3 3" xfId="415"/>
    <cellStyle name="Currency 3 4" xfId="416"/>
    <cellStyle name="Currency 3 5" xfId="641"/>
    <cellStyle name="Currency 3 6" xfId="414"/>
    <cellStyle name="Currency 4" xfId="84"/>
    <cellStyle name="Currency 4 2" xfId="418"/>
    <cellStyle name="Currency 4 3" xfId="419"/>
    <cellStyle name="Currency 4 4" xfId="420"/>
    <cellStyle name="Currency 4 5" xfId="417"/>
    <cellStyle name="Currency 5" xfId="189"/>
    <cellStyle name="Currency 5 2" xfId="421"/>
    <cellStyle name="Currency 5 2 2" xfId="2358"/>
    <cellStyle name="Currency 5 2 2 2" xfId="6126"/>
    <cellStyle name="Currency 5 2 2 3" xfId="13106"/>
    <cellStyle name="Currency 5 2 3" xfId="2409"/>
    <cellStyle name="Currency 5 2 3 2" xfId="6177"/>
    <cellStyle name="Currency 5 2 3 3" xfId="13157"/>
    <cellStyle name="Currency 5 2 4" xfId="2465"/>
    <cellStyle name="Currency 5 2 4 2" xfId="6233"/>
    <cellStyle name="Currency 5 2 4 3" xfId="13213"/>
    <cellStyle name="Currency 5 2 5" xfId="2306"/>
    <cellStyle name="Currency 5 2 5 2" xfId="6338"/>
    <cellStyle name="Currency 5 2 6" xfId="6075"/>
    <cellStyle name="Currency 5 2 7" xfId="11457"/>
    <cellStyle name="Currency 5 2 8" xfId="13055"/>
    <cellStyle name="Currency 5 3" xfId="2330"/>
    <cellStyle name="Currency 5 3 2" xfId="6098"/>
    <cellStyle name="Currency 5 3 3" xfId="11429"/>
    <cellStyle name="Currency 5 3 4" xfId="13078"/>
    <cellStyle name="Currency 5 4" xfId="2381"/>
    <cellStyle name="Currency 5 4 2" xfId="6149"/>
    <cellStyle name="Currency 5 4 3" xfId="13129"/>
    <cellStyle name="Currency 5 5" xfId="2437"/>
    <cellStyle name="Currency 5 5 2" xfId="6205"/>
    <cellStyle name="Currency 5 5 3" xfId="13185"/>
    <cellStyle name="Currency 5 6" xfId="2192"/>
    <cellStyle name="Currency 5 6 2" xfId="6259"/>
    <cellStyle name="Currency 5 7" xfId="6047"/>
    <cellStyle name="Currency 5 8" xfId="13027"/>
    <cellStyle name="Currency 6" xfId="194"/>
    <cellStyle name="Currency 6 2" xfId="422"/>
    <cellStyle name="Currency 6 3" xfId="6263"/>
    <cellStyle name="Currency 6 3 2" xfId="13228"/>
    <cellStyle name="Currency 6 4" xfId="11482"/>
    <cellStyle name="Currency 7" xfId="197"/>
    <cellStyle name="Currency 7 2" xfId="423"/>
    <cellStyle name="Currency 7 2 2" xfId="2345"/>
    <cellStyle name="Currency 7 2 2 2" xfId="6339"/>
    <cellStyle name="Currency 7 2 3" xfId="6113"/>
    <cellStyle name="Currency 7 2 4" xfId="11444"/>
    <cellStyle name="Currency 7 2 5" xfId="13093"/>
    <cellStyle name="Currency 7 3" xfId="2396"/>
    <cellStyle name="Currency 7 3 2" xfId="6164"/>
    <cellStyle name="Currency 7 3 3" xfId="13144"/>
    <cellStyle name="Currency 7 4" xfId="2452"/>
    <cellStyle name="Currency 7 4 2" xfId="6220"/>
    <cellStyle name="Currency 7 4 3" xfId="13200"/>
    <cellStyle name="Currency 7 5" xfId="2207"/>
    <cellStyle name="Currency 7 5 2" xfId="6266"/>
    <cellStyle name="Currency 7 5 3" xfId="13231"/>
    <cellStyle name="Currency 7 6" xfId="6062"/>
    <cellStyle name="Currency 7 7" xfId="11485"/>
    <cellStyle name="Currency 7 8" xfId="13042"/>
    <cellStyle name="Currency 8" xfId="424"/>
    <cellStyle name="Currency 8 2" xfId="2424"/>
    <cellStyle name="Currency 8 2 2" xfId="6001"/>
    <cellStyle name="Currency 8 2 3" xfId="6340"/>
    <cellStyle name="Currency 8 3" xfId="6192"/>
    <cellStyle name="Currency 8 4" xfId="13172"/>
    <cellStyle name="Currency 9" xfId="425"/>
    <cellStyle name="Explanatory Text" xfId="2149" builtinId="53" customBuiltin="1"/>
    <cellStyle name="Explanatory Text 2" xfId="85"/>
    <cellStyle name="Explanatory Text 3" xfId="426"/>
    <cellStyle name="Explanatory Text 4" xfId="427"/>
    <cellStyle name="Explanatory Text 5" xfId="428"/>
    <cellStyle name="Explanatory Text 6" xfId="429"/>
    <cellStyle name="Explanatory Text 7" xfId="5939"/>
    <cellStyle name="Good" xfId="2140" builtinId="26" customBuiltin="1"/>
    <cellStyle name="Good 2" xfId="86"/>
    <cellStyle name="Good 3" xfId="430"/>
    <cellStyle name="Good 4" xfId="431"/>
    <cellStyle name="Good 5" xfId="432"/>
    <cellStyle name="Good 6" xfId="433"/>
    <cellStyle name="Good 7" xfId="5930"/>
    <cellStyle name="Heading 1" xfId="2136" builtinId="16" customBuiltin="1"/>
    <cellStyle name="Heading 1 2" xfId="87"/>
    <cellStyle name="Heading 1 2 2" xfId="434"/>
    <cellStyle name="Heading 1 2 2 2" xfId="5984"/>
    <cellStyle name="Heading 1 3" xfId="435"/>
    <cellStyle name="Heading 1 4" xfId="436"/>
    <cellStyle name="Heading 1 5" xfId="437"/>
    <cellStyle name="Heading 1 6" xfId="438"/>
    <cellStyle name="Heading 1 7" xfId="439"/>
    <cellStyle name="Heading 1 8" xfId="440"/>
    <cellStyle name="Heading 1 9" xfId="5926"/>
    <cellStyle name="Heading 2" xfId="2137" builtinId="17" customBuiltin="1"/>
    <cellStyle name="Heading 2 2" xfId="88"/>
    <cellStyle name="Heading 2 2 2" xfId="441"/>
    <cellStyle name="Heading 2 2 2 2" xfId="5985"/>
    <cellStyle name="Heading 2 3" xfId="442"/>
    <cellStyle name="Heading 2 4" xfId="443"/>
    <cellStyle name="Heading 2 5" xfId="444"/>
    <cellStyle name="Heading 2 6" xfId="445"/>
    <cellStyle name="Heading 2 7" xfId="446"/>
    <cellStyle name="Heading 2 8" xfId="447"/>
    <cellStyle name="Heading 2 9" xfId="5927"/>
    <cellStyle name="Heading 3" xfId="2138" builtinId="18" customBuiltin="1"/>
    <cellStyle name="Heading 3 2" xfId="89"/>
    <cellStyle name="Heading 3 2 2" xfId="448"/>
    <cellStyle name="Heading 3 2 2 2" xfId="5986"/>
    <cellStyle name="Heading 3 3" xfId="449"/>
    <cellStyle name="Heading 3 4" xfId="450"/>
    <cellStyle name="Heading 3 5" xfId="451"/>
    <cellStyle name="Heading 3 6" xfId="452"/>
    <cellStyle name="Heading 3 7" xfId="453"/>
    <cellStyle name="Heading 3 8" xfId="454"/>
    <cellStyle name="Heading 3 9" xfId="5928"/>
    <cellStyle name="Heading 4" xfId="2139" builtinId="19" customBuiltin="1"/>
    <cellStyle name="Heading 4 2" xfId="90"/>
    <cellStyle name="Heading 4 2 2" xfId="455"/>
    <cellStyle name="Heading 4 2 2 2" xfId="5987"/>
    <cellStyle name="Heading 4 3" xfId="456"/>
    <cellStyle name="Heading 4 4" xfId="457"/>
    <cellStyle name="Heading 4 5" xfId="458"/>
    <cellStyle name="Heading 4 6" xfId="459"/>
    <cellStyle name="Heading 4 7" xfId="460"/>
    <cellStyle name="Heading 4 8" xfId="461"/>
    <cellStyle name="Heading 4 9" xfId="5929"/>
    <cellStyle name="Input" xfId="2143" builtinId="20" customBuiltin="1"/>
    <cellStyle name="Input 2" xfId="91"/>
    <cellStyle name="Input 3" xfId="462"/>
    <cellStyle name="Input 4" xfId="463"/>
    <cellStyle name="Input 5" xfId="464"/>
    <cellStyle name="Input 6" xfId="465"/>
    <cellStyle name="Input 7" xfId="5933"/>
    <cellStyle name="kirkdollars" xfId="466"/>
    <cellStyle name="Linked Cell" xfId="2146" builtinId="24" customBuiltin="1"/>
    <cellStyle name="Linked Cell 2" xfId="92"/>
    <cellStyle name="Linked Cell 3" xfId="467"/>
    <cellStyle name="Linked Cell 4" xfId="468"/>
    <cellStyle name="Linked Cell 5" xfId="469"/>
    <cellStyle name="Linked Cell 6" xfId="470"/>
    <cellStyle name="Linked Cell 7" xfId="5936"/>
    <cellStyle name="Neutral" xfId="2142" builtinId="28" customBuiltin="1"/>
    <cellStyle name="Neutral 2" xfId="93"/>
    <cellStyle name="Neutral 3" xfId="471"/>
    <cellStyle name="Neutral 4" xfId="472"/>
    <cellStyle name="Neutral 5" xfId="473"/>
    <cellStyle name="Neutral 6" xfId="474"/>
    <cellStyle name="Neutral 7" xfId="5932"/>
    <cellStyle name="Normal" xfId="0" builtinId="0"/>
    <cellStyle name="Normal 10" xfId="94"/>
    <cellStyle name="Normal 10 2" xfId="475"/>
    <cellStyle name="Normal 10 2 2" xfId="5965"/>
    <cellStyle name="Normal 11" xfId="95"/>
    <cellStyle name="Normal 11 2" xfId="476"/>
    <cellStyle name="Normal 12" xfId="96"/>
    <cellStyle name="Normal 12 2" xfId="477"/>
    <cellStyle name="Normal 12 3" xfId="2410"/>
    <cellStyle name="Normal 12 3 2" xfId="6244"/>
    <cellStyle name="Normal 12 3 3" xfId="13220"/>
    <cellStyle name="Normal 12 4" xfId="6178"/>
    <cellStyle name="Normal 12 5" xfId="11474"/>
    <cellStyle name="Normal 12 6" xfId="13158"/>
    <cellStyle name="Normal 13" xfId="187"/>
    <cellStyle name="Normal 13 2" xfId="478"/>
    <cellStyle name="Normal 13 3" xfId="6035"/>
    <cellStyle name="Normal 14" xfId="190"/>
    <cellStyle name="Normal 14 2" xfId="479"/>
    <cellStyle name="Normal 15" xfId="192"/>
    <cellStyle name="Normal 15 10" xfId="4926"/>
    <cellStyle name="Normal 15 10 2" xfId="10397"/>
    <cellStyle name="Normal 15 11" xfId="5424"/>
    <cellStyle name="Normal 15 11 2" xfId="10899"/>
    <cellStyle name="Normal 15 12" xfId="2469"/>
    <cellStyle name="Normal 15 13" xfId="6261"/>
    <cellStyle name="Normal 15 14" xfId="7889"/>
    <cellStyle name="Normal 15 15" xfId="11480"/>
    <cellStyle name="Normal 15 16" xfId="13226"/>
    <cellStyle name="Normal 15 2" xfId="642"/>
    <cellStyle name="Normal 15 2 10" xfId="2488"/>
    <cellStyle name="Normal 15 2 11" xfId="6385"/>
    <cellStyle name="Normal 15 2 12" xfId="7911"/>
    <cellStyle name="Normal 15 2 13" xfId="11521"/>
    <cellStyle name="Normal 15 2 14" xfId="13267"/>
    <cellStyle name="Normal 15 2 2" xfId="716"/>
    <cellStyle name="Normal 15 2 2 10" xfId="6456"/>
    <cellStyle name="Normal 15 2 2 11" xfId="7980"/>
    <cellStyle name="Normal 15 2 2 12" xfId="11590"/>
    <cellStyle name="Normal 15 2 2 13" xfId="13336"/>
    <cellStyle name="Normal 15 2 2 2" xfId="840"/>
    <cellStyle name="Normal 15 2 2 2 10" xfId="8104"/>
    <cellStyle name="Normal 15 2 2 2 11" xfId="11714"/>
    <cellStyle name="Normal 15 2 2 2 12" xfId="13460"/>
    <cellStyle name="Normal 15 2 2 2 2" xfId="1088"/>
    <cellStyle name="Normal 15 2 2 2 2 10" xfId="11962"/>
    <cellStyle name="Normal 15 2 2 2 2 11" xfId="13708"/>
    <cellStyle name="Normal 15 2 2 2 2 2" xfId="1594"/>
    <cellStyle name="Normal 15 2 2 2 2 2 2" xfId="4409"/>
    <cellStyle name="Normal 15 2 2 2 2 2 2 2" xfId="9856"/>
    <cellStyle name="Normal 15 2 2 2 2 2 3" xfId="3399"/>
    <cellStyle name="Normal 15 2 2 2 2 2 4" xfId="7334"/>
    <cellStyle name="Normal 15 2 2 2 2 2 5" xfId="8848"/>
    <cellStyle name="Normal 15 2 2 2 2 2 6" xfId="12468"/>
    <cellStyle name="Normal 15 2 2 2 2 2 7" xfId="14214"/>
    <cellStyle name="Normal 15 2 2 2 2 3" xfId="2102"/>
    <cellStyle name="Normal 15 2 2 2 2 3 2" xfId="3915"/>
    <cellStyle name="Normal 15 2 2 2 2 3 3" xfId="7842"/>
    <cellStyle name="Normal 15 2 2 2 2 3 4" xfId="9360"/>
    <cellStyle name="Normal 15 2 2 2 2 3 5" xfId="12974"/>
    <cellStyle name="Normal 15 2 2 2 2 3 6" xfId="14720"/>
    <cellStyle name="Normal 15 2 2 2 2 4" xfId="4887"/>
    <cellStyle name="Normal 15 2 2 2 2 4 2" xfId="10358"/>
    <cellStyle name="Normal 15 2 2 2 2 5" xfId="5385"/>
    <cellStyle name="Normal 15 2 2 2 2 5 2" xfId="10860"/>
    <cellStyle name="Normal 15 2 2 2 2 6" xfId="5887"/>
    <cellStyle name="Normal 15 2 2 2 2 6 2" xfId="11362"/>
    <cellStyle name="Normal 15 2 2 2 2 7" xfId="2905"/>
    <cellStyle name="Normal 15 2 2 2 2 8" xfId="6828"/>
    <cellStyle name="Normal 15 2 2 2 2 9" xfId="8352"/>
    <cellStyle name="Normal 15 2 2 2 3" xfId="1346"/>
    <cellStyle name="Normal 15 2 2 2 3 2" xfId="4161"/>
    <cellStyle name="Normal 15 2 2 2 3 2 2" xfId="9608"/>
    <cellStyle name="Normal 15 2 2 2 3 3" xfId="3151"/>
    <cellStyle name="Normal 15 2 2 2 3 4" xfId="7086"/>
    <cellStyle name="Normal 15 2 2 2 3 5" xfId="8600"/>
    <cellStyle name="Normal 15 2 2 2 3 6" xfId="12220"/>
    <cellStyle name="Normal 15 2 2 2 3 7" xfId="13966"/>
    <cellStyle name="Normal 15 2 2 2 4" xfId="1854"/>
    <cellStyle name="Normal 15 2 2 2 4 2" xfId="3667"/>
    <cellStyle name="Normal 15 2 2 2 4 3" xfId="7594"/>
    <cellStyle name="Normal 15 2 2 2 4 4" xfId="9112"/>
    <cellStyle name="Normal 15 2 2 2 4 5" xfId="12726"/>
    <cellStyle name="Normal 15 2 2 2 4 6" xfId="14472"/>
    <cellStyle name="Normal 15 2 2 2 5" xfId="4648"/>
    <cellStyle name="Normal 15 2 2 2 5 2" xfId="10110"/>
    <cellStyle name="Normal 15 2 2 2 6" xfId="5137"/>
    <cellStyle name="Normal 15 2 2 2 6 2" xfId="10612"/>
    <cellStyle name="Normal 15 2 2 2 7" xfId="5639"/>
    <cellStyle name="Normal 15 2 2 2 7 2" xfId="11114"/>
    <cellStyle name="Normal 15 2 2 2 8" xfId="2664"/>
    <cellStyle name="Normal 15 2 2 2 9" xfId="6580"/>
    <cellStyle name="Normal 15 2 2 3" xfId="964"/>
    <cellStyle name="Normal 15 2 2 3 10" xfId="11838"/>
    <cellStyle name="Normal 15 2 2 3 11" xfId="13584"/>
    <cellStyle name="Normal 15 2 2 3 2" xfId="1470"/>
    <cellStyle name="Normal 15 2 2 3 2 2" xfId="4285"/>
    <cellStyle name="Normal 15 2 2 3 2 2 2" xfId="9732"/>
    <cellStyle name="Normal 15 2 2 3 2 3" xfId="3275"/>
    <cellStyle name="Normal 15 2 2 3 2 4" xfId="7210"/>
    <cellStyle name="Normal 15 2 2 3 2 5" xfId="8724"/>
    <cellStyle name="Normal 15 2 2 3 2 6" xfId="12344"/>
    <cellStyle name="Normal 15 2 2 3 2 7" xfId="14090"/>
    <cellStyle name="Normal 15 2 2 3 3" xfId="1978"/>
    <cellStyle name="Normal 15 2 2 3 3 2" xfId="3791"/>
    <cellStyle name="Normal 15 2 2 3 3 3" xfId="7718"/>
    <cellStyle name="Normal 15 2 2 3 3 4" xfId="9236"/>
    <cellStyle name="Normal 15 2 2 3 3 5" xfId="12850"/>
    <cellStyle name="Normal 15 2 2 3 3 6" xfId="14596"/>
    <cellStyle name="Normal 15 2 2 3 4" xfId="4764"/>
    <cellStyle name="Normal 15 2 2 3 4 2" xfId="10234"/>
    <cellStyle name="Normal 15 2 2 3 5" xfId="5261"/>
    <cellStyle name="Normal 15 2 2 3 5 2" xfId="10736"/>
    <cellStyle name="Normal 15 2 2 3 6" xfId="5763"/>
    <cellStyle name="Normal 15 2 2 3 6 2" xfId="11238"/>
    <cellStyle name="Normal 15 2 2 3 7" xfId="2782"/>
    <cellStyle name="Normal 15 2 2 3 8" xfId="6704"/>
    <cellStyle name="Normal 15 2 2 3 9" xfId="8228"/>
    <cellStyle name="Normal 15 2 2 4" xfId="1222"/>
    <cellStyle name="Normal 15 2 2 4 2" xfId="4038"/>
    <cellStyle name="Normal 15 2 2 4 2 2" xfId="9484"/>
    <cellStyle name="Normal 15 2 2 4 3" xfId="3028"/>
    <cellStyle name="Normal 15 2 2 4 4" xfId="6962"/>
    <cellStyle name="Normal 15 2 2 4 5" xfId="8476"/>
    <cellStyle name="Normal 15 2 2 4 6" xfId="12096"/>
    <cellStyle name="Normal 15 2 2 4 7" xfId="13842"/>
    <cellStyle name="Normal 15 2 2 5" xfId="1730"/>
    <cellStyle name="Normal 15 2 2 5 2" xfId="3543"/>
    <cellStyle name="Normal 15 2 2 5 3" xfId="7470"/>
    <cellStyle name="Normal 15 2 2 5 4" xfId="8988"/>
    <cellStyle name="Normal 15 2 2 5 5" xfId="12602"/>
    <cellStyle name="Normal 15 2 2 5 6" xfId="14348"/>
    <cellStyle name="Normal 15 2 2 6" xfId="4534"/>
    <cellStyle name="Normal 15 2 2 6 2" xfId="9986"/>
    <cellStyle name="Normal 15 2 2 7" xfId="5013"/>
    <cellStyle name="Normal 15 2 2 7 2" xfId="10488"/>
    <cellStyle name="Normal 15 2 2 8" xfId="5515"/>
    <cellStyle name="Normal 15 2 2 8 2" xfId="10990"/>
    <cellStyle name="Normal 15 2 2 9" xfId="2550"/>
    <cellStyle name="Normal 15 2 3" xfId="771"/>
    <cellStyle name="Normal 15 2 3 10" xfId="8035"/>
    <cellStyle name="Normal 15 2 3 11" xfId="11645"/>
    <cellStyle name="Normal 15 2 3 12" xfId="13391"/>
    <cellStyle name="Normal 15 2 3 2" xfId="1019"/>
    <cellStyle name="Normal 15 2 3 2 10" xfId="11893"/>
    <cellStyle name="Normal 15 2 3 2 11" xfId="13639"/>
    <cellStyle name="Normal 15 2 3 2 2" xfId="1525"/>
    <cellStyle name="Normal 15 2 3 2 2 2" xfId="4340"/>
    <cellStyle name="Normal 15 2 3 2 2 2 2" xfId="9787"/>
    <cellStyle name="Normal 15 2 3 2 2 3" xfId="3330"/>
    <cellStyle name="Normal 15 2 3 2 2 4" xfId="7265"/>
    <cellStyle name="Normal 15 2 3 2 2 5" xfId="8779"/>
    <cellStyle name="Normal 15 2 3 2 2 6" xfId="12399"/>
    <cellStyle name="Normal 15 2 3 2 2 7" xfId="14145"/>
    <cellStyle name="Normal 15 2 3 2 3" xfId="2033"/>
    <cellStyle name="Normal 15 2 3 2 3 2" xfId="3846"/>
    <cellStyle name="Normal 15 2 3 2 3 3" xfId="7773"/>
    <cellStyle name="Normal 15 2 3 2 3 4" xfId="9291"/>
    <cellStyle name="Normal 15 2 3 2 3 5" xfId="12905"/>
    <cellStyle name="Normal 15 2 3 2 3 6" xfId="14651"/>
    <cellStyle name="Normal 15 2 3 2 4" xfId="4818"/>
    <cellStyle name="Normal 15 2 3 2 4 2" xfId="10289"/>
    <cellStyle name="Normal 15 2 3 2 5" xfId="5316"/>
    <cellStyle name="Normal 15 2 3 2 5 2" xfId="10791"/>
    <cellStyle name="Normal 15 2 3 2 6" xfId="5818"/>
    <cellStyle name="Normal 15 2 3 2 6 2" xfId="11293"/>
    <cellStyle name="Normal 15 2 3 2 7" xfId="2836"/>
    <cellStyle name="Normal 15 2 3 2 8" xfId="6759"/>
    <cellStyle name="Normal 15 2 3 2 9" xfId="8283"/>
    <cellStyle name="Normal 15 2 3 3" xfId="1277"/>
    <cellStyle name="Normal 15 2 3 3 2" xfId="4092"/>
    <cellStyle name="Normal 15 2 3 3 2 2" xfId="9539"/>
    <cellStyle name="Normal 15 2 3 3 3" xfId="3082"/>
    <cellStyle name="Normal 15 2 3 3 4" xfId="7017"/>
    <cellStyle name="Normal 15 2 3 3 5" xfId="8531"/>
    <cellStyle name="Normal 15 2 3 3 6" xfId="12151"/>
    <cellStyle name="Normal 15 2 3 3 7" xfId="13897"/>
    <cellStyle name="Normal 15 2 3 4" xfId="1785"/>
    <cellStyle name="Normal 15 2 3 4 2" xfId="3598"/>
    <cellStyle name="Normal 15 2 3 4 3" xfId="7525"/>
    <cellStyle name="Normal 15 2 3 4 4" xfId="9043"/>
    <cellStyle name="Normal 15 2 3 4 5" xfId="12657"/>
    <cellStyle name="Normal 15 2 3 4 6" xfId="14403"/>
    <cellStyle name="Normal 15 2 3 5" xfId="4584"/>
    <cellStyle name="Normal 15 2 3 5 2" xfId="10041"/>
    <cellStyle name="Normal 15 2 3 6" xfId="5068"/>
    <cellStyle name="Normal 15 2 3 6 2" xfId="10543"/>
    <cellStyle name="Normal 15 2 3 7" xfId="5570"/>
    <cellStyle name="Normal 15 2 3 7 2" xfId="11045"/>
    <cellStyle name="Normal 15 2 3 8" xfId="2600"/>
    <cellStyle name="Normal 15 2 3 9" xfId="6511"/>
    <cellStyle name="Normal 15 2 4" xfId="895"/>
    <cellStyle name="Normal 15 2 4 10" xfId="11769"/>
    <cellStyle name="Normal 15 2 4 11" xfId="13515"/>
    <cellStyle name="Normal 15 2 4 2" xfId="1401"/>
    <cellStyle name="Normal 15 2 4 2 2" xfId="4216"/>
    <cellStyle name="Normal 15 2 4 2 2 2" xfId="9663"/>
    <cellStyle name="Normal 15 2 4 2 3" xfId="3206"/>
    <cellStyle name="Normal 15 2 4 2 4" xfId="7141"/>
    <cellStyle name="Normal 15 2 4 2 5" xfId="8655"/>
    <cellStyle name="Normal 15 2 4 2 6" xfId="12275"/>
    <cellStyle name="Normal 15 2 4 2 7" xfId="14021"/>
    <cellStyle name="Normal 15 2 4 3" xfId="1909"/>
    <cellStyle name="Normal 15 2 4 3 2" xfId="3722"/>
    <cellStyle name="Normal 15 2 4 3 3" xfId="7649"/>
    <cellStyle name="Normal 15 2 4 3 4" xfId="9167"/>
    <cellStyle name="Normal 15 2 4 3 5" xfId="12781"/>
    <cellStyle name="Normal 15 2 4 3 6" xfId="14527"/>
    <cellStyle name="Normal 15 2 4 4" xfId="4700"/>
    <cellStyle name="Normal 15 2 4 4 2" xfId="10165"/>
    <cellStyle name="Normal 15 2 4 5" xfId="5192"/>
    <cellStyle name="Normal 15 2 4 5 2" xfId="10667"/>
    <cellStyle name="Normal 15 2 4 6" xfId="5694"/>
    <cellStyle name="Normal 15 2 4 6 2" xfId="11169"/>
    <cellStyle name="Normal 15 2 4 7" xfId="2718"/>
    <cellStyle name="Normal 15 2 4 8" xfId="6635"/>
    <cellStyle name="Normal 15 2 4 9" xfId="8159"/>
    <cellStyle name="Normal 15 2 5" xfId="1153"/>
    <cellStyle name="Normal 15 2 5 2" xfId="3970"/>
    <cellStyle name="Normal 15 2 5 2 2" xfId="9415"/>
    <cellStyle name="Normal 15 2 5 3" xfId="2960"/>
    <cellStyle name="Normal 15 2 5 4" xfId="6893"/>
    <cellStyle name="Normal 15 2 5 5" xfId="8407"/>
    <cellStyle name="Normal 15 2 5 6" xfId="12027"/>
    <cellStyle name="Normal 15 2 5 7" xfId="13773"/>
    <cellStyle name="Normal 15 2 6" xfId="1661"/>
    <cellStyle name="Normal 15 2 6 2" xfId="3474"/>
    <cellStyle name="Normal 15 2 6 3" xfId="7401"/>
    <cellStyle name="Normal 15 2 6 4" xfId="8919"/>
    <cellStyle name="Normal 15 2 6 5" xfId="12533"/>
    <cellStyle name="Normal 15 2 6 6" xfId="14279"/>
    <cellStyle name="Normal 15 2 7" xfId="4470"/>
    <cellStyle name="Normal 15 2 7 2" xfId="9917"/>
    <cellStyle name="Normal 15 2 8" xfId="4946"/>
    <cellStyle name="Normal 15 2 8 2" xfId="10419"/>
    <cellStyle name="Normal 15 2 9" xfId="5446"/>
    <cellStyle name="Normal 15 2 9 2" xfId="10921"/>
    <cellStyle name="Normal 15 3" xfId="667"/>
    <cellStyle name="Normal 15 3 10" xfId="2506"/>
    <cellStyle name="Normal 15 3 11" xfId="6407"/>
    <cellStyle name="Normal 15 3 12" xfId="7931"/>
    <cellStyle name="Normal 15 3 13" xfId="11541"/>
    <cellStyle name="Normal 15 3 14" xfId="13287"/>
    <cellStyle name="Normal 15 3 2" xfId="717"/>
    <cellStyle name="Normal 15 3 2 10" xfId="6457"/>
    <cellStyle name="Normal 15 3 2 11" xfId="7981"/>
    <cellStyle name="Normal 15 3 2 12" xfId="11591"/>
    <cellStyle name="Normal 15 3 2 13" xfId="13337"/>
    <cellStyle name="Normal 15 3 2 2" xfId="841"/>
    <cellStyle name="Normal 15 3 2 2 10" xfId="8105"/>
    <cellStyle name="Normal 15 3 2 2 11" xfId="11715"/>
    <cellStyle name="Normal 15 3 2 2 12" xfId="13461"/>
    <cellStyle name="Normal 15 3 2 2 2" xfId="1089"/>
    <cellStyle name="Normal 15 3 2 2 2 10" xfId="11963"/>
    <cellStyle name="Normal 15 3 2 2 2 11" xfId="13709"/>
    <cellStyle name="Normal 15 3 2 2 2 2" xfId="1595"/>
    <cellStyle name="Normal 15 3 2 2 2 2 2" xfId="4410"/>
    <cellStyle name="Normal 15 3 2 2 2 2 2 2" xfId="9857"/>
    <cellStyle name="Normal 15 3 2 2 2 2 3" xfId="3400"/>
    <cellStyle name="Normal 15 3 2 2 2 2 4" xfId="7335"/>
    <cellStyle name="Normal 15 3 2 2 2 2 5" xfId="8849"/>
    <cellStyle name="Normal 15 3 2 2 2 2 6" xfId="12469"/>
    <cellStyle name="Normal 15 3 2 2 2 2 7" xfId="14215"/>
    <cellStyle name="Normal 15 3 2 2 2 3" xfId="2103"/>
    <cellStyle name="Normal 15 3 2 2 2 3 2" xfId="3916"/>
    <cellStyle name="Normal 15 3 2 2 2 3 3" xfId="7843"/>
    <cellStyle name="Normal 15 3 2 2 2 3 4" xfId="9361"/>
    <cellStyle name="Normal 15 3 2 2 2 3 5" xfId="12975"/>
    <cellStyle name="Normal 15 3 2 2 2 3 6" xfId="14721"/>
    <cellStyle name="Normal 15 3 2 2 2 4" xfId="4888"/>
    <cellStyle name="Normal 15 3 2 2 2 4 2" xfId="10359"/>
    <cellStyle name="Normal 15 3 2 2 2 5" xfId="5386"/>
    <cellStyle name="Normal 15 3 2 2 2 5 2" xfId="10861"/>
    <cellStyle name="Normal 15 3 2 2 2 6" xfId="5888"/>
    <cellStyle name="Normal 15 3 2 2 2 6 2" xfId="11363"/>
    <cellStyle name="Normal 15 3 2 2 2 7" xfId="2906"/>
    <cellStyle name="Normal 15 3 2 2 2 8" xfId="6829"/>
    <cellStyle name="Normal 15 3 2 2 2 9" xfId="8353"/>
    <cellStyle name="Normal 15 3 2 2 3" xfId="1347"/>
    <cellStyle name="Normal 15 3 2 2 3 2" xfId="4162"/>
    <cellStyle name="Normal 15 3 2 2 3 2 2" xfId="9609"/>
    <cellStyle name="Normal 15 3 2 2 3 3" xfId="3152"/>
    <cellStyle name="Normal 15 3 2 2 3 4" xfId="7087"/>
    <cellStyle name="Normal 15 3 2 2 3 5" xfId="8601"/>
    <cellStyle name="Normal 15 3 2 2 3 6" xfId="12221"/>
    <cellStyle name="Normal 15 3 2 2 3 7" xfId="13967"/>
    <cellStyle name="Normal 15 3 2 2 4" xfId="1855"/>
    <cellStyle name="Normal 15 3 2 2 4 2" xfId="3668"/>
    <cellStyle name="Normal 15 3 2 2 4 3" xfId="7595"/>
    <cellStyle name="Normal 15 3 2 2 4 4" xfId="9113"/>
    <cellStyle name="Normal 15 3 2 2 4 5" xfId="12727"/>
    <cellStyle name="Normal 15 3 2 2 4 6" xfId="14473"/>
    <cellStyle name="Normal 15 3 2 2 5" xfId="4649"/>
    <cellStyle name="Normal 15 3 2 2 5 2" xfId="10111"/>
    <cellStyle name="Normal 15 3 2 2 6" xfId="5138"/>
    <cellStyle name="Normal 15 3 2 2 6 2" xfId="10613"/>
    <cellStyle name="Normal 15 3 2 2 7" xfId="5640"/>
    <cellStyle name="Normal 15 3 2 2 7 2" xfId="11115"/>
    <cellStyle name="Normal 15 3 2 2 8" xfId="2665"/>
    <cellStyle name="Normal 15 3 2 2 9" xfId="6581"/>
    <cellStyle name="Normal 15 3 2 3" xfId="965"/>
    <cellStyle name="Normal 15 3 2 3 10" xfId="11839"/>
    <cellStyle name="Normal 15 3 2 3 11" xfId="13585"/>
    <cellStyle name="Normal 15 3 2 3 2" xfId="1471"/>
    <cellStyle name="Normal 15 3 2 3 2 2" xfId="4286"/>
    <cellStyle name="Normal 15 3 2 3 2 2 2" xfId="9733"/>
    <cellStyle name="Normal 15 3 2 3 2 3" xfId="3276"/>
    <cellStyle name="Normal 15 3 2 3 2 4" xfId="7211"/>
    <cellStyle name="Normal 15 3 2 3 2 5" xfId="8725"/>
    <cellStyle name="Normal 15 3 2 3 2 6" xfId="12345"/>
    <cellStyle name="Normal 15 3 2 3 2 7" xfId="14091"/>
    <cellStyle name="Normal 15 3 2 3 3" xfId="1979"/>
    <cellStyle name="Normal 15 3 2 3 3 2" xfId="3792"/>
    <cellStyle name="Normal 15 3 2 3 3 3" xfId="7719"/>
    <cellStyle name="Normal 15 3 2 3 3 4" xfId="9237"/>
    <cellStyle name="Normal 15 3 2 3 3 5" xfId="12851"/>
    <cellStyle name="Normal 15 3 2 3 3 6" xfId="14597"/>
    <cellStyle name="Normal 15 3 2 3 4" xfId="4765"/>
    <cellStyle name="Normal 15 3 2 3 4 2" xfId="10235"/>
    <cellStyle name="Normal 15 3 2 3 5" xfId="5262"/>
    <cellStyle name="Normal 15 3 2 3 5 2" xfId="10737"/>
    <cellStyle name="Normal 15 3 2 3 6" xfId="5764"/>
    <cellStyle name="Normal 15 3 2 3 6 2" xfId="11239"/>
    <cellStyle name="Normal 15 3 2 3 7" xfId="2783"/>
    <cellStyle name="Normal 15 3 2 3 8" xfId="6705"/>
    <cellStyle name="Normal 15 3 2 3 9" xfId="8229"/>
    <cellStyle name="Normal 15 3 2 4" xfId="1223"/>
    <cellStyle name="Normal 15 3 2 4 2" xfId="4039"/>
    <cellStyle name="Normal 15 3 2 4 2 2" xfId="9485"/>
    <cellStyle name="Normal 15 3 2 4 3" xfId="3029"/>
    <cellStyle name="Normal 15 3 2 4 4" xfId="6963"/>
    <cellStyle name="Normal 15 3 2 4 5" xfId="8477"/>
    <cellStyle name="Normal 15 3 2 4 6" xfId="12097"/>
    <cellStyle name="Normal 15 3 2 4 7" xfId="13843"/>
    <cellStyle name="Normal 15 3 2 5" xfId="1731"/>
    <cellStyle name="Normal 15 3 2 5 2" xfId="3544"/>
    <cellStyle name="Normal 15 3 2 5 3" xfId="7471"/>
    <cellStyle name="Normal 15 3 2 5 4" xfId="8989"/>
    <cellStyle name="Normal 15 3 2 5 5" xfId="12603"/>
    <cellStyle name="Normal 15 3 2 5 6" xfId="14349"/>
    <cellStyle name="Normal 15 3 2 6" xfId="4535"/>
    <cellStyle name="Normal 15 3 2 6 2" xfId="9987"/>
    <cellStyle name="Normal 15 3 2 7" xfId="5014"/>
    <cellStyle name="Normal 15 3 2 7 2" xfId="10489"/>
    <cellStyle name="Normal 15 3 2 8" xfId="5516"/>
    <cellStyle name="Normal 15 3 2 8 2" xfId="10991"/>
    <cellStyle name="Normal 15 3 2 9" xfId="2551"/>
    <cellStyle name="Normal 15 3 3" xfId="791"/>
    <cellStyle name="Normal 15 3 3 10" xfId="8055"/>
    <cellStyle name="Normal 15 3 3 11" xfId="11665"/>
    <cellStyle name="Normal 15 3 3 12" xfId="13411"/>
    <cellStyle name="Normal 15 3 3 2" xfId="1039"/>
    <cellStyle name="Normal 15 3 3 2 10" xfId="11913"/>
    <cellStyle name="Normal 15 3 3 2 11" xfId="13659"/>
    <cellStyle name="Normal 15 3 3 2 2" xfId="1545"/>
    <cellStyle name="Normal 15 3 3 2 2 2" xfId="4360"/>
    <cellStyle name="Normal 15 3 3 2 2 2 2" xfId="9807"/>
    <cellStyle name="Normal 15 3 3 2 2 3" xfId="3350"/>
    <cellStyle name="Normal 15 3 3 2 2 4" xfId="7285"/>
    <cellStyle name="Normal 15 3 3 2 2 5" xfId="8799"/>
    <cellStyle name="Normal 15 3 3 2 2 6" xfId="12419"/>
    <cellStyle name="Normal 15 3 3 2 2 7" xfId="14165"/>
    <cellStyle name="Normal 15 3 3 2 3" xfId="2053"/>
    <cellStyle name="Normal 15 3 3 2 3 2" xfId="3866"/>
    <cellStyle name="Normal 15 3 3 2 3 3" xfId="7793"/>
    <cellStyle name="Normal 15 3 3 2 3 4" xfId="9311"/>
    <cellStyle name="Normal 15 3 3 2 3 5" xfId="12925"/>
    <cellStyle name="Normal 15 3 3 2 3 6" xfId="14671"/>
    <cellStyle name="Normal 15 3 3 2 4" xfId="4838"/>
    <cellStyle name="Normal 15 3 3 2 4 2" xfId="10309"/>
    <cellStyle name="Normal 15 3 3 2 5" xfId="5336"/>
    <cellStyle name="Normal 15 3 3 2 5 2" xfId="10811"/>
    <cellStyle name="Normal 15 3 3 2 6" xfId="5838"/>
    <cellStyle name="Normal 15 3 3 2 6 2" xfId="11313"/>
    <cellStyle name="Normal 15 3 3 2 7" xfId="2856"/>
    <cellStyle name="Normal 15 3 3 2 8" xfId="6779"/>
    <cellStyle name="Normal 15 3 3 2 9" xfId="8303"/>
    <cellStyle name="Normal 15 3 3 3" xfId="1297"/>
    <cellStyle name="Normal 15 3 3 3 2" xfId="4112"/>
    <cellStyle name="Normal 15 3 3 3 2 2" xfId="9559"/>
    <cellStyle name="Normal 15 3 3 3 3" xfId="3102"/>
    <cellStyle name="Normal 15 3 3 3 4" xfId="7037"/>
    <cellStyle name="Normal 15 3 3 3 5" xfId="8551"/>
    <cellStyle name="Normal 15 3 3 3 6" xfId="12171"/>
    <cellStyle name="Normal 15 3 3 3 7" xfId="13917"/>
    <cellStyle name="Normal 15 3 3 4" xfId="1805"/>
    <cellStyle name="Normal 15 3 3 4 2" xfId="3618"/>
    <cellStyle name="Normal 15 3 3 4 3" xfId="7545"/>
    <cellStyle name="Normal 15 3 3 4 4" xfId="9063"/>
    <cellStyle name="Normal 15 3 3 4 5" xfId="12677"/>
    <cellStyle name="Normal 15 3 3 4 6" xfId="14423"/>
    <cellStyle name="Normal 15 3 3 5" xfId="4602"/>
    <cellStyle name="Normal 15 3 3 5 2" xfId="10061"/>
    <cellStyle name="Normal 15 3 3 6" xfId="5088"/>
    <cellStyle name="Normal 15 3 3 6 2" xfId="10563"/>
    <cellStyle name="Normal 15 3 3 7" xfId="5590"/>
    <cellStyle name="Normal 15 3 3 7 2" xfId="11065"/>
    <cellStyle name="Normal 15 3 3 8" xfId="2618"/>
    <cellStyle name="Normal 15 3 3 9" xfId="6531"/>
    <cellStyle name="Normal 15 3 4" xfId="915"/>
    <cellStyle name="Normal 15 3 4 10" xfId="11789"/>
    <cellStyle name="Normal 15 3 4 11" xfId="13535"/>
    <cellStyle name="Normal 15 3 4 2" xfId="1421"/>
    <cellStyle name="Normal 15 3 4 2 2" xfId="4236"/>
    <cellStyle name="Normal 15 3 4 2 2 2" xfId="9683"/>
    <cellStyle name="Normal 15 3 4 2 3" xfId="3226"/>
    <cellStyle name="Normal 15 3 4 2 4" xfId="7161"/>
    <cellStyle name="Normal 15 3 4 2 5" xfId="8675"/>
    <cellStyle name="Normal 15 3 4 2 6" xfId="12295"/>
    <cellStyle name="Normal 15 3 4 2 7" xfId="14041"/>
    <cellStyle name="Normal 15 3 4 3" xfId="1929"/>
    <cellStyle name="Normal 15 3 4 3 2" xfId="3742"/>
    <cellStyle name="Normal 15 3 4 3 3" xfId="7669"/>
    <cellStyle name="Normal 15 3 4 3 4" xfId="9187"/>
    <cellStyle name="Normal 15 3 4 3 5" xfId="12801"/>
    <cellStyle name="Normal 15 3 4 3 6" xfId="14547"/>
    <cellStyle name="Normal 15 3 4 4" xfId="4718"/>
    <cellStyle name="Normal 15 3 4 4 2" xfId="10185"/>
    <cellStyle name="Normal 15 3 4 5" xfId="5212"/>
    <cellStyle name="Normal 15 3 4 5 2" xfId="10687"/>
    <cellStyle name="Normal 15 3 4 6" xfId="5714"/>
    <cellStyle name="Normal 15 3 4 6 2" xfId="11189"/>
    <cellStyle name="Normal 15 3 4 7" xfId="2736"/>
    <cellStyle name="Normal 15 3 4 8" xfId="6655"/>
    <cellStyle name="Normal 15 3 4 9" xfId="8179"/>
    <cellStyle name="Normal 15 3 5" xfId="1173"/>
    <cellStyle name="Normal 15 3 5 2" xfId="3990"/>
    <cellStyle name="Normal 15 3 5 2 2" xfId="9435"/>
    <cellStyle name="Normal 15 3 5 3" xfId="2980"/>
    <cellStyle name="Normal 15 3 5 4" xfId="6913"/>
    <cellStyle name="Normal 15 3 5 5" xfId="8427"/>
    <cellStyle name="Normal 15 3 5 6" xfId="12047"/>
    <cellStyle name="Normal 15 3 5 7" xfId="13793"/>
    <cellStyle name="Normal 15 3 6" xfId="1681"/>
    <cellStyle name="Normal 15 3 6 2" xfId="3494"/>
    <cellStyle name="Normal 15 3 6 3" xfId="7421"/>
    <cellStyle name="Normal 15 3 6 4" xfId="8939"/>
    <cellStyle name="Normal 15 3 6 5" xfId="12553"/>
    <cellStyle name="Normal 15 3 6 6" xfId="14299"/>
    <cellStyle name="Normal 15 3 7" xfId="4490"/>
    <cellStyle name="Normal 15 3 7 2" xfId="9937"/>
    <cellStyle name="Normal 15 3 8" xfId="4964"/>
    <cellStyle name="Normal 15 3 8 2" xfId="10439"/>
    <cellStyle name="Normal 15 3 9" xfId="5466"/>
    <cellStyle name="Normal 15 3 9 2" xfId="10941"/>
    <cellStyle name="Normal 15 4" xfId="715"/>
    <cellStyle name="Normal 15 4 10" xfId="6455"/>
    <cellStyle name="Normal 15 4 11" xfId="7979"/>
    <cellStyle name="Normal 15 4 12" xfId="11589"/>
    <cellStyle name="Normal 15 4 13" xfId="13335"/>
    <cellStyle name="Normal 15 4 2" xfId="839"/>
    <cellStyle name="Normal 15 4 2 10" xfId="8103"/>
    <cellStyle name="Normal 15 4 2 11" xfId="11713"/>
    <cellStyle name="Normal 15 4 2 12" xfId="13459"/>
    <cellStyle name="Normal 15 4 2 2" xfId="1087"/>
    <cellStyle name="Normal 15 4 2 2 10" xfId="11961"/>
    <cellStyle name="Normal 15 4 2 2 11" xfId="13707"/>
    <cellStyle name="Normal 15 4 2 2 2" xfId="1593"/>
    <cellStyle name="Normal 15 4 2 2 2 2" xfId="4408"/>
    <cellStyle name="Normal 15 4 2 2 2 2 2" xfId="9855"/>
    <cellStyle name="Normal 15 4 2 2 2 3" xfId="3398"/>
    <cellStyle name="Normal 15 4 2 2 2 4" xfId="7333"/>
    <cellStyle name="Normal 15 4 2 2 2 5" xfId="8847"/>
    <cellStyle name="Normal 15 4 2 2 2 6" xfId="12467"/>
    <cellStyle name="Normal 15 4 2 2 2 7" xfId="14213"/>
    <cellStyle name="Normal 15 4 2 2 3" xfId="2101"/>
    <cellStyle name="Normal 15 4 2 2 3 2" xfId="3914"/>
    <cellStyle name="Normal 15 4 2 2 3 3" xfId="7841"/>
    <cellStyle name="Normal 15 4 2 2 3 4" xfId="9359"/>
    <cellStyle name="Normal 15 4 2 2 3 5" xfId="12973"/>
    <cellStyle name="Normal 15 4 2 2 3 6" xfId="14719"/>
    <cellStyle name="Normal 15 4 2 2 4" xfId="4886"/>
    <cellStyle name="Normal 15 4 2 2 4 2" xfId="10357"/>
    <cellStyle name="Normal 15 4 2 2 5" xfId="5384"/>
    <cellStyle name="Normal 15 4 2 2 5 2" xfId="10859"/>
    <cellStyle name="Normal 15 4 2 2 6" xfId="5886"/>
    <cellStyle name="Normal 15 4 2 2 6 2" xfId="11361"/>
    <cellStyle name="Normal 15 4 2 2 7" xfId="2904"/>
    <cellStyle name="Normal 15 4 2 2 8" xfId="6827"/>
    <cellStyle name="Normal 15 4 2 2 9" xfId="8351"/>
    <cellStyle name="Normal 15 4 2 3" xfId="1345"/>
    <cellStyle name="Normal 15 4 2 3 2" xfId="4160"/>
    <cellStyle name="Normal 15 4 2 3 2 2" xfId="9607"/>
    <cellStyle name="Normal 15 4 2 3 3" xfId="3150"/>
    <cellStyle name="Normal 15 4 2 3 4" xfId="7085"/>
    <cellStyle name="Normal 15 4 2 3 5" xfId="8599"/>
    <cellStyle name="Normal 15 4 2 3 6" xfId="12219"/>
    <cellStyle name="Normal 15 4 2 3 7" xfId="13965"/>
    <cellStyle name="Normal 15 4 2 4" xfId="1853"/>
    <cellStyle name="Normal 15 4 2 4 2" xfId="3666"/>
    <cellStyle name="Normal 15 4 2 4 3" xfId="7593"/>
    <cellStyle name="Normal 15 4 2 4 4" xfId="9111"/>
    <cellStyle name="Normal 15 4 2 4 5" xfId="12725"/>
    <cellStyle name="Normal 15 4 2 4 6" xfId="14471"/>
    <cellStyle name="Normal 15 4 2 5" xfId="4647"/>
    <cellStyle name="Normal 15 4 2 5 2" xfId="10109"/>
    <cellStyle name="Normal 15 4 2 6" xfId="5136"/>
    <cellStyle name="Normal 15 4 2 6 2" xfId="10611"/>
    <cellStyle name="Normal 15 4 2 7" xfId="5638"/>
    <cellStyle name="Normal 15 4 2 7 2" xfId="11113"/>
    <cellStyle name="Normal 15 4 2 8" xfId="2663"/>
    <cellStyle name="Normal 15 4 2 9" xfId="6579"/>
    <cellStyle name="Normal 15 4 3" xfId="963"/>
    <cellStyle name="Normal 15 4 3 10" xfId="11837"/>
    <cellStyle name="Normal 15 4 3 11" xfId="13583"/>
    <cellStyle name="Normal 15 4 3 2" xfId="1469"/>
    <cellStyle name="Normal 15 4 3 2 2" xfId="4284"/>
    <cellStyle name="Normal 15 4 3 2 2 2" xfId="9731"/>
    <cellStyle name="Normal 15 4 3 2 3" xfId="3274"/>
    <cellStyle name="Normal 15 4 3 2 4" xfId="7209"/>
    <cellStyle name="Normal 15 4 3 2 5" xfId="8723"/>
    <cellStyle name="Normal 15 4 3 2 6" xfId="12343"/>
    <cellStyle name="Normal 15 4 3 2 7" xfId="14089"/>
    <cellStyle name="Normal 15 4 3 3" xfId="1977"/>
    <cellStyle name="Normal 15 4 3 3 2" xfId="3790"/>
    <cellStyle name="Normal 15 4 3 3 3" xfId="7717"/>
    <cellStyle name="Normal 15 4 3 3 4" xfId="9235"/>
    <cellStyle name="Normal 15 4 3 3 5" xfId="12849"/>
    <cellStyle name="Normal 15 4 3 3 6" xfId="14595"/>
    <cellStyle name="Normal 15 4 3 4" xfId="4763"/>
    <cellStyle name="Normal 15 4 3 4 2" xfId="10233"/>
    <cellStyle name="Normal 15 4 3 5" xfId="5260"/>
    <cellStyle name="Normal 15 4 3 5 2" xfId="10735"/>
    <cellStyle name="Normal 15 4 3 6" xfId="5762"/>
    <cellStyle name="Normal 15 4 3 6 2" xfId="11237"/>
    <cellStyle name="Normal 15 4 3 7" xfId="2781"/>
    <cellStyle name="Normal 15 4 3 8" xfId="6703"/>
    <cellStyle name="Normal 15 4 3 9" xfId="8227"/>
    <cellStyle name="Normal 15 4 4" xfId="1221"/>
    <cellStyle name="Normal 15 4 4 2" xfId="4037"/>
    <cellStyle name="Normal 15 4 4 2 2" xfId="9483"/>
    <cellStyle name="Normal 15 4 4 3" xfId="3027"/>
    <cellStyle name="Normal 15 4 4 4" xfId="6961"/>
    <cellStyle name="Normal 15 4 4 5" xfId="8475"/>
    <cellStyle name="Normal 15 4 4 6" xfId="12095"/>
    <cellStyle name="Normal 15 4 4 7" xfId="13841"/>
    <cellStyle name="Normal 15 4 5" xfId="1729"/>
    <cellStyle name="Normal 15 4 5 2" xfId="3542"/>
    <cellStyle name="Normal 15 4 5 3" xfId="7469"/>
    <cellStyle name="Normal 15 4 5 4" xfId="8987"/>
    <cellStyle name="Normal 15 4 5 5" xfId="12601"/>
    <cellStyle name="Normal 15 4 5 6" xfId="14347"/>
    <cellStyle name="Normal 15 4 6" xfId="4533"/>
    <cellStyle name="Normal 15 4 6 2" xfId="9985"/>
    <cellStyle name="Normal 15 4 7" xfId="5012"/>
    <cellStyle name="Normal 15 4 7 2" xfId="10487"/>
    <cellStyle name="Normal 15 4 8" xfId="5514"/>
    <cellStyle name="Normal 15 4 8 2" xfId="10989"/>
    <cellStyle name="Normal 15 4 9" xfId="2549"/>
    <cellStyle name="Normal 15 5" xfId="749"/>
    <cellStyle name="Normal 15 5 10" xfId="8013"/>
    <cellStyle name="Normal 15 5 11" xfId="11623"/>
    <cellStyle name="Normal 15 5 12" xfId="13369"/>
    <cellStyle name="Normal 15 5 2" xfId="997"/>
    <cellStyle name="Normal 15 5 2 10" xfId="11871"/>
    <cellStyle name="Normal 15 5 2 11" xfId="13617"/>
    <cellStyle name="Normal 15 5 2 2" xfId="1503"/>
    <cellStyle name="Normal 15 5 2 2 2" xfId="4318"/>
    <cellStyle name="Normal 15 5 2 2 2 2" xfId="9765"/>
    <cellStyle name="Normal 15 5 2 2 3" xfId="3308"/>
    <cellStyle name="Normal 15 5 2 2 4" xfId="7243"/>
    <cellStyle name="Normal 15 5 2 2 5" xfId="8757"/>
    <cellStyle name="Normal 15 5 2 2 6" xfId="12377"/>
    <cellStyle name="Normal 15 5 2 2 7" xfId="14123"/>
    <cellStyle name="Normal 15 5 2 3" xfId="2011"/>
    <cellStyle name="Normal 15 5 2 3 2" xfId="3824"/>
    <cellStyle name="Normal 15 5 2 3 3" xfId="7751"/>
    <cellStyle name="Normal 15 5 2 3 4" xfId="9269"/>
    <cellStyle name="Normal 15 5 2 3 5" xfId="12883"/>
    <cellStyle name="Normal 15 5 2 3 6" xfId="14629"/>
    <cellStyle name="Normal 15 5 2 4" xfId="4796"/>
    <cellStyle name="Normal 15 5 2 4 2" xfId="10267"/>
    <cellStyle name="Normal 15 5 2 5" xfId="5294"/>
    <cellStyle name="Normal 15 5 2 5 2" xfId="10769"/>
    <cellStyle name="Normal 15 5 2 6" xfId="5796"/>
    <cellStyle name="Normal 15 5 2 6 2" xfId="11271"/>
    <cellStyle name="Normal 15 5 2 7" xfId="2814"/>
    <cellStyle name="Normal 15 5 2 8" xfId="6737"/>
    <cellStyle name="Normal 15 5 2 9" xfId="8261"/>
    <cellStyle name="Normal 15 5 3" xfId="1255"/>
    <cellStyle name="Normal 15 5 3 2" xfId="4070"/>
    <cellStyle name="Normal 15 5 3 2 2" xfId="9517"/>
    <cellStyle name="Normal 15 5 3 3" xfId="3060"/>
    <cellStyle name="Normal 15 5 3 4" xfId="6995"/>
    <cellStyle name="Normal 15 5 3 5" xfId="8509"/>
    <cellStyle name="Normal 15 5 3 6" xfId="12129"/>
    <cellStyle name="Normal 15 5 3 7" xfId="13875"/>
    <cellStyle name="Normal 15 5 4" xfId="1763"/>
    <cellStyle name="Normal 15 5 4 2" xfId="3576"/>
    <cellStyle name="Normal 15 5 4 3" xfId="7503"/>
    <cellStyle name="Normal 15 5 4 4" xfId="9021"/>
    <cellStyle name="Normal 15 5 4 5" xfId="12635"/>
    <cellStyle name="Normal 15 5 4 6" xfId="14381"/>
    <cellStyle name="Normal 15 5 5" xfId="4564"/>
    <cellStyle name="Normal 15 5 5 2" xfId="10019"/>
    <cellStyle name="Normal 15 5 6" xfId="5046"/>
    <cellStyle name="Normal 15 5 6 2" xfId="10521"/>
    <cellStyle name="Normal 15 5 7" xfId="5548"/>
    <cellStyle name="Normal 15 5 7 2" xfId="11023"/>
    <cellStyle name="Normal 15 5 8" xfId="2580"/>
    <cellStyle name="Normal 15 5 9" xfId="6489"/>
    <cellStyle name="Normal 15 6" xfId="873"/>
    <cellStyle name="Normal 15 6 10" xfId="11747"/>
    <cellStyle name="Normal 15 6 11" xfId="13493"/>
    <cellStyle name="Normal 15 6 2" xfId="1379"/>
    <cellStyle name="Normal 15 6 2 2" xfId="4194"/>
    <cellStyle name="Normal 15 6 2 2 2" xfId="9641"/>
    <cellStyle name="Normal 15 6 2 3" xfId="3184"/>
    <cellStyle name="Normal 15 6 2 4" xfId="7119"/>
    <cellStyle name="Normal 15 6 2 5" xfId="8633"/>
    <cellStyle name="Normal 15 6 2 6" xfId="12253"/>
    <cellStyle name="Normal 15 6 2 7" xfId="13999"/>
    <cellStyle name="Normal 15 6 3" xfId="1887"/>
    <cellStyle name="Normal 15 6 3 2" xfId="3700"/>
    <cellStyle name="Normal 15 6 3 3" xfId="7627"/>
    <cellStyle name="Normal 15 6 3 4" xfId="9145"/>
    <cellStyle name="Normal 15 6 3 5" xfId="12759"/>
    <cellStyle name="Normal 15 6 3 6" xfId="14505"/>
    <cellStyle name="Normal 15 6 4" xfId="4680"/>
    <cellStyle name="Normal 15 6 4 2" xfId="10143"/>
    <cellStyle name="Normal 15 6 5" xfId="5170"/>
    <cellStyle name="Normal 15 6 5 2" xfId="10645"/>
    <cellStyle name="Normal 15 6 6" xfId="5672"/>
    <cellStyle name="Normal 15 6 6 2" xfId="11147"/>
    <cellStyle name="Normal 15 6 7" xfId="2696"/>
    <cellStyle name="Normal 15 6 8" xfId="6613"/>
    <cellStyle name="Normal 15 6 9" xfId="8137"/>
    <cellStyle name="Normal 15 7" xfId="480"/>
    <cellStyle name="Normal 15 7 2" xfId="3948"/>
    <cellStyle name="Normal 15 7 2 2" xfId="9393"/>
    <cellStyle name="Normal 15 7 3" xfId="2938"/>
    <cellStyle name="Normal 15 7 4" xfId="6341"/>
    <cellStyle name="Normal 15 7 5" xfId="8385"/>
    <cellStyle name="Normal 15 7 6" xfId="11499"/>
    <cellStyle name="Normal 15 7 7" xfId="13245"/>
    <cellStyle name="Normal 15 8" xfId="1131"/>
    <cellStyle name="Normal 15 8 2" xfId="3452"/>
    <cellStyle name="Normal 15 8 3" xfId="6871"/>
    <cellStyle name="Normal 15 8 4" xfId="8897"/>
    <cellStyle name="Normal 15 8 5" xfId="12005"/>
    <cellStyle name="Normal 15 8 6" xfId="13751"/>
    <cellStyle name="Normal 15 9" xfId="1638"/>
    <cellStyle name="Normal 15 9 2" xfId="4448"/>
    <cellStyle name="Normal 15 9 3" xfId="7378"/>
    <cellStyle name="Normal 15 9 4" xfId="9895"/>
    <cellStyle name="Normal 15 9 5" xfId="12511"/>
    <cellStyle name="Normal 15 9 6" xfId="14257"/>
    <cellStyle name="Normal 16" xfId="196"/>
    <cellStyle name="Normal 16 2" xfId="481"/>
    <cellStyle name="Normal 16 3" xfId="6265"/>
    <cellStyle name="Normal 16 4" xfId="11484"/>
    <cellStyle name="Normal 16 5" xfId="13230"/>
    <cellStyle name="Normal 17" xfId="482"/>
    <cellStyle name="Normal 18" xfId="483"/>
    <cellStyle name="Normal 19" xfId="484"/>
    <cellStyle name="Normal 2" xfId="4"/>
    <cellStyle name="Normal 2 2" xfId="97"/>
    <cellStyle name="Normal 2 2 2" xfId="98"/>
    <cellStyle name="Normal 2 2 2 2" xfId="99"/>
    <cellStyle name="Normal 2 2 2 2 2" xfId="2279"/>
    <cellStyle name="Normal 2 2 2 3" xfId="2228"/>
    <cellStyle name="Normal 2 2 3" xfId="100"/>
    <cellStyle name="Normal 2 2 3 2" xfId="101"/>
    <cellStyle name="Normal 2 2 3 2 2" xfId="2280"/>
    <cellStyle name="Normal 2 2 3 3" xfId="2229"/>
    <cellStyle name="Normal 2 2 4" xfId="102"/>
    <cellStyle name="Normal 2 2 4 2" xfId="103"/>
    <cellStyle name="Normal 2 2 4 2 2" xfId="2281"/>
    <cellStyle name="Normal 2 2 4 3" xfId="2230"/>
    <cellStyle name="Normal 2 2 5" xfId="104"/>
    <cellStyle name="Normal 2 2 5 2" xfId="2261"/>
    <cellStyle name="Normal 2 2 6" xfId="215"/>
    <cellStyle name="Normal 2 2 6 2" xfId="2227"/>
    <cellStyle name="Normal 2 2 6 2 2" xfId="6278"/>
    <cellStyle name="Normal 2 3" xfId="105"/>
    <cellStyle name="Normal 2 3 2" xfId="106"/>
    <cellStyle name="Normal 2 3 2 2" xfId="107"/>
    <cellStyle name="Normal 2 3 2 2 2" xfId="2282"/>
    <cellStyle name="Normal 2 3 2 3" xfId="2232"/>
    <cellStyle name="Normal 2 3 2 3 2" xfId="4441"/>
    <cellStyle name="Normal 2 3 2 3 2 2" xfId="9888"/>
    <cellStyle name="Normal 2 3 2 3 3" xfId="6006"/>
    <cellStyle name="Normal 2 3 2 3 4" xfId="3431"/>
    <cellStyle name="Normal 2 3 2 3 5" xfId="8880"/>
    <cellStyle name="Normal 2 3 2 4" xfId="4919"/>
    <cellStyle name="Normal 2 3 2 4 2" xfId="10390"/>
    <cellStyle name="Normal 2 3 2 5" xfId="5417"/>
    <cellStyle name="Normal 2 3 2 5 2" xfId="10892"/>
    <cellStyle name="Normal 2 3 2 6" xfId="5919"/>
    <cellStyle name="Normal 2 3 2 6 2" xfId="11394"/>
    <cellStyle name="Normal 2 3 3" xfId="108"/>
    <cellStyle name="Normal 2 3 3 2" xfId="109"/>
    <cellStyle name="Normal 2 3 3 2 2" xfId="2283"/>
    <cellStyle name="Normal 2 3 3 3" xfId="2233"/>
    <cellStyle name="Normal 2 3 4" xfId="110"/>
    <cellStyle name="Normal 2 3 4 2" xfId="111"/>
    <cellStyle name="Normal 2 3 4 2 2" xfId="2284"/>
    <cellStyle name="Normal 2 3 4 3" xfId="2234"/>
    <cellStyle name="Normal 2 3 5" xfId="2231"/>
    <cellStyle name="Normal 2 4" xfId="112"/>
    <cellStyle name="Normal 2 4 2" xfId="485"/>
    <cellStyle name="Normal 2 4 3" xfId="3438"/>
    <cellStyle name="Normal 2 5" xfId="113"/>
    <cellStyle name="Normal 2 6" xfId="5988"/>
    <cellStyle name="Normal 2 6 2" xfId="6235"/>
    <cellStyle name="Normal 2 7" xfId="6012"/>
    <cellStyle name="Normal 2 8" xfId="6014"/>
    <cellStyle name="Normal 2 8 2" xfId="11459"/>
    <cellStyle name="Normal 2_Adjustment WP" xfId="486"/>
    <cellStyle name="Normal 20" xfId="487"/>
    <cellStyle name="Normal 21" xfId="488"/>
    <cellStyle name="Normal 22" xfId="489"/>
    <cellStyle name="Normal 23" xfId="490"/>
    <cellStyle name="Normal 24" xfId="491"/>
    <cellStyle name="Normal 25" xfId="492"/>
    <cellStyle name="Normal 26" xfId="493"/>
    <cellStyle name="Normal 27" xfId="494"/>
    <cellStyle name="Normal 28" xfId="495"/>
    <cellStyle name="Normal 29" xfId="496"/>
    <cellStyle name="Normal 3" xfId="5"/>
    <cellStyle name="Normal 3 2" xfId="114"/>
    <cellStyle name="Normal 3 2 2" xfId="498"/>
    <cellStyle name="Normal 3 2 2 2" xfId="3432"/>
    <cellStyle name="Normal 3 2 2 2 2" xfId="4442"/>
    <cellStyle name="Normal 3 2 2 2 2 2" xfId="9889"/>
    <cellStyle name="Normal 3 2 2 2 3" xfId="8881"/>
    <cellStyle name="Normal 3 2 2 3" xfId="4920"/>
    <cellStyle name="Normal 3 2 2 3 2" xfId="10391"/>
    <cellStyle name="Normal 3 2 2 4" xfId="5418"/>
    <cellStyle name="Normal 3 2 2 4 2" xfId="10893"/>
    <cellStyle name="Normal 3 2 2 5" xfId="5920"/>
    <cellStyle name="Normal 3 2 2 5 2" xfId="11395"/>
    <cellStyle name="Normal 3 2 3" xfId="3435"/>
    <cellStyle name="Normal 3 3" xfId="115"/>
    <cellStyle name="Normal 3 3 2" xfId="499"/>
    <cellStyle name="Normal 3 3 2 2" xfId="2257"/>
    <cellStyle name="Normal 3 3 2 2 2" xfId="6342"/>
    <cellStyle name="Normal 3 3 3" xfId="3439"/>
    <cellStyle name="Normal 3 4" xfId="116"/>
    <cellStyle name="Normal 3 4 2" xfId="500"/>
    <cellStyle name="Normal 3 4 2 2" xfId="2329"/>
    <cellStyle name="Normal 3 4 2 2 2" xfId="6343"/>
    <cellStyle name="Normal 3 4 3" xfId="209"/>
    <cellStyle name="Normal 3 4 3 2" xfId="6003"/>
    <cellStyle name="Normal 3 4 4" xfId="2191"/>
    <cellStyle name="Normal 3 4 4 2" xfId="6245"/>
    <cellStyle name="Normal 3 5" xfId="615"/>
    <cellStyle name="Normal 3 5 2" xfId="2235"/>
    <cellStyle name="Normal 3 5 2 2" xfId="6362"/>
    <cellStyle name="Normal 3 6" xfId="643"/>
    <cellStyle name="Normal 3 6 2" xfId="5989"/>
    <cellStyle name="Normal 3 7" xfId="497"/>
    <cellStyle name="Normal 3 8" xfId="6236"/>
    <cellStyle name="Normal 3_108 Summary" xfId="501"/>
    <cellStyle name="Normal 30" xfId="502"/>
    <cellStyle name="Normal 31" xfId="503"/>
    <cellStyle name="Normal 32" xfId="504"/>
    <cellStyle name="Normal 33" xfId="505"/>
    <cellStyle name="Normal 34" xfId="506"/>
    <cellStyle name="Normal 35" xfId="507"/>
    <cellStyle name="Normal 35 10" xfId="4927"/>
    <cellStyle name="Normal 35 10 2" xfId="10398"/>
    <cellStyle name="Normal 35 11" xfId="5425"/>
    <cellStyle name="Normal 35 11 2" xfId="10900"/>
    <cellStyle name="Normal 35 12" xfId="2468"/>
    <cellStyle name="Normal 35 13" xfId="6344"/>
    <cellStyle name="Normal 35 14" xfId="7890"/>
    <cellStyle name="Normal 35 15" xfId="11500"/>
    <cellStyle name="Normal 35 16" xfId="13246"/>
    <cellStyle name="Normal 35 2" xfId="644"/>
    <cellStyle name="Normal 35 2 10" xfId="2489"/>
    <cellStyle name="Normal 35 2 11" xfId="6386"/>
    <cellStyle name="Normal 35 2 12" xfId="7912"/>
    <cellStyle name="Normal 35 2 13" xfId="11522"/>
    <cellStyle name="Normal 35 2 14" xfId="13268"/>
    <cellStyle name="Normal 35 2 2" xfId="719"/>
    <cellStyle name="Normal 35 2 2 10" xfId="6459"/>
    <cellStyle name="Normal 35 2 2 11" xfId="7983"/>
    <cellStyle name="Normal 35 2 2 12" xfId="11593"/>
    <cellStyle name="Normal 35 2 2 13" xfId="13339"/>
    <cellStyle name="Normal 35 2 2 2" xfId="843"/>
    <cellStyle name="Normal 35 2 2 2 10" xfId="8107"/>
    <cellStyle name="Normal 35 2 2 2 11" xfId="11717"/>
    <cellStyle name="Normal 35 2 2 2 12" xfId="13463"/>
    <cellStyle name="Normal 35 2 2 2 2" xfId="1091"/>
    <cellStyle name="Normal 35 2 2 2 2 10" xfId="11965"/>
    <cellStyle name="Normal 35 2 2 2 2 11" xfId="13711"/>
    <cellStyle name="Normal 35 2 2 2 2 2" xfId="1597"/>
    <cellStyle name="Normal 35 2 2 2 2 2 2" xfId="4412"/>
    <cellStyle name="Normal 35 2 2 2 2 2 2 2" xfId="9859"/>
    <cellStyle name="Normal 35 2 2 2 2 2 3" xfId="3402"/>
    <cellStyle name="Normal 35 2 2 2 2 2 4" xfId="7337"/>
    <cellStyle name="Normal 35 2 2 2 2 2 5" xfId="8851"/>
    <cellStyle name="Normal 35 2 2 2 2 2 6" xfId="12471"/>
    <cellStyle name="Normal 35 2 2 2 2 2 7" xfId="14217"/>
    <cellStyle name="Normal 35 2 2 2 2 3" xfId="2105"/>
    <cellStyle name="Normal 35 2 2 2 2 3 2" xfId="3918"/>
    <cellStyle name="Normal 35 2 2 2 2 3 3" xfId="7845"/>
    <cellStyle name="Normal 35 2 2 2 2 3 4" xfId="9363"/>
    <cellStyle name="Normal 35 2 2 2 2 3 5" xfId="12977"/>
    <cellStyle name="Normal 35 2 2 2 2 3 6" xfId="14723"/>
    <cellStyle name="Normal 35 2 2 2 2 4" xfId="4890"/>
    <cellStyle name="Normal 35 2 2 2 2 4 2" xfId="10361"/>
    <cellStyle name="Normal 35 2 2 2 2 5" xfId="5388"/>
    <cellStyle name="Normal 35 2 2 2 2 5 2" xfId="10863"/>
    <cellStyle name="Normal 35 2 2 2 2 6" xfId="5890"/>
    <cellStyle name="Normal 35 2 2 2 2 6 2" xfId="11365"/>
    <cellStyle name="Normal 35 2 2 2 2 7" xfId="2908"/>
    <cellStyle name="Normal 35 2 2 2 2 8" xfId="6831"/>
    <cellStyle name="Normal 35 2 2 2 2 9" xfId="8355"/>
    <cellStyle name="Normal 35 2 2 2 3" xfId="1349"/>
    <cellStyle name="Normal 35 2 2 2 3 2" xfId="4164"/>
    <cellStyle name="Normal 35 2 2 2 3 2 2" xfId="9611"/>
    <cellStyle name="Normal 35 2 2 2 3 3" xfId="3154"/>
    <cellStyle name="Normal 35 2 2 2 3 4" xfId="7089"/>
    <cellStyle name="Normal 35 2 2 2 3 5" xfId="8603"/>
    <cellStyle name="Normal 35 2 2 2 3 6" xfId="12223"/>
    <cellStyle name="Normal 35 2 2 2 3 7" xfId="13969"/>
    <cellStyle name="Normal 35 2 2 2 4" xfId="1857"/>
    <cellStyle name="Normal 35 2 2 2 4 2" xfId="3670"/>
    <cellStyle name="Normal 35 2 2 2 4 3" xfId="7597"/>
    <cellStyle name="Normal 35 2 2 2 4 4" xfId="9115"/>
    <cellStyle name="Normal 35 2 2 2 4 5" xfId="12729"/>
    <cellStyle name="Normal 35 2 2 2 4 6" xfId="14475"/>
    <cellStyle name="Normal 35 2 2 2 5" xfId="4651"/>
    <cellStyle name="Normal 35 2 2 2 5 2" xfId="10113"/>
    <cellStyle name="Normal 35 2 2 2 6" xfId="5140"/>
    <cellStyle name="Normal 35 2 2 2 6 2" xfId="10615"/>
    <cellStyle name="Normal 35 2 2 2 7" xfId="5642"/>
    <cellStyle name="Normal 35 2 2 2 7 2" xfId="11117"/>
    <cellStyle name="Normal 35 2 2 2 8" xfId="2667"/>
    <cellStyle name="Normal 35 2 2 2 9" xfId="6583"/>
    <cellStyle name="Normal 35 2 2 3" xfId="967"/>
    <cellStyle name="Normal 35 2 2 3 10" xfId="11841"/>
    <cellStyle name="Normal 35 2 2 3 11" xfId="13587"/>
    <cellStyle name="Normal 35 2 2 3 2" xfId="1473"/>
    <cellStyle name="Normal 35 2 2 3 2 2" xfId="4288"/>
    <cellStyle name="Normal 35 2 2 3 2 2 2" xfId="9735"/>
    <cellStyle name="Normal 35 2 2 3 2 3" xfId="3278"/>
    <cellStyle name="Normal 35 2 2 3 2 4" xfId="7213"/>
    <cellStyle name="Normal 35 2 2 3 2 5" xfId="8727"/>
    <cellStyle name="Normal 35 2 2 3 2 6" xfId="12347"/>
    <cellStyle name="Normal 35 2 2 3 2 7" xfId="14093"/>
    <cellStyle name="Normal 35 2 2 3 3" xfId="1981"/>
    <cellStyle name="Normal 35 2 2 3 3 2" xfId="3794"/>
    <cellStyle name="Normal 35 2 2 3 3 3" xfId="7721"/>
    <cellStyle name="Normal 35 2 2 3 3 4" xfId="9239"/>
    <cellStyle name="Normal 35 2 2 3 3 5" xfId="12853"/>
    <cellStyle name="Normal 35 2 2 3 3 6" xfId="14599"/>
    <cellStyle name="Normal 35 2 2 3 4" xfId="4767"/>
    <cellStyle name="Normal 35 2 2 3 4 2" xfId="10237"/>
    <cellStyle name="Normal 35 2 2 3 5" xfId="5264"/>
    <cellStyle name="Normal 35 2 2 3 5 2" xfId="10739"/>
    <cellStyle name="Normal 35 2 2 3 6" xfId="5766"/>
    <cellStyle name="Normal 35 2 2 3 6 2" xfId="11241"/>
    <cellStyle name="Normal 35 2 2 3 7" xfId="2785"/>
    <cellStyle name="Normal 35 2 2 3 8" xfId="6707"/>
    <cellStyle name="Normal 35 2 2 3 9" xfId="8231"/>
    <cellStyle name="Normal 35 2 2 4" xfId="1225"/>
    <cellStyle name="Normal 35 2 2 4 2" xfId="4041"/>
    <cellStyle name="Normal 35 2 2 4 2 2" xfId="9487"/>
    <cellStyle name="Normal 35 2 2 4 3" xfId="3031"/>
    <cellStyle name="Normal 35 2 2 4 4" xfId="6965"/>
    <cellStyle name="Normal 35 2 2 4 5" xfId="8479"/>
    <cellStyle name="Normal 35 2 2 4 6" xfId="12099"/>
    <cellStyle name="Normal 35 2 2 4 7" xfId="13845"/>
    <cellStyle name="Normal 35 2 2 5" xfId="1733"/>
    <cellStyle name="Normal 35 2 2 5 2" xfId="3546"/>
    <cellStyle name="Normal 35 2 2 5 3" xfId="7473"/>
    <cellStyle name="Normal 35 2 2 5 4" xfId="8991"/>
    <cellStyle name="Normal 35 2 2 5 5" xfId="12605"/>
    <cellStyle name="Normal 35 2 2 5 6" xfId="14351"/>
    <cellStyle name="Normal 35 2 2 6" xfId="4537"/>
    <cellStyle name="Normal 35 2 2 6 2" xfId="9989"/>
    <cellStyle name="Normal 35 2 2 7" xfId="5016"/>
    <cellStyle name="Normal 35 2 2 7 2" xfId="10491"/>
    <cellStyle name="Normal 35 2 2 8" xfId="5518"/>
    <cellStyle name="Normal 35 2 2 8 2" xfId="10993"/>
    <cellStyle name="Normal 35 2 2 9" xfId="2553"/>
    <cellStyle name="Normal 35 2 3" xfId="772"/>
    <cellStyle name="Normal 35 2 3 10" xfId="8036"/>
    <cellStyle name="Normal 35 2 3 11" xfId="11646"/>
    <cellStyle name="Normal 35 2 3 12" xfId="13392"/>
    <cellStyle name="Normal 35 2 3 2" xfId="1020"/>
    <cellStyle name="Normal 35 2 3 2 10" xfId="11894"/>
    <cellStyle name="Normal 35 2 3 2 11" xfId="13640"/>
    <cellStyle name="Normal 35 2 3 2 2" xfId="1526"/>
    <cellStyle name="Normal 35 2 3 2 2 2" xfId="4341"/>
    <cellStyle name="Normal 35 2 3 2 2 2 2" xfId="9788"/>
    <cellStyle name="Normal 35 2 3 2 2 3" xfId="3331"/>
    <cellStyle name="Normal 35 2 3 2 2 4" xfId="7266"/>
    <cellStyle name="Normal 35 2 3 2 2 5" xfId="8780"/>
    <cellStyle name="Normal 35 2 3 2 2 6" xfId="12400"/>
    <cellStyle name="Normal 35 2 3 2 2 7" xfId="14146"/>
    <cellStyle name="Normal 35 2 3 2 3" xfId="2034"/>
    <cellStyle name="Normal 35 2 3 2 3 2" xfId="3847"/>
    <cellStyle name="Normal 35 2 3 2 3 3" xfId="7774"/>
    <cellStyle name="Normal 35 2 3 2 3 4" xfId="9292"/>
    <cellStyle name="Normal 35 2 3 2 3 5" xfId="12906"/>
    <cellStyle name="Normal 35 2 3 2 3 6" xfId="14652"/>
    <cellStyle name="Normal 35 2 3 2 4" xfId="4819"/>
    <cellStyle name="Normal 35 2 3 2 4 2" xfId="10290"/>
    <cellStyle name="Normal 35 2 3 2 5" xfId="5317"/>
    <cellStyle name="Normal 35 2 3 2 5 2" xfId="10792"/>
    <cellStyle name="Normal 35 2 3 2 6" xfId="5819"/>
    <cellStyle name="Normal 35 2 3 2 6 2" xfId="11294"/>
    <cellStyle name="Normal 35 2 3 2 7" xfId="2837"/>
    <cellStyle name="Normal 35 2 3 2 8" xfId="6760"/>
    <cellStyle name="Normal 35 2 3 2 9" xfId="8284"/>
    <cellStyle name="Normal 35 2 3 3" xfId="1278"/>
    <cellStyle name="Normal 35 2 3 3 2" xfId="4093"/>
    <cellStyle name="Normal 35 2 3 3 2 2" xfId="9540"/>
    <cellStyle name="Normal 35 2 3 3 3" xfId="3083"/>
    <cellStyle name="Normal 35 2 3 3 4" xfId="7018"/>
    <cellStyle name="Normal 35 2 3 3 5" xfId="8532"/>
    <cellStyle name="Normal 35 2 3 3 6" xfId="12152"/>
    <cellStyle name="Normal 35 2 3 3 7" xfId="13898"/>
    <cellStyle name="Normal 35 2 3 4" xfId="1786"/>
    <cellStyle name="Normal 35 2 3 4 2" xfId="3599"/>
    <cellStyle name="Normal 35 2 3 4 3" xfId="7526"/>
    <cellStyle name="Normal 35 2 3 4 4" xfId="9044"/>
    <cellStyle name="Normal 35 2 3 4 5" xfId="12658"/>
    <cellStyle name="Normal 35 2 3 4 6" xfId="14404"/>
    <cellStyle name="Normal 35 2 3 5" xfId="4585"/>
    <cellStyle name="Normal 35 2 3 5 2" xfId="10042"/>
    <cellStyle name="Normal 35 2 3 6" xfId="5069"/>
    <cellStyle name="Normal 35 2 3 6 2" xfId="10544"/>
    <cellStyle name="Normal 35 2 3 7" xfId="5571"/>
    <cellStyle name="Normal 35 2 3 7 2" xfId="11046"/>
    <cellStyle name="Normal 35 2 3 8" xfId="2601"/>
    <cellStyle name="Normal 35 2 3 9" xfId="6512"/>
    <cellStyle name="Normal 35 2 4" xfId="896"/>
    <cellStyle name="Normal 35 2 4 10" xfId="11770"/>
    <cellStyle name="Normal 35 2 4 11" xfId="13516"/>
    <cellStyle name="Normal 35 2 4 2" xfId="1402"/>
    <cellStyle name="Normal 35 2 4 2 2" xfId="4217"/>
    <cellStyle name="Normal 35 2 4 2 2 2" xfId="9664"/>
    <cellStyle name="Normal 35 2 4 2 3" xfId="3207"/>
    <cellStyle name="Normal 35 2 4 2 4" xfId="7142"/>
    <cellStyle name="Normal 35 2 4 2 5" xfId="8656"/>
    <cellStyle name="Normal 35 2 4 2 6" xfId="12276"/>
    <cellStyle name="Normal 35 2 4 2 7" xfId="14022"/>
    <cellStyle name="Normal 35 2 4 3" xfId="1910"/>
    <cellStyle name="Normal 35 2 4 3 2" xfId="3723"/>
    <cellStyle name="Normal 35 2 4 3 3" xfId="7650"/>
    <cellStyle name="Normal 35 2 4 3 4" xfId="9168"/>
    <cellStyle name="Normal 35 2 4 3 5" xfId="12782"/>
    <cellStyle name="Normal 35 2 4 3 6" xfId="14528"/>
    <cellStyle name="Normal 35 2 4 4" xfId="4701"/>
    <cellStyle name="Normal 35 2 4 4 2" xfId="10166"/>
    <cellStyle name="Normal 35 2 4 5" xfId="5193"/>
    <cellStyle name="Normal 35 2 4 5 2" xfId="10668"/>
    <cellStyle name="Normal 35 2 4 6" xfId="5695"/>
    <cellStyle name="Normal 35 2 4 6 2" xfId="11170"/>
    <cellStyle name="Normal 35 2 4 7" xfId="2719"/>
    <cellStyle name="Normal 35 2 4 8" xfId="6636"/>
    <cellStyle name="Normal 35 2 4 9" xfId="8160"/>
    <cellStyle name="Normal 35 2 5" xfId="1154"/>
    <cellStyle name="Normal 35 2 5 2" xfId="3971"/>
    <cellStyle name="Normal 35 2 5 2 2" xfId="9416"/>
    <cellStyle name="Normal 35 2 5 3" xfId="2961"/>
    <cellStyle name="Normal 35 2 5 4" xfId="6894"/>
    <cellStyle name="Normal 35 2 5 5" xfId="8408"/>
    <cellStyle name="Normal 35 2 5 6" xfId="12028"/>
    <cellStyle name="Normal 35 2 5 7" xfId="13774"/>
    <cellStyle name="Normal 35 2 6" xfId="1662"/>
    <cellStyle name="Normal 35 2 6 2" xfId="3475"/>
    <cellStyle name="Normal 35 2 6 3" xfId="7402"/>
    <cellStyle name="Normal 35 2 6 4" xfId="8920"/>
    <cellStyle name="Normal 35 2 6 5" xfId="12534"/>
    <cellStyle name="Normal 35 2 6 6" xfId="14280"/>
    <cellStyle name="Normal 35 2 7" xfId="4471"/>
    <cellStyle name="Normal 35 2 7 2" xfId="9918"/>
    <cellStyle name="Normal 35 2 8" xfId="4947"/>
    <cellStyle name="Normal 35 2 8 2" xfId="10420"/>
    <cellStyle name="Normal 35 2 9" xfId="5447"/>
    <cellStyle name="Normal 35 2 9 2" xfId="10922"/>
    <cellStyle name="Normal 35 3" xfId="668"/>
    <cellStyle name="Normal 35 3 10" xfId="2507"/>
    <cellStyle name="Normal 35 3 11" xfId="6408"/>
    <cellStyle name="Normal 35 3 12" xfId="7932"/>
    <cellStyle name="Normal 35 3 13" xfId="11542"/>
    <cellStyle name="Normal 35 3 14" xfId="13288"/>
    <cellStyle name="Normal 35 3 2" xfId="720"/>
    <cellStyle name="Normal 35 3 2 10" xfId="6460"/>
    <cellStyle name="Normal 35 3 2 11" xfId="7984"/>
    <cellStyle name="Normal 35 3 2 12" xfId="11594"/>
    <cellStyle name="Normal 35 3 2 13" xfId="13340"/>
    <cellStyle name="Normal 35 3 2 2" xfId="844"/>
    <cellStyle name="Normal 35 3 2 2 10" xfId="8108"/>
    <cellStyle name="Normal 35 3 2 2 11" xfId="11718"/>
    <cellStyle name="Normal 35 3 2 2 12" xfId="13464"/>
    <cellStyle name="Normal 35 3 2 2 2" xfId="1092"/>
    <cellStyle name="Normal 35 3 2 2 2 10" xfId="11966"/>
    <cellStyle name="Normal 35 3 2 2 2 11" xfId="13712"/>
    <cellStyle name="Normal 35 3 2 2 2 2" xfId="1598"/>
    <cellStyle name="Normal 35 3 2 2 2 2 2" xfId="4413"/>
    <cellStyle name="Normal 35 3 2 2 2 2 2 2" xfId="9860"/>
    <cellStyle name="Normal 35 3 2 2 2 2 3" xfId="3403"/>
    <cellStyle name="Normal 35 3 2 2 2 2 4" xfId="7338"/>
    <cellStyle name="Normal 35 3 2 2 2 2 5" xfId="8852"/>
    <cellStyle name="Normal 35 3 2 2 2 2 6" xfId="12472"/>
    <cellStyle name="Normal 35 3 2 2 2 2 7" xfId="14218"/>
    <cellStyle name="Normal 35 3 2 2 2 3" xfId="2106"/>
    <cellStyle name="Normal 35 3 2 2 2 3 2" xfId="3919"/>
    <cellStyle name="Normal 35 3 2 2 2 3 3" xfId="7846"/>
    <cellStyle name="Normal 35 3 2 2 2 3 4" xfId="9364"/>
    <cellStyle name="Normal 35 3 2 2 2 3 5" xfId="12978"/>
    <cellStyle name="Normal 35 3 2 2 2 3 6" xfId="14724"/>
    <cellStyle name="Normal 35 3 2 2 2 4" xfId="4891"/>
    <cellStyle name="Normal 35 3 2 2 2 4 2" xfId="10362"/>
    <cellStyle name="Normal 35 3 2 2 2 5" xfId="5389"/>
    <cellStyle name="Normal 35 3 2 2 2 5 2" xfId="10864"/>
    <cellStyle name="Normal 35 3 2 2 2 6" xfId="5891"/>
    <cellStyle name="Normal 35 3 2 2 2 6 2" xfId="11366"/>
    <cellStyle name="Normal 35 3 2 2 2 7" xfId="2909"/>
    <cellStyle name="Normal 35 3 2 2 2 8" xfId="6832"/>
    <cellStyle name="Normal 35 3 2 2 2 9" xfId="8356"/>
    <cellStyle name="Normal 35 3 2 2 3" xfId="1350"/>
    <cellStyle name="Normal 35 3 2 2 3 2" xfId="4165"/>
    <cellStyle name="Normal 35 3 2 2 3 2 2" xfId="9612"/>
    <cellStyle name="Normal 35 3 2 2 3 3" xfId="3155"/>
    <cellStyle name="Normal 35 3 2 2 3 4" xfId="7090"/>
    <cellStyle name="Normal 35 3 2 2 3 5" xfId="8604"/>
    <cellStyle name="Normal 35 3 2 2 3 6" xfId="12224"/>
    <cellStyle name="Normal 35 3 2 2 3 7" xfId="13970"/>
    <cellStyle name="Normal 35 3 2 2 4" xfId="1858"/>
    <cellStyle name="Normal 35 3 2 2 4 2" xfId="3671"/>
    <cellStyle name="Normal 35 3 2 2 4 3" xfId="7598"/>
    <cellStyle name="Normal 35 3 2 2 4 4" xfId="9116"/>
    <cellStyle name="Normal 35 3 2 2 4 5" xfId="12730"/>
    <cellStyle name="Normal 35 3 2 2 4 6" xfId="14476"/>
    <cellStyle name="Normal 35 3 2 2 5" xfId="4652"/>
    <cellStyle name="Normal 35 3 2 2 5 2" xfId="10114"/>
    <cellStyle name="Normal 35 3 2 2 6" xfId="5141"/>
    <cellStyle name="Normal 35 3 2 2 6 2" xfId="10616"/>
    <cellStyle name="Normal 35 3 2 2 7" xfId="5643"/>
    <cellStyle name="Normal 35 3 2 2 7 2" xfId="11118"/>
    <cellStyle name="Normal 35 3 2 2 8" xfId="2668"/>
    <cellStyle name="Normal 35 3 2 2 9" xfId="6584"/>
    <cellStyle name="Normal 35 3 2 3" xfId="968"/>
    <cellStyle name="Normal 35 3 2 3 10" xfId="11842"/>
    <cellStyle name="Normal 35 3 2 3 11" xfId="13588"/>
    <cellStyle name="Normal 35 3 2 3 2" xfId="1474"/>
    <cellStyle name="Normal 35 3 2 3 2 2" xfId="4289"/>
    <cellStyle name="Normal 35 3 2 3 2 2 2" xfId="9736"/>
    <cellStyle name="Normal 35 3 2 3 2 3" xfId="3279"/>
    <cellStyle name="Normal 35 3 2 3 2 4" xfId="7214"/>
    <cellStyle name="Normal 35 3 2 3 2 5" xfId="8728"/>
    <cellStyle name="Normal 35 3 2 3 2 6" xfId="12348"/>
    <cellStyle name="Normal 35 3 2 3 2 7" xfId="14094"/>
    <cellStyle name="Normal 35 3 2 3 3" xfId="1982"/>
    <cellStyle name="Normal 35 3 2 3 3 2" xfId="3795"/>
    <cellStyle name="Normal 35 3 2 3 3 3" xfId="7722"/>
    <cellStyle name="Normal 35 3 2 3 3 4" xfId="9240"/>
    <cellStyle name="Normal 35 3 2 3 3 5" xfId="12854"/>
    <cellStyle name="Normal 35 3 2 3 3 6" xfId="14600"/>
    <cellStyle name="Normal 35 3 2 3 4" xfId="4768"/>
    <cellStyle name="Normal 35 3 2 3 4 2" xfId="10238"/>
    <cellStyle name="Normal 35 3 2 3 5" xfId="5265"/>
    <cellStyle name="Normal 35 3 2 3 5 2" xfId="10740"/>
    <cellStyle name="Normal 35 3 2 3 6" xfId="5767"/>
    <cellStyle name="Normal 35 3 2 3 6 2" xfId="11242"/>
    <cellStyle name="Normal 35 3 2 3 7" xfId="2786"/>
    <cellStyle name="Normal 35 3 2 3 8" xfId="6708"/>
    <cellStyle name="Normal 35 3 2 3 9" xfId="8232"/>
    <cellStyle name="Normal 35 3 2 4" xfId="1226"/>
    <cellStyle name="Normal 35 3 2 4 2" xfId="4042"/>
    <cellStyle name="Normal 35 3 2 4 2 2" xfId="9488"/>
    <cellStyle name="Normal 35 3 2 4 3" xfId="3032"/>
    <cellStyle name="Normal 35 3 2 4 4" xfId="6966"/>
    <cellStyle name="Normal 35 3 2 4 5" xfId="8480"/>
    <cellStyle name="Normal 35 3 2 4 6" xfId="12100"/>
    <cellStyle name="Normal 35 3 2 4 7" xfId="13846"/>
    <cellStyle name="Normal 35 3 2 5" xfId="1734"/>
    <cellStyle name="Normal 35 3 2 5 2" xfId="3547"/>
    <cellStyle name="Normal 35 3 2 5 3" xfId="7474"/>
    <cellStyle name="Normal 35 3 2 5 4" xfId="8992"/>
    <cellStyle name="Normal 35 3 2 5 5" xfId="12606"/>
    <cellStyle name="Normal 35 3 2 5 6" xfId="14352"/>
    <cellStyle name="Normal 35 3 2 6" xfId="4538"/>
    <cellStyle name="Normal 35 3 2 6 2" xfId="9990"/>
    <cellStyle name="Normal 35 3 2 7" xfId="5017"/>
    <cellStyle name="Normal 35 3 2 7 2" xfId="10492"/>
    <cellStyle name="Normal 35 3 2 8" xfId="5519"/>
    <cellStyle name="Normal 35 3 2 8 2" xfId="10994"/>
    <cellStyle name="Normal 35 3 2 9" xfId="2554"/>
    <cellStyle name="Normal 35 3 3" xfId="792"/>
    <cellStyle name="Normal 35 3 3 10" xfId="8056"/>
    <cellStyle name="Normal 35 3 3 11" xfId="11666"/>
    <cellStyle name="Normal 35 3 3 12" xfId="13412"/>
    <cellStyle name="Normal 35 3 3 2" xfId="1040"/>
    <cellStyle name="Normal 35 3 3 2 10" xfId="11914"/>
    <cellStyle name="Normal 35 3 3 2 11" xfId="13660"/>
    <cellStyle name="Normal 35 3 3 2 2" xfId="1546"/>
    <cellStyle name="Normal 35 3 3 2 2 2" xfId="4361"/>
    <cellStyle name="Normal 35 3 3 2 2 2 2" xfId="9808"/>
    <cellStyle name="Normal 35 3 3 2 2 3" xfId="3351"/>
    <cellStyle name="Normal 35 3 3 2 2 4" xfId="7286"/>
    <cellStyle name="Normal 35 3 3 2 2 5" xfId="8800"/>
    <cellStyle name="Normal 35 3 3 2 2 6" xfId="12420"/>
    <cellStyle name="Normal 35 3 3 2 2 7" xfId="14166"/>
    <cellStyle name="Normal 35 3 3 2 3" xfId="2054"/>
    <cellStyle name="Normal 35 3 3 2 3 2" xfId="3867"/>
    <cellStyle name="Normal 35 3 3 2 3 3" xfId="7794"/>
    <cellStyle name="Normal 35 3 3 2 3 4" xfId="9312"/>
    <cellStyle name="Normal 35 3 3 2 3 5" xfId="12926"/>
    <cellStyle name="Normal 35 3 3 2 3 6" xfId="14672"/>
    <cellStyle name="Normal 35 3 3 2 4" xfId="4839"/>
    <cellStyle name="Normal 35 3 3 2 4 2" xfId="10310"/>
    <cellStyle name="Normal 35 3 3 2 5" xfId="5337"/>
    <cellStyle name="Normal 35 3 3 2 5 2" xfId="10812"/>
    <cellStyle name="Normal 35 3 3 2 6" xfId="5839"/>
    <cellStyle name="Normal 35 3 3 2 6 2" xfId="11314"/>
    <cellStyle name="Normal 35 3 3 2 7" xfId="2857"/>
    <cellStyle name="Normal 35 3 3 2 8" xfId="6780"/>
    <cellStyle name="Normal 35 3 3 2 9" xfId="8304"/>
    <cellStyle name="Normal 35 3 3 3" xfId="1298"/>
    <cellStyle name="Normal 35 3 3 3 2" xfId="4113"/>
    <cellStyle name="Normal 35 3 3 3 2 2" xfId="9560"/>
    <cellStyle name="Normal 35 3 3 3 3" xfId="3103"/>
    <cellStyle name="Normal 35 3 3 3 4" xfId="7038"/>
    <cellStyle name="Normal 35 3 3 3 5" xfId="8552"/>
    <cellStyle name="Normal 35 3 3 3 6" xfId="12172"/>
    <cellStyle name="Normal 35 3 3 3 7" xfId="13918"/>
    <cellStyle name="Normal 35 3 3 4" xfId="1806"/>
    <cellStyle name="Normal 35 3 3 4 2" xfId="3619"/>
    <cellStyle name="Normal 35 3 3 4 3" xfId="7546"/>
    <cellStyle name="Normal 35 3 3 4 4" xfId="9064"/>
    <cellStyle name="Normal 35 3 3 4 5" xfId="12678"/>
    <cellStyle name="Normal 35 3 3 4 6" xfId="14424"/>
    <cellStyle name="Normal 35 3 3 5" xfId="4603"/>
    <cellStyle name="Normal 35 3 3 5 2" xfId="10062"/>
    <cellStyle name="Normal 35 3 3 6" xfId="5089"/>
    <cellStyle name="Normal 35 3 3 6 2" xfId="10564"/>
    <cellStyle name="Normal 35 3 3 7" xfId="5591"/>
    <cellStyle name="Normal 35 3 3 7 2" xfId="11066"/>
    <cellStyle name="Normal 35 3 3 8" xfId="2619"/>
    <cellStyle name="Normal 35 3 3 9" xfId="6532"/>
    <cellStyle name="Normal 35 3 4" xfId="916"/>
    <cellStyle name="Normal 35 3 4 10" xfId="11790"/>
    <cellStyle name="Normal 35 3 4 11" xfId="13536"/>
    <cellStyle name="Normal 35 3 4 2" xfId="1422"/>
    <cellStyle name="Normal 35 3 4 2 2" xfId="4237"/>
    <cellStyle name="Normal 35 3 4 2 2 2" xfId="9684"/>
    <cellStyle name="Normal 35 3 4 2 3" xfId="3227"/>
    <cellStyle name="Normal 35 3 4 2 4" xfId="7162"/>
    <cellStyle name="Normal 35 3 4 2 5" xfId="8676"/>
    <cellStyle name="Normal 35 3 4 2 6" xfId="12296"/>
    <cellStyle name="Normal 35 3 4 2 7" xfId="14042"/>
    <cellStyle name="Normal 35 3 4 3" xfId="1930"/>
    <cellStyle name="Normal 35 3 4 3 2" xfId="3743"/>
    <cellStyle name="Normal 35 3 4 3 3" xfId="7670"/>
    <cellStyle name="Normal 35 3 4 3 4" xfId="9188"/>
    <cellStyle name="Normal 35 3 4 3 5" xfId="12802"/>
    <cellStyle name="Normal 35 3 4 3 6" xfId="14548"/>
    <cellStyle name="Normal 35 3 4 4" xfId="4719"/>
    <cellStyle name="Normal 35 3 4 4 2" xfId="10186"/>
    <cellStyle name="Normal 35 3 4 5" xfId="5213"/>
    <cellStyle name="Normal 35 3 4 5 2" xfId="10688"/>
    <cellStyle name="Normal 35 3 4 6" xfId="5715"/>
    <cellStyle name="Normal 35 3 4 6 2" xfId="11190"/>
    <cellStyle name="Normal 35 3 4 7" xfId="2737"/>
    <cellStyle name="Normal 35 3 4 8" xfId="6656"/>
    <cellStyle name="Normal 35 3 4 9" xfId="8180"/>
    <cellStyle name="Normal 35 3 5" xfId="1174"/>
    <cellStyle name="Normal 35 3 5 2" xfId="3991"/>
    <cellStyle name="Normal 35 3 5 2 2" xfId="9436"/>
    <cellStyle name="Normal 35 3 5 3" xfId="2981"/>
    <cellStyle name="Normal 35 3 5 4" xfId="6914"/>
    <cellStyle name="Normal 35 3 5 5" xfId="8428"/>
    <cellStyle name="Normal 35 3 5 6" xfId="12048"/>
    <cellStyle name="Normal 35 3 5 7" xfId="13794"/>
    <cellStyle name="Normal 35 3 6" xfId="1682"/>
    <cellStyle name="Normal 35 3 6 2" xfId="3495"/>
    <cellStyle name="Normal 35 3 6 3" xfId="7422"/>
    <cellStyle name="Normal 35 3 6 4" xfId="8940"/>
    <cellStyle name="Normal 35 3 6 5" xfId="12554"/>
    <cellStyle name="Normal 35 3 6 6" xfId="14300"/>
    <cellStyle name="Normal 35 3 7" xfId="4491"/>
    <cellStyle name="Normal 35 3 7 2" xfId="9938"/>
    <cellStyle name="Normal 35 3 8" xfId="4965"/>
    <cellStyle name="Normal 35 3 8 2" xfId="10440"/>
    <cellStyle name="Normal 35 3 9" xfId="5467"/>
    <cellStyle name="Normal 35 3 9 2" xfId="10942"/>
    <cellStyle name="Normal 35 4" xfId="718"/>
    <cellStyle name="Normal 35 4 10" xfId="6458"/>
    <cellStyle name="Normal 35 4 11" xfId="7982"/>
    <cellStyle name="Normal 35 4 12" xfId="11592"/>
    <cellStyle name="Normal 35 4 13" xfId="13338"/>
    <cellStyle name="Normal 35 4 2" xfId="842"/>
    <cellStyle name="Normal 35 4 2 10" xfId="8106"/>
    <cellStyle name="Normal 35 4 2 11" xfId="11716"/>
    <cellStyle name="Normal 35 4 2 12" xfId="13462"/>
    <cellStyle name="Normal 35 4 2 2" xfId="1090"/>
    <cellStyle name="Normal 35 4 2 2 10" xfId="11964"/>
    <cellStyle name="Normal 35 4 2 2 11" xfId="13710"/>
    <cellStyle name="Normal 35 4 2 2 2" xfId="1596"/>
    <cellStyle name="Normal 35 4 2 2 2 2" xfId="4411"/>
    <cellStyle name="Normal 35 4 2 2 2 2 2" xfId="9858"/>
    <cellStyle name="Normal 35 4 2 2 2 3" xfId="3401"/>
    <cellStyle name="Normal 35 4 2 2 2 4" xfId="7336"/>
    <cellStyle name="Normal 35 4 2 2 2 5" xfId="8850"/>
    <cellStyle name="Normal 35 4 2 2 2 6" xfId="12470"/>
    <cellStyle name="Normal 35 4 2 2 2 7" xfId="14216"/>
    <cellStyle name="Normal 35 4 2 2 3" xfId="2104"/>
    <cellStyle name="Normal 35 4 2 2 3 2" xfId="3917"/>
    <cellStyle name="Normal 35 4 2 2 3 3" xfId="7844"/>
    <cellStyle name="Normal 35 4 2 2 3 4" xfId="9362"/>
    <cellStyle name="Normal 35 4 2 2 3 5" xfId="12976"/>
    <cellStyle name="Normal 35 4 2 2 3 6" xfId="14722"/>
    <cellStyle name="Normal 35 4 2 2 4" xfId="4889"/>
    <cellStyle name="Normal 35 4 2 2 4 2" xfId="10360"/>
    <cellStyle name="Normal 35 4 2 2 5" xfId="5387"/>
    <cellStyle name="Normal 35 4 2 2 5 2" xfId="10862"/>
    <cellStyle name="Normal 35 4 2 2 6" xfId="5889"/>
    <cellStyle name="Normal 35 4 2 2 6 2" xfId="11364"/>
    <cellStyle name="Normal 35 4 2 2 7" xfId="2907"/>
    <cellStyle name="Normal 35 4 2 2 8" xfId="6830"/>
    <cellStyle name="Normal 35 4 2 2 9" xfId="8354"/>
    <cellStyle name="Normal 35 4 2 3" xfId="1348"/>
    <cellStyle name="Normal 35 4 2 3 2" xfId="4163"/>
    <cellStyle name="Normal 35 4 2 3 2 2" xfId="9610"/>
    <cellStyle name="Normal 35 4 2 3 3" xfId="3153"/>
    <cellStyle name="Normal 35 4 2 3 4" xfId="7088"/>
    <cellStyle name="Normal 35 4 2 3 5" xfId="8602"/>
    <cellStyle name="Normal 35 4 2 3 6" xfId="12222"/>
    <cellStyle name="Normal 35 4 2 3 7" xfId="13968"/>
    <cellStyle name="Normal 35 4 2 4" xfId="1856"/>
    <cellStyle name="Normal 35 4 2 4 2" xfId="3669"/>
    <cellStyle name="Normal 35 4 2 4 3" xfId="7596"/>
    <cellStyle name="Normal 35 4 2 4 4" xfId="9114"/>
    <cellStyle name="Normal 35 4 2 4 5" xfId="12728"/>
    <cellStyle name="Normal 35 4 2 4 6" xfId="14474"/>
    <cellStyle name="Normal 35 4 2 5" xfId="4650"/>
    <cellStyle name="Normal 35 4 2 5 2" xfId="10112"/>
    <cellStyle name="Normal 35 4 2 6" xfId="5139"/>
    <cellStyle name="Normal 35 4 2 6 2" xfId="10614"/>
    <cellStyle name="Normal 35 4 2 7" xfId="5641"/>
    <cellStyle name="Normal 35 4 2 7 2" xfId="11116"/>
    <cellStyle name="Normal 35 4 2 8" xfId="2666"/>
    <cellStyle name="Normal 35 4 2 9" xfId="6582"/>
    <cellStyle name="Normal 35 4 3" xfId="966"/>
    <cellStyle name="Normal 35 4 3 10" xfId="11840"/>
    <cellStyle name="Normal 35 4 3 11" xfId="13586"/>
    <cellStyle name="Normal 35 4 3 2" xfId="1472"/>
    <cellStyle name="Normal 35 4 3 2 2" xfId="4287"/>
    <cellStyle name="Normal 35 4 3 2 2 2" xfId="9734"/>
    <cellStyle name="Normal 35 4 3 2 3" xfId="3277"/>
    <cellStyle name="Normal 35 4 3 2 4" xfId="7212"/>
    <cellStyle name="Normal 35 4 3 2 5" xfId="8726"/>
    <cellStyle name="Normal 35 4 3 2 6" xfId="12346"/>
    <cellStyle name="Normal 35 4 3 2 7" xfId="14092"/>
    <cellStyle name="Normal 35 4 3 3" xfId="1980"/>
    <cellStyle name="Normal 35 4 3 3 2" xfId="3793"/>
    <cellStyle name="Normal 35 4 3 3 3" xfId="7720"/>
    <cellStyle name="Normal 35 4 3 3 4" xfId="9238"/>
    <cellStyle name="Normal 35 4 3 3 5" xfId="12852"/>
    <cellStyle name="Normal 35 4 3 3 6" xfId="14598"/>
    <cellStyle name="Normal 35 4 3 4" xfId="4766"/>
    <cellStyle name="Normal 35 4 3 4 2" xfId="10236"/>
    <cellStyle name="Normal 35 4 3 5" xfId="5263"/>
    <cellStyle name="Normal 35 4 3 5 2" xfId="10738"/>
    <cellStyle name="Normal 35 4 3 6" xfId="5765"/>
    <cellStyle name="Normal 35 4 3 6 2" xfId="11240"/>
    <cellStyle name="Normal 35 4 3 7" xfId="2784"/>
    <cellStyle name="Normal 35 4 3 8" xfId="6706"/>
    <cellStyle name="Normal 35 4 3 9" xfId="8230"/>
    <cellStyle name="Normal 35 4 4" xfId="1224"/>
    <cellStyle name="Normal 35 4 4 2" xfId="4040"/>
    <cellStyle name="Normal 35 4 4 2 2" xfId="9486"/>
    <cellStyle name="Normal 35 4 4 3" xfId="3030"/>
    <cellStyle name="Normal 35 4 4 4" xfId="6964"/>
    <cellStyle name="Normal 35 4 4 5" xfId="8478"/>
    <cellStyle name="Normal 35 4 4 6" xfId="12098"/>
    <cellStyle name="Normal 35 4 4 7" xfId="13844"/>
    <cellStyle name="Normal 35 4 5" xfId="1732"/>
    <cellStyle name="Normal 35 4 5 2" xfId="3545"/>
    <cellStyle name="Normal 35 4 5 3" xfId="7472"/>
    <cellStyle name="Normal 35 4 5 4" xfId="8990"/>
    <cellStyle name="Normal 35 4 5 5" xfId="12604"/>
    <cellStyle name="Normal 35 4 5 6" xfId="14350"/>
    <cellStyle name="Normal 35 4 6" xfId="4536"/>
    <cellStyle name="Normal 35 4 6 2" xfId="9988"/>
    <cellStyle name="Normal 35 4 7" xfId="5015"/>
    <cellStyle name="Normal 35 4 7 2" xfId="10490"/>
    <cellStyle name="Normal 35 4 8" xfId="5517"/>
    <cellStyle name="Normal 35 4 8 2" xfId="10992"/>
    <cellStyle name="Normal 35 4 9" xfId="2552"/>
    <cellStyle name="Normal 35 5" xfId="750"/>
    <cellStyle name="Normal 35 5 10" xfId="8014"/>
    <cellStyle name="Normal 35 5 11" xfId="11624"/>
    <cellStyle name="Normal 35 5 12" xfId="13370"/>
    <cellStyle name="Normal 35 5 2" xfId="998"/>
    <cellStyle name="Normal 35 5 2 10" xfId="11872"/>
    <cellStyle name="Normal 35 5 2 11" xfId="13618"/>
    <cellStyle name="Normal 35 5 2 2" xfId="1504"/>
    <cellStyle name="Normal 35 5 2 2 2" xfId="4319"/>
    <cellStyle name="Normal 35 5 2 2 2 2" xfId="9766"/>
    <cellStyle name="Normal 35 5 2 2 3" xfId="3309"/>
    <cellStyle name="Normal 35 5 2 2 4" xfId="7244"/>
    <cellStyle name="Normal 35 5 2 2 5" xfId="8758"/>
    <cellStyle name="Normal 35 5 2 2 6" xfId="12378"/>
    <cellStyle name="Normal 35 5 2 2 7" xfId="14124"/>
    <cellStyle name="Normal 35 5 2 3" xfId="2012"/>
    <cellStyle name="Normal 35 5 2 3 2" xfId="3825"/>
    <cellStyle name="Normal 35 5 2 3 3" xfId="7752"/>
    <cellStyle name="Normal 35 5 2 3 4" xfId="9270"/>
    <cellStyle name="Normal 35 5 2 3 5" xfId="12884"/>
    <cellStyle name="Normal 35 5 2 3 6" xfId="14630"/>
    <cellStyle name="Normal 35 5 2 4" xfId="4797"/>
    <cellStyle name="Normal 35 5 2 4 2" xfId="10268"/>
    <cellStyle name="Normal 35 5 2 5" xfId="5295"/>
    <cellStyle name="Normal 35 5 2 5 2" xfId="10770"/>
    <cellStyle name="Normal 35 5 2 6" xfId="5797"/>
    <cellStyle name="Normal 35 5 2 6 2" xfId="11272"/>
    <cellStyle name="Normal 35 5 2 7" xfId="2815"/>
    <cellStyle name="Normal 35 5 2 8" xfId="6738"/>
    <cellStyle name="Normal 35 5 2 9" xfId="8262"/>
    <cellStyle name="Normal 35 5 3" xfId="1256"/>
    <cellStyle name="Normal 35 5 3 2" xfId="4071"/>
    <cellStyle name="Normal 35 5 3 2 2" xfId="9518"/>
    <cellStyle name="Normal 35 5 3 3" xfId="3061"/>
    <cellStyle name="Normal 35 5 3 4" xfId="6996"/>
    <cellStyle name="Normal 35 5 3 5" xfId="8510"/>
    <cellStyle name="Normal 35 5 3 6" xfId="12130"/>
    <cellStyle name="Normal 35 5 3 7" xfId="13876"/>
    <cellStyle name="Normal 35 5 4" xfId="1764"/>
    <cellStyle name="Normal 35 5 4 2" xfId="3577"/>
    <cellStyle name="Normal 35 5 4 3" xfId="7504"/>
    <cellStyle name="Normal 35 5 4 4" xfId="9022"/>
    <cellStyle name="Normal 35 5 4 5" xfId="12636"/>
    <cellStyle name="Normal 35 5 4 6" xfId="14382"/>
    <cellStyle name="Normal 35 5 5" xfId="4565"/>
    <cellStyle name="Normal 35 5 5 2" xfId="10020"/>
    <cellStyle name="Normal 35 5 6" xfId="5047"/>
    <cellStyle name="Normal 35 5 6 2" xfId="10522"/>
    <cellStyle name="Normal 35 5 7" xfId="5549"/>
    <cellStyle name="Normal 35 5 7 2" xfId="11024"/>
    <cellStyle name="Normal 35 5 8" xfId="2581"/>
    <cellStyle name="Normal 35 5 9" xfId="6490"/>
    <cellStyle name="Normal 35 6" xfId="874"/>
    <cellStyle name="Normal 35 6 10" xfId="11748"/>
    <cellStyle name="Normal 35 6 11" xfId="13494"/>
    <cellStyle name="Normal 35 6 2" xfId="1380"/>
    <cellStyle name="Normal 35 6 2 2" xfId="4195"/>
    <cellStyle name="Normal 35 6 2 2 2" xfId="9642"/>
    <cellStyle name="Normal 35 6 2 3" xfId="3185"/>
    <cellStyle name="Normal 35 6 2 4" xfId="7120"/>
    <cellStyle name="Normal 35 6 2 5" xfId="8634"/>
    <cellStyle name="Normal 35 6 2 6" xfId="12254"/>
    <cellStyle name="Normal 35 6 2 7" xfId="14000"/>
    <cellStyle name="Normal 35 6 3" xfId="1888"/>
    <cellStyle name="Normal 35 6 3 2" xfId="3701"/>
    <cellStyle name="Normal 35 6 3 3" xfId="7628"/>
    <cellStyle name="Normal 35 6 3 4" xfId="9146"/>
    <cellStyle name="Normal 35 6 3 5" xfId="12760"/>
    <cellStyle name="Normal 35 6 3 6" xfId="14506"/>
    <cellStyle name="Normal 35 6 4" xfId="4681"/>
    <cellStyle name="Normal 35 6 4 2" xfId="10144"/>
    <cellStyle name="Normal 35 6 5" xfId="5171"/>
    <cellStyle name="Normal 35 6 5 2" xfId="10646"/>
    <cellStyle name="Normal 35 6 6" xfId="5673"/>
    <cellStyle name="Normal 35 6 6 2" xfId="11148"/>
    <cellStyle name="Normal 35 6 7" xfId="2697"/>
    <cellStyle name="Normal 35 6 8" xfId="6614"/>
    <cellStyle name="Normal 35 6 9" xfId="8138"/>
    <cellStyle name="Normal 35 7" xfId="1132"/>
    <cellStyle name="Normal 35 7 2" xfId="3949"/>
    <cellStyle name="Normal 35 7 2 2" xfId="9394"/>
    <cellStyle name="Normal 35 7 3" xfId="2939"/>
    <cellStyle name="Normal 35 7 4" xfId="6872"/>
    <cellStyle name="Normal 35 7 5" xfId="8386"/>
    <cellStyle name="Normal 35 7 6" xfId="12006"/>
    <cellStyle name="Normal 35 7 7" xfId="13752"/>
    <cellStyle name="Normal 35 8" xfId="1639"/>
    <cellStyle name="Normal 35 8 2" xfId="3453"/>
    <cellStyle name="Normal 35 8 3" xfId="7379"/>
    <cellStyle name="Normal 35 8 4" xfId="8898"/>
    <cellStyle name="Normal 35 8 5" xfId="12512"/>
    <cellStyle name="Normal 35 8 6" xfId="14258"/>
    <cellStyle name="Normal 35 9" xfId="4449"/>
    <cellStyle name="Normal 35 9 2" xfId="9896"/>
    <cellStyle name="Normal 36" xfId="198"/>
    <cellStyle name="Normal 36 2" xfId="4443"/>
    <cellStyle name="Normal 36 2 2" xfId="9890"/>
    <cellStyle name="Normal 36 3" xfId="4921"/>
    <cellStyle name="Normal 36 3 2" xfId="10392"/>
    <cellStyle name="Normal 36 4" xfId="5419"/>
    <cellStyle name="Normal 36 4 2" xfId="10894"/>
    <cellStyle name="Normal 36 5" xfId="5921"/>
    <cellStyle name="Normal 36 5 2" xfId="11396"/>
    <cellStyle name="Normal 36 6" xfId="3433"/>
    <cellStyle name="Normal 36 7" xfId="6267"/>
    <cellStyle name="Normal 36 8" xfId="8882"/>
    <cellStyle name="Normal 37" xfId="1624"/>
    <cellStyle name="Normal 37 2" xfId="4444"/>
    <cellStyle name="Normal 37 2 2" xfId="9891"/>
    <cellStyle name="Normal 37 3" xfId="4922"/>
    <cellStyle name="Normal 37 3 2" xfId="10393"/>
    <cellStyle name="Normal 37 4" xfId="5420"/>
    <cellStyle name="Normal 37 4 2" xfId="10895"/>
    <cellStyle name="Normal 37 5" xfId="5922"/>
    <cellStyle name="Normal 37 5 2" xfId="11397"/>
    <cellStyle name="Normal 37 6" xfId="3434"/>
    <cellStyle name="Normal 37 7" xfId="7364"/>
    <cellStyle name="Normal 37 8" xfId="8883"/>
    <cellStyle name="Normal 38" xfId="1641"/>
    <cellStyle name="Normal 38 2" xfId="5923"/>
    <cellStyle name="Normal 38 3" xfId="7381"/>
    <cellStyle name="Normal 38 4" xfId="11398"/>
    <cellStyle name="Normal 39" xfId="2132"/>
    <cellStyle name="Normal 39 2" xfId="7872"/>
    <cellStyle name="Normal 4" xfId="117"/>
    <cellStyle name="Normal 4 10" xfId="6037"/>
    <cellStyle name="Normal 4 11" xfId="7876"/>
    <cellStyle name="Normal 4 12" xfId="13017"/>
    <cellStyle name="Normal 4 2" xfId="118"/>
    <cellStyle name="Normal 4 2 2" xfId="618"/>
    <cellStyle name="Normal 4 3" xfId="119"/>
    <cellStyle name="Normal 4 3 10" xfId="13021"/>
    <cellStyle name="Normal 4 3 2" xfId="645"/>
    <cellStyle name="Normal 4 3 2 2" xfId="2352"/>
    <cellStyle name="Normal 4 3 2 2 2" xfId="6120"/>
    <cellStyle name="Normal 4 3 2 2 3" xfId="11451"/>
    <cellStyle name="Normal 4 3 2 2 4" xfId="13100"/>
    <cellStyle name="Normal 4 3 2 3" xfId="2403"/>
    <cellStyle name="Normal 4 3 2 3 2" xfId="6171"/>
    <cellStyle name="Normal 4 3 2 3 3" xfId="13151"/>
    <cellStyle name="Normal 4 3 2 4" xfId="2459"/>
    <cellStyle name="Normal 4 3 2 4 2" xfId="6227"/>
    <cellStyle name="Normal 4 3 2 4 3" xfId="13207"/>
    <cellStyle name="Normal 4 3 2 5" xfId="2300"/>
    <cellStyle name="Normal 4 3 2 5 2" xfId="6387"/>
    <cellStyle name="Normal 4 3 2 6" xfId="6069"/>
    <cellStyle name="Normal 4 3 2 7" xfId="13049"/>
    <cellStyle name="Normal 4 3 3" xfId="203"/>
    <cellStyle name="Normal 4 3 3 2" xfId="2311"/>
    <cellStyle name="Normal 4 3 3 2 2" xfId="6272"/>
    <cellStyle name="Normal 4 3 3 2 3" xfId="13236"/>
    <cellStyle name="Normal 4 3 3 3" xfId="6080"/>
    <cellStyle name="Normal 4 3 3 4" xfId="8888"/>
    <cellStyle name="Normal 4 3 3 5" xfId="11490"/>
    <cellStyle name="Normal 4 3 3 6" xfId="13060"/>
    <cellStyle name="Normal 4 3 4" xfId="1122"/>
    <cellStyle name="Normal 4 3 4 2" xfId="2363"/>
    <cellStyle name="Normal 4 3 4 2 2" xfId="6862"/>
    <cellStyle name="Normal 4 3 4 2 3" xfId="13742"/>
    <cellStyle name="Normal 4 3 4 3" xfId="6131"/>
    <cellStyle name="Normal 4 3 4 4" xfId="11421"/>
    <cellStyle name="Normal 4 3 4 5" xfId="11996"/>
    <cellStyle name="Normal 4 3 4 6" xfId="13111"/>
    <cellStyle name="Normal 4 3 5" xfId="1629"/>
    <cellStyle name="Normal 4 3 5 2" xfId="2431"/>
    <cellStyle name="Normal 4 3 5 2 2" xfId="7369"/>
    <cellStyle name="Normal 4 3 5 2 3" xfId="14248"/>
    <cellStyle name="Normal 4 3 5 3" xfId="6199"/>
    <cellStyle name="Normal 4 3 5 4" xfId="12502"/>
    <cellStyle name="Normal 4 3 5 5" xfId="13179"/>
    <cellStyle name="Normal 4 3 6" xfId="2182"/>
    <cellStyle name="Normal 4 3 6 2" xfId="6247"/>
    <cellStyle name="Normal 4 3 6 3" xfId="13221"/>
    <cellStyle name="Normal 4 3 7" xfId="6041"/>
    <cellStyle name="Normal 4 3 8" xfId="7880"/>
    <cellStyle name="Normal 4 3 9" xfId="11475"/>
    <cellStyle name="Normal 4 4" xfId="120"/>
    <cellStyle name="Normal 4 4 2" xfId="216"/>
    <cellStyle name="Normal 4 4 2 2" xfId="2348"/>
    <cellStyle name="Normal 4 4 2 2 2" xfId="6279"/>
    <cellStyle name="Normal 4 4 2 3" xfId="6116"/>
    <cellStyle name="Normal 4 4 2 4" xfId="11447"/>
    <cellStyle name="Normal 4 4 2 5" xfId="13096"/>
    <cellStyle name="Normal 4 4 3" xfId="2399"/>
    <cellStyle name="Normal 4 4 3 2" xfId="6167"/>
    <cellStyle name="Normal 4 4 3 3" xfId="13147"/>
    <cellStyle name="Normal 4 4 4" xfId="2455"/>
    <cellStyle name="Normal 4 4 4 2" xfId="6223"/>
    <cellStyle name="Normal 4 4 4 3" xfId="13203"/>
    <cellStyle name="Normal 4 4 5" xfId="2255"/>
    <cellStyle name="Normal 4 4 5 2" xfId="6248"/>
    <cellStyle name="Normal 4 4 5 3" xfId="13222"/>
    <cellStyle name="Normal 4 4 6" xfId="6065"/>
    <cellStyle name="Normal 4 4 7" xfId="11476"/>
    <cellStyle name="Normal 4 4 8" xfId="13045"/>
    <cellStyle name="Normal 4 5" xfId="508"/>
    <cellStyle name="Normal 4 5 2" xfId="2307"/>
    <cellStyle name="Normal 4 5 2 2" xfId="6345"/>
    <cellStyle name="Normal 4 5 3" xfId="6076"/>
    <cellStyle name="Normal 4 5 4" xfId="13056"/>
    <cellStyle name="Normal 4 6" xfId="199"/>
    <cellStyle name="Normal 4 6 2" xfId="2359"/>
    <cellStyle name="Normal 4 6 2 2" xfId="6268"/>
    <cellStyle name="Normal 4 6 2 3" xfId="13232"/>
    <cellStyle name="Normal 4 6 3" xfId="6127"/>
    <cellStyle name="Normal 4 6 4" xfId="8884"/>
    <cellStyle name="Normal 4 6 5" xfId="11486"/>
    <cellStyle name="Normal 4 6 6" xfId="13107"/>
    <cellStyle name="Normal 4 7" xfId="1118"/>
    <cellStyle name="Normal 4 7 2" xfId="2427"/>
    <cellStyle name="Normal 4 7 2 2" xfId="6858"/>
    <cellStyle name="Normal 4 7 2 3" xfId="13738"/>
    <cellStyle name="Normal 4 7 3" xfId="6195"/>
    <cellStyle name="Normal 4 7 4" xfId="11416"/>
    <cellStyle name="Normal 4 7 5" xfId="11992"/>
    <cellStyle name="Normal 4 7 6" xfId="13175"/>
    <cellStyle name="Normal 4 8" xfId="1625"/>
    <cellStyle name="Normal 4 8 2" xfId="7365"/>
    <cellStyle name="Normal 4 8 3" xfId="12498"/>
    <cellStyle name="Normal 4 8 4" xfId="14244"/>
    <cellStyle name="Normal 4 9" xfId="2177"/>
    <cellStyle name="Normal 4 9 2" xfId="6246"/>
    <cellStyle name="Normal 40" xfId="2133"/>
    <cellStyle name="Normal 40 2" xfId="7873"/>
    <cellStyle name="Normal 41" xfId="2134"/>
    <cellStyle name="Normal 41 2" xfId="7874"/>
    <cellStyle name="Normal 42" xfId="2175"/>
    <cellStyle name="Normal 42 2" xfId="6234"/>
    <cellStyle name="Normal 43" xfId="2176"/>
    <cellStyle name="Normal 44" xfId="2187"/>
    <cellStyle name="Normal 45" xfId="6022"/>
    <cellStyle name="Normal 46" xfId="7875"/>
    <cellStyle name="Normal 47" xfId="13004"/>
    <cellStyle name="Normal 5" xfId="121"/>
    <cellStyle name="Normal 5 2" xfId="122"/>
    <cellStyle name="Normal 5 2 2" xfId="619"/>
    <cellStyle name="Normal 5 3" xfId="123"/>
    <cellStyle name="Normal 5 3 2" xfId="646"/>
    <cellStyle name="Normal 5 3 3" xfId="217"/>
    <cellStyle name="Normal 5 4" xfId="509"/>
    <cellStyle name="Normal 5 5" xfId="6249"/>
    <cellStyle name="Normal 6" xfId="124"/>
    <cellStyle name="Normal 6 10" xfId="635"/>
    <cellStyle name="Normal 6 10 10" xfId="2484"/>
    <cellStyle name="Normal 6 10 11" xfId="6380"/>
    <cellStyle name="Normal 6 10 12" xfId="7907"/>
    <cellStyle name="Normal 6 10 13" xfId="11517"/>
    <cellStyle name="Normal 6 10 14" xfId="13263"/>
    <cellStyle name="Normal 6 10 2" xfId="721"/>
    <cellStyle name="Normal 6 10 2 10" xfId="6461"/>
    <cellStyle name="Normal 6 10 2 11" xfId="7985"/>
    <cellStyle name="Normal 6 10 2 12" xfId="11595"/>
    <cellStyle name="Normal 6 10 2 13" xfId="13341"/>
    <cellStyle name="Normal 6 10 2 2" xfId="845"/>
    <cellStyle name="Normal 6 10 2 2 10" xfId="8109"/>
    <cellStyle name="Normal 6 10 2 2 11" xfId="11719"/>
    <cellStyle name="Normal 6 10 2 2 12" xfId="13465"/>
    <cellStyle name="Normal 6 10 2 2 2" xfId="1093"/>
    <cellStyle name="Normal 6 10 2 2 2 10" xfId="11967"/>
    <cellStyle name="Normal 6 10 2 2 2 11" xfId="13713"/>
    <cellStyle name="Normal 6 10 2 2 2 2" xfId="1599"/>
    <cellStyle name="Normal 6 10 2 2 2 2 2" xfId="4414"/>
    <cellStyle name="Normal 6 10 2 2 2 2 2 2" xfId="9861"/>
    <cellStyle name="Normal 6 10 2 2 2 2 3" xfId="3404"/>
    <cellStyle name="Normal 6 10 2 2 2 2 4" xfId="7339"/>
    <cellStyle name="Normal 6 10 2 2 2 2 5" xfId="8853"/>
    <cellStyle name="Normal 6 10 2 2 2 2 6" xfId="12473"/>
    <cellStyle name="Normal 6 10 2 2 2 2 7" xfId="14219"/>
    <cellStyle name="Normal 6 10 2 2 2 3" xfId="2107"/>
    <cellStyle name="Normal 6 10 2 2 2 3 2" xfId="3920"/>
    <cellStyle name="Normal 6 10 2 2 2 3 3" xfId="7847"/>
    <cellStyle name="Normal 6 10 2 2 2 3 4" xfId="9365"/>
    <cellStyle name="Normal 6 10 2 2 2 3 5" xfId="12979"/>
    <cellStyle name="Normal 6 10 2 2 2 3 6" xfId="14725"/>
    <cellStyle name="Normal 6 10 2 2 2 4" xfId="4892"/>
    <cellStyle name="Normal 6 10 2 2 2 4 2" xfId="10363"/>
    <cellStyle name="Normal 6 10 2 2 2 5" xfId="5390"/>
    <cellStyle name="Normal 6 10 2 2 2 5 2" xfId="10865"/>
    <cellStyle name="Normal 6 10 2 2 2 6" xfId="5892"/>
    <cellStyle name="Normal 6 10 2 2 2 6 2" xfId="11367"/>
    <cellStyle name="Normal 6 10 2 2 2 7" xfId="2910"/>
    <cellStyle name="Normal 6 10 2 2 2 8" xfId="6833"/>
    <cellStyle name="Normal 6 10 2 2 2 9" xfId="8357"/>
    <cellStyle name="Normal 6 10 2 2 3" xfId="1351"/>
    <cellStyle name="Normal 6 10 2 2 3 2" xfId="4166"/>
    <cellStyle name="Normal 6 10 2 2 3 2 2" xfId="9613"/>
    <cellStyle name="Normal 6 10 2 2 3 3" xfId="3156"/>
    <cellStyle name="Normal 6 10 2 2 3 4" xfId="7091"/>
    <cellStyle name="Normal 6 10 2 2 3 5" xfId="8605"/>
    <cellStyle name="Normal 6 10 2 2 3 6" xfId="12225"/>
    <cellStyle name="Normal 6 10 2 2 3 7" xfId="13971"/>
    <cellStyle name="Normal 6 10 2 2 4" xfId="1859"/>
    <cellStyle name="Normal 6 10 2 2 4 2" xfId="3672"/>
    <cellStyle name="Normal 6 10 2 2 4 3" xfId="7599"/>
    <cellStyle name="Normal 6 10 2 2 4 4" xfId="9117"/>
    <cellStyle name="Normal 6 10 2 2 4 5" xfId="12731"/>
    <cellStyle name="Normal 6 10 2 2 4 6" xfId="14477"/>
    <cellStyle name="Normal 6 10 2 2 5" xfId="4653"/>
    <cellStyle name="Normal 6 10 2 2 5 2" xfId="10115"/>
    <cellStyle name="Normal 6 10 2 2 6" xfId="5142"/>
    <cellStyle name="Normal 6 10 2 2 6 2" xfId="10617"/>
    <cellStyle name="Normal 6 10 2 2 7" xfId="5644"/>
    <cellStyle name="Normal 6 10 2 2 7 2" xfId="11119"/>
    <cellStyle name="Normal 6 10 2 2 8" xfId="2669"/>
    <cellStyle name="Normal 6 10 2 2 9" xfId="6585"/>
    <cellStyle name="Normal 6 10 2 3" xfId="969"/>
    <cellStyle name="Normal 6 10 2 3 10" xfId="11843"/>
    <cellStyle name="Normal 6 10 2 3 11" xfId="13589"/>
    <cellStyle name="Normal 6 10 2 3 2" xfId="1475"/>
    <cellStyle name="Normal 6 10 2 3 2 2" xfId="4290"/>
    <cellStyle name="Normal 6 10 2 3 2 2 2" xfId="9737"/>
    <cellStyle name="Normal 6 10 2 3 2 3" xfId="3280"/>
    <cellStyle name="Normal 6 10 2 3 2 4" xfId="7215"/>
    <cellStyle name="Normal 6 10 2 3 2 5" xfId="8729"/>
    <cellStyle name="Normal 6 10 2 3 2 6" xfId="12349"/>
    <cellStyle name="Normal 6 10 2 3 2 7" xfId="14095"/>
    <cellStyle name="Normal 6 10 2 3 3" xfId="1983"/>
    <cellStyle name="Normal 6 10 2 3 3 2" xfId="3796"/>
    <cellStyle name="Normal 6 10 2 3 3 3" xfId="7723"/>
    <cellStyle name="Normal 6 10 2 3 3 4" xfId="9241"/>
    <cellStyle name="Normal 6 10 2 3 3 5" xfId="12855"/>
    <cellStyle name="Normal 6 10 2 3 3 6" xfId="14601"/>
    <cellStyle name="Normal 6 10 2 3 4" xfId="4769"/>
    <cellStyle name="Normal 6 10 2 3 4 2" xfId="10239"/>
    <cellStyle name="Normal 6 10 2 3 5" xfId="5266"/>
    <cellStyle name="Normal 6 10 2 3 5 2" xfId="10741"/>
    <cellStyle name="Normal 6 10 2 3 6" xfId="5768"/>
    <cellStyle name="Normal 6 10 2 3 6 2" xfId="11243"/>
    <cellStyle name="Normal 6 10 2 3 7" xfId="2787"/>
    <cellStyle name="Normal 6 10 2 3 8" xfId="6709"/>
    <cellStyle name="Normal 6 10 2 3 9" xfId="8233"/>
    <cellStyle name="Normal 6 10 2 4" xfId="1227"/>
    <cellStyle name="Normal 6 10 2 4 2" xfId="4043"/>
    <cellStyle name="Normal 6 10 2 4 2 2" xfId="9489"/>
    <cellStyle name="Normal 6 10 2 4 3" xfId="3033"/>
    <cellStyle name="Normal 6 10 2 4 4" xfId="6967"/>
    <cellStyle name="Normal 6 10 2 4 5" xfId="8481"/>
    <cellStyle name="Normal 6 10 2 4 6" xfId="12101"/>
    <cellStyle name="Normal 6 10 2 4 7" xfId="13847"/>
    <cellStyle name="Normal 6 10 2 5" xfId="1735"/>
    <cellStyle name="Normal 6 10 2 5 2" xfId="3548"/>
    <cellStyle name="Normal 6 10 2 5 3" xfId="7475"/>
    <cellStyle name="Normal 6 10 2 5 4" xfId="8993"/>
    <cellStyle name="Normal 6 10 2 5 5" xfId="12607"/>
    <cellStyle name="Normal 6 10 2 5 6" xfId="14353"/>
    <cellStyle name="Normal 6 10 2 6" xfId="4539"/>
    <cellStyle name="Normal 6 10 2 6 2" xfId="9991"/>
    <cellStyle name="Normal 6 10 2 7" xfId="5018"/>
    <cellStyle name="Normal 6 10 2 7 2" xfId="10493"/>
    <cellStyle name="Normal 6 10 2 8" xfId="5520"/>
    <cellStyle name="Normal 6 10 2 8 2" xfId="10995"/>
    <cellStyle name="Normal 6 10 2 9" xfId="2555"/>
    <cellStyle name="Normal 6 10 3" xfId="767"/>
    <cellStyle name="Normal 6 10 3 10" xfId="8031"/>
    <cellStyle name="Normal 6 10 3 11" xfId="11641"/>
    <cellStyle name="Normal 6 10 3 12" xfId="13387"/>
    <cellStyle name="Normal 6 10 3 2" xfId="1015"/>
    <cellStyle name="Normal 6 10 3 2 10" xfId="11889"/>
    <cellStyle name="Normal 6 10 3 2 11" xfId="13635"/>
    <cellStyle name="Normal 6 10 3 2 2" xfId="1521"/>
    <cellStyle name="Normal 6 10 3 2 2 2" xfId="4336"/>
    <cellStyle name="Normal 6 10 3 2 2 2 2" xfId="9783"/>
    <cellStyle name="Normal 6 10 3 2 2 3" xfId="3326"/>
    <cellStyle name="Normal 6 10 3 2 2 4" xfId="7261"/>
    <cellStyle name="Normal 6 10 3 2 2 5" xfId="8775"/>
    <cellStyle name="Normal 6 10 3 2 2 6" xfId="12395"/>
    <cellStyle name="Normal 6 10 3 2 2 7" xfId="14141"/>
    <cellStyle name="Normal 6 10 3 2 3" xfId="2029"/>
    <cellStyle name="Normal 6 10 3 2 3 2" xfId="3842"/>
    <cellStyle name="Normal 6 10 3 2 3 3" xfId="7769"/>
    <cellStyle name="Normal 6 10 3 2 3 4" xfId="9287"/>
    <cellStyle name="Normal 6 10 3 2 3 5" xfId="12901"/>
    <cellStyle name="Normal 6 10 3 2 3 6" xfId="14647"/>
    <cellStyle name="Normal 6 10 3 2 4" xfId="4814"/>
    <cellStyle name="Normal 6 10 3 2 4 2" xfId="10285"/>
    <cellStyle name="Normal 6 10 3 2 5" xfId="5312"/>
    <cellStyle name="Normal 6 10 3 2 5 2" xfId="10787"/>
    <cellStyle name="Normal 6 10 3 2 6" xfId="5814"/>
    <cellStyle name="Normal 6 10 3 2 6 2" xfId="11289"/>
    <cellStyle name="Normal 6 10 3 2 7" xfId="2832"/>
    <cellStyle name="Normal 6 10 3 2 8" xfId="6755"/>
    <cellStyle name="Normal 6 10 3 2 9" xfId="8279"/>
    <cellStyle name="Normal 6 10 3 3" xfId="1273"/>
    <cellStyle name="Normal 6 10 3 3 2" xfId="4088"/>
    <cellStyle name="Normal 6 10 3 3 2 2" xfId="9535"/>
    <cellStyle name="Normal 6 10 3 3 3" xfId="3078"/>
    <cellStyle name="Normal 6 10 3 3 4" xfId="7013"/>
    <cellStyle name="Normal 6 10 3 3 5" xfId="8527"/>
    <cellStyle name="Normal 6 10 3 3 6" xfId="12147"/>
    <cellStyle name="Normal 6 10 3 3 7" xfId="13893"/>
    <cellStyle name="Normal 6 10 3 4" xfId="1781"/>
    <cellStyle name="Normal 6 10 3 4 2" xfId="3594"/>
    <cellStyle name="Normal 6 10 3 4 3" xfId="7521"/>
    <cellStyle name="Normal 6 10 3 4 4" xfId="9039"/>
    <cellStyle name="Normal 6 10 3 4 5" xfId="12653"/>
    <cellStyle name="Normal 6 10 3 4 6" xfId="14399"/>
    <cellStyle name="Normal 6 10 3 5" xfId="4580"/>
    <cellStyle name="Normal 6 10 3 5 2" xfId="10037"/>
    <cellStyle name="Normal 6 10 3 6" xfId="5064"/>
    <cellStyle name="Normal 6 10 3 6 2" xfId="10539"/>
    <cellStyle name="Normal 6 10 3 7" xfId="5566"/>
    <cellStyle name="Normal 6 10 3 7 2" xfId="11041"/>
    <cellStyle name="Normal 6 10 3 8" xfId="2596"/>
    <cellStyle name="Normal 6 10 3 9" xfId="6507"/>
    <cellStyle name="Normal 6 10 4" xfId="891"/>
    <cellStyle name="Normal 6 10 4 10" xfId="11765"/>
    <cellStyle name="Normal 6 10 4 11" xfId="13511"/>
    <cellStyle name="Normal 6 10 4 2" xfId="1397"/>
    <cellStyle name="Normal 6 10 4 2 2" xfId="4212"/>
    <cellStyle name="Normal 6 10 4 2 2 2" xfId="9659"/>
    <cellStyle name="Normal 6 10 4 2 3" xfId="3202"/>
    <cellStyle name="Normal 6 10 4 2 4" xfId="7137"/>
    <cellStyle name="Normal 6 10 4 2 5" xfId="8651"/>
    <cellStyle name="Normal 6 10 4 2 6" xfId="12271"/>
    <cellStyle name="Normal 6 10 4 2 7" xfId="14017"/>
    <cellStyle name="Normal 6 10 4 3" xfId="1905"/>
    <cellStyle name="Normal 6 10 4 3 2" xfId="3718"/>
    <cellStyle name="Normal 6 10 4 3 3" xfId="7645"/>
    <cellStyle name="Normal 6 10 4 3 4" xfId="9163"/>
    <cellStyle name="Normal 6 10 4 3 5" xfId="12777"/>
    <cellStyle name="Normal 6 10 4 3 6" xfId="14523"/>
    <cellStyle name="Normal 6 10 4 4" xfId="4696"/>
    <cellStyle name="Normal 6 10 4 4 2" xfId="10161"/>
    <cellStyle name="Normal 6 10 4 5" xfId="5188"/>
    <cellStyle name="Normal 6 10 4 5 2" xfId="10663"/>
    <cellStyle name="Normal 6 10 4 6" xfId="5690"/>
    <cellStyle name="Normal 6 10 4 6 2" xfId="11165"/>
    <cellStyle name="Normal 6 10 4 7" xfId="2714"/>
    <cellStyle name="Normal 6 10 4 8" xfId="6631"/>
    <cellStyle name="Normal 6 10 4 9" xfId="8155"/>
    <cellStyle name="Normal 6 10 5" xfId="1149"/>
    <cellStyle name="Normal 6 10 5 2" xfId="3966"/>
    <cellStyle name="Normal 6 10 5 2 2" xfId="9411"/>
    <cellStyle name="Normal 6 10 5 3" xfId="2956"/>
    <cellStyle name="Normal 6 10 5 4" xfId="6889"/>
    <cellStyle name="Normal 6 10 5 5" xfId="8403"/>
    <cellStyle name="Normal 6 10 5 6" xfId="12023"/>
    <cellStyle name="Normal 6 10 5 7" xfId="13769"/>
    <cellStyle name="Normal 6 10 6" xfId="1657"/>
    <cellStyle name="Normal 6 10 6 2" xfId="3470"/>
    <cellStyle name="Normal 6 10 6 3" xfId="7397"/>
    <cellStyle name="Normal 6 10 6 4" xfId="8915"/>
    <cellStyle name="Normal 6 10 6 5" xfId="12529"/>
    <cellStyle name="Normal 6 10 6 6" xfId="14275"/>
    <cellStyle name="Normal 6 10 7" xfId="4466"/>
    <cellStyle name="Normal 6 10 7 2" xfId="9913"/>
    <cellStyle name="Normal 6 10 8" xfId="4942"/>
    <cellStyle name="Normal 6 10 8 2" xfId="10415"/>
    <cellStyle name="Normal 6 10 9" xfId="5442"/>
    <cellStyle name="Normal 6 10 9 2" xfId="10917"/>
    <cellStyle name="Normal 6 11" xfId="510"/>
    <cellStyle name="Normal 6 11 2" xfId="3430"/>
    <cellStyle name="Normal 6 11 2 2" xfId="4440"/>
    <cellStyle name="Normal 6 11 2 2 2" xfId="9887"/>
    <cellStyle name="Normal 6 11 2 3" xfId="8879"/>
    <cellStyle name="Normal 6 11 3" xfId="4918"/>
    <cellStyle name="Normal 6 11 3 2" xfId="10389"/>
    <cellStyle name="Normal 6 11 4" xfId="5416"/>
    <cellStyle name="Normal 6 11 4 2" xfId="10891"/>
    <cellStyle name="Normal 6 11 5" xfId="5918"/>
    <cellStyle name="Normal 6 11 5 2" xfId="11393"/>
    <cellStyle name="Normal 6 12" xfId="6250"/>
    <cellStyle name="Normal 6 2" xfId="125"/>
    <cellStyle name="Normal 6 2 10" xfId="1628"/>
    <cellStyle name="Normal 6 2 10 2" xfId="4452"/>
    <cellStyle name="Normal 6 2 10 3" xfId="7368"/>
    <cellStyle name="Normal 6 2 10 4" xfId="9899"/>
    <cellStyle name="Normal 6 2 10 5" xfId="12501"/>
    <cellStyle name="Normal 6 2 10 6" xfId="14247"/>
    <cellStyle name="Normal 6 2 11" xfId="2181"/>
    <cellStyle name="Normal 6 2 11 2" xfId="6251"/>
    <cellStyle name="Normal 6 2 11 3" xfId="10401"/>
    <cellStyle name="Normal 6 2 11 4" xfId="13223"/>
    <cellStyle name="Normal 6 2 12" xfId="5428"/>
    <cellStyle name="Normal 6 2 12 2" xfId="10903"/>
    <cellStyle name="Normal 6 2 13" xfId="5996"/>
    <cellStyle name="Normal 6 2 13 2" xfId="11419"/>
    <cellStyle name="Normal 6 2 14" xfId="6040"/>
    <cellStyle name="Normal 6 2 15" xfId="7879"/>
    <cellStyle name="Normal 6 2 16" xfId="11477"/>
    <cellStyle name="Normal 6 2 17" xfId="13020"/>
    <cellStyle name="Normal 6 2 2" xfId="126"/>
    <cellStyle name="Normal 6 2 2 10" xfId="5450"/>
    <cellStyle name="Normal 6 2 2 10 2" xfId="10925"/>
    <cellStyle name="Normal 6 2 2 11" xfId="5999"/>
    <cellStyle name="Normal 6 2 2 11 2" xfId="11424"/>
    <cellStyle name="Normal 6 2 2 12" xfId="6044"/>
    <cellStyle name="Normal 6 2 2 13" xfId="7883"/>
    <cellStyle name="Normal 6 2 2 14" xfId="11478"/>
    <cellStyle name="Normal 6 2 2 15" xfId="13024"/>
    <cellStyle name="Normal 6 2 2 2" xfId="723"/>
    <cellStyle name="Normal 6 2 2 2 10" xfId="6072"/>
    <cellStyle name="Normal 6 2 2 2 11" xfId="7987"/>
    <cellStyle name="Normal 6 2 2 2 12" xfId="11597"/>
    <cellStyle name="Normal 6 2 2 2 13" xfId="13052"/>
    <cellStyle name="Normal 6 2 2 2 2" xfId="847"/>
    <cellStyle name="Normal 6 2 2 2 2 10" xfId="11721"/>
    <cellStyle name="Normal 6 2 2 2 2 11" xfId="13103"/>
    <cellStyle name="Normal 6 2 2 2 2 2" xfId="1095"/>
    <cellStyle name="Normal 6 2 2 2 2 2 10" xfId="11969"/>
    <cellStyle name="Normal 6 2 2 2 2 2 11" xfId="13715"/>
    <cellStyle name="Normal 6 2 2 2 2 2 2" xfId="1601"/>
    <cellStyle name="Normal 6 2 2 2 2 2 2 2" xfId="4416"/>
    <cellStyle name="Normal 6 2 2 2 2 2 2 2 2" xfId="9863"/>
    <cellStyle name="Normal 6 2 2 2 2 2 2 3" xfId="3406"/>
    <cellStyle name="Normal 6 2 2 2 2 2 2 4" xfId="7341"/>
    <cellStyle name="Normal 6 2 2 2 2 2 2 5" xfId="8855"/>
    <cellStyle name="Normal 6 2 2 2 2 2 2 6" xfId="12475"/>
    <cellStyle name="Normal 6 2 2 2 2 2 2 7" xfId="14221"/>
    <cellStyle name="Normal 6 2 2 2 2 2 3" xfId="2109"/>
    <cellStyle name="Normal 6 2 2 2 2 2 3 2" xfId="3922"/>
    <cellStyle name="Normal 6 2 2 2 2 2 3 3" xfId="7849"/>
    <cellStyle name="Normal 6 2 2 2 2 2 3 4" xfId="9367"/>
    <cellStyle name="Normal 6 2 2 2 2 2 3 5" xfId="12981"/>
    <cellStyle name="Normal 6 2 2 2 2 2 3 6" xfId="14727"/>
    <cellStyle name="Normal 6 2 2 2 2 2 4" xfId="4894"/>
    <cellStyle name="Normal 6 2 2 2 2 2 4 2" xfId="10365"/>
    <cellStyle name="Normal 6 2 2 2 2 2 5" xfId="5392"/>
    <cellStyle name="Normal 6 2 2 2 2 2 5 2" xfId="10867"/>
    <cellStyle name="Normal 6 2 2 2 2 2 6" xfId="5894"/>
    <cellStyle name="Normal 6 2 2 2 2 2 6 2" xfId="11369"/>
    <cellStyle name="Normal 6 2 2 2 2 2 7" xfId="2912"/>
    <cellStyle name="Normal 6 2 2 2 2 2 8" xfId="6835"/>
    <cellStyle name="Normal 6 2 2 2 2 2 9" xfId="8359"/>
    <cellStyle name="Normal 6 2 2 2 2 3" xfId="1353"/>
    <cellStyle name="Normal 6 2 2 2 2 3 2" xfId="4168"/>
    <cellStyle name="Normal 6 2 2 2 2 3 2 2" xfId="9615"/>
    <cellStyle name="Normal 6 2 2 2 2 3 3" xfId="3158"/>
    <cellStyle name="Normal 6 2 2 2 2 3 4" xfId="7093"/>
    <cellStyle name="Normal 6 2 2 2 2 3 5" xfId="8607"/>
    <cellStyle name="Normal 6 2 2 2 2 3 6" xfId="12227"/>
    <cellStyle name="Normal 6 2 2 2 2 3 7" xfId="13973"/>
    <cellStyle name="Normal 6 2 2 2 2 4" xfId="1861"/>
    <cellStyle name="Normal 6 2 2 2 2 4 2" xfId="3674"/>
    <cellStyle name="Normal 6 2 2 2 2 4 3" xfId="7601"/>
    <cellStyle name="Normal 6 2 2 2 2 4 4" xfId="9119"/>
    <cellStyle name="Normal 6 2 2 2 2 4 5" xfId="12733"/>
    <cellStyle name="Normal 6 2 2 2 2 4 6" xfId="14479"/>
    <cellStyle name="Normal 6 2 2 2 2 5" xfId="2355"/>
    <cellStyle name="Normal 6 2 2 2 2 5 2" xfId="6587"/>
    <cellStyle name="Normal 6 2 2 2 2 5 3" xfId="10117"/>
    <cellStyle name="Normal 6 2 2 2 2 5 4" xfId="13467"/>
    <cellStyle name="Normal 6 2 2 2 2 6" xfId="5144"/>
    <cellStyle name="Normal 6 2 2 2 2 6 2" xfId="10619"/>
    <cellStyle name="Normal 6 2 2 2 2 7" xfId="5646"/>
    <cellStyle name="Normal 6 2 2 2 2 7 2" xfId="11121"/>
    <cellStyle name="Normal 6 2 2 2 2 8" xfId="6123"/>
    <cellStyle name="Normal 6 2 2 2 2 9" xfId="8111"/>
    <cellStyle name="Normal 6 2 2 2 3" xfId="971"/>
    <cellStyle name="Normal 6 2 2 2 3 10" xfId="13154"/>
    <cellStyle name="Normal 6 2 2 2 3 2" xfId="1477"/>
    <cellStyle name="Normal 6 2 2 2 3 2 2" xfId="4292"/>
    <cellStyle name="Normal 6 2 2 2 3 2 2 2" xfId="9739"/>
    <cellStyle name="Normal 6 2 2 2 3 2 3" xfId="3282"/>
    <cellStyle name="Normal 6 2 2 2 3 2 4" xfId="7217"/>
    <cellStyle name="Normal 6 2 2 2 3 2 5" xfId="8731"/>
    <cellStyle name="Normal 6 2 2 2 3 2 6" xfId="12351"/>
    <cellStyle name="Normal 6 2 2 2 3 2 7" xfId="14097"/>
    <cellStyle name="Normal 6 2 2 2 3 3" xfId="1985"/>
    <cellStyle name="Normal 6 2 2 2 3 3 2" xfId="3798"/>
    <cellStyle name="Normal 6 2 2 2 3 3 3" xfId="7725"/>
    <cellStyle name="Normal 6 2 2 2 3 3 4" xfId="9243"/>
    <cellStyle name="Normal 6 2 2 2 3 3 5" xfId="12857"/>
    <cellStyle name="Normal 6 2 2 2 3 3 6" xfId="14603"/>
    <cellStyle name="Normal 6 2 2 2 3 4" xfId="2406"/>
    <cellStyle name="Normal 6 2 2 2 3 4 2" xfId="6711"/>
    <cellStyle name="Normal 6 2 2 2 3 4 3" xfId="10241"/>
    <cellStyle name="Normal 6 2 2 2 3 4 4" xfId="13591"/>
    <cellStyle name="Normal 6 2 2 2 3 5" xfId="5268"/>
    <cellStyle name="Normal 6 2 2 2 3 5 2" xfId="10743"/>
    <cellStyle name="Normal 6 2 2 2 3 6" xfId="5770"/>
    <cellStyle name="Normal 6 2 2 2 3 6 2" xfId="11245"/>
    <cellStyle name="Normal 6 2 2 2 3 7" xfId="6174"/>
    <cellStyle name="Normal 6 2 2 2 3 8" xfId="8235"/>
    <cellStyle name="Normal 6 2 2 2 3 9" xfId="11845"/>
    <cellStyle name="Normal 6 2 2 2 4" xfId="1229"/>
    <cellStyle name="Normal 6 2 2 2 4 2" xfId="2462"/>
    <cellStyle name="Normal 6 2 2 2 4 2 2" xfId="6969"/>
    <cellStyle name="Normal 6 2 2 2 4 2 3" xfId="9491"/>
    <cellStyle name="Normal 6 2 2 2 4 2 4" xfId="13849"/>
    <cellStyle name="Normal 6 2 2 2 4 3" xfId="6230"/>
    <cellStyle name="Normal 6 2 2 2 4 4" xfId="8483"/>
    <cellStyle name="Normal 6 2 2 2 4 5" xfId="12103"/>
    <cellStyle name="Normal 6 2 2 2 4 6" xfId="13210"/>
    <cellStyle name="Normal 6 2 2 2 5" xfId="1737"/>
    <cellStyle name="Normal 6 2 2 2 5 2" xfId="3550"/>
    <cellStyle name="Normal 6 2 2 2 5 3" xfId="7477"/>
    <cellStyle name="Normal 6 2 2 2 5 4" xfId="8995"/>
    <cellStyle name="Normal 6 2 2 2 5 5" xfId="12609"/>
    <cellStyle name="Normal 6 2 2 2 5 6" xfId="14355"/>
    <cellStyle name="Normal 6 2 2 2 6" xfId="2303"/>
    <cellStyle name="Normal 6 2 2 2 6 2" xfId="6463"/>
    <cellStyle name="Normal 6 2 2 2 6 3" xfId="9993"/>
    <cellStyle name="Normal 6 2 2 2 6 4" xfId="13343"/>
    <cellStyle name="Normal 6 2 2 2 7" xfId="5020"/>
    <cellStyle name="Normal 6 2 2 2 7 2" xfId="10495"/>
    <cellStyle name="Normal 6 2 2 2 8" xfId="5522"/>
    <cellStyle name="Normal 6 2 2 2 8 2" xfId="10997"/>
    <cellStyle name="Normal 6 2 2 2 9" xfId="6011"/>
    <cellStyle name="Normal 6 2 2 2 9 2" xfId="11454"/>
    <cellStyle name="Normal 6 2 2 3" xfId="775"/>
    <cellStyle name="Normal 6 2 2 3 10" xfId="11649"/>
    <cellStyle name="Normal 6 2 2 3 11" xfId="13063"/>
    <cellStyle name="Normal 6 2 2 3 2" xfId="1023"/>
    <cellStyle name="Normal 6 2 2 3 2 10" xfId="11897"/>
    <cellStyle name="Normal 6 2 2 3 2 11" xfId="13643"/>
    <cellStyle name="Normal 6 2 2 3 2 2" xfId="1529"/>
    <cellStyle name="Normal 6 2 2 3 2 2 2" xfId="4344"/>
    <cellStyle name="Normal 6 2 2 3 2 2 2 2" xfId="9791"/>
    <cellStyle name="Normal 6 2 2 3 2 2 3" xfId="3334"/>
    <cellStyle name="Normal 6 2 2 3 2 2 4" xfId="7269"/>
    <cellStyle name="Normal 6 2 2 3 2 2 5" xfId="8783"/>
    <cellStyle name="Normal 6 2 2 3 2 2 6" xfId="12403"/>
    <cellStyle name="Normal 6 2 2 3 2 2 7" xfId="14149"/>
    <cellStyle name="Normal 6 2 2 3 2 3" xfId="2037"/>
    <cellStyle name="Normal 6 2 2 3 2 3 2" xfId="3850"/>
    <cellStyle name="Normal 6 2 2 3 2 3 3" xfId="7777"/>
    <cellStyle name="Normal 6 2 2 3 2 3 4" xfId="9295"/>
    <cellStyle name="Normal 6 2 2 3 2 3 5" xfId="12909"/>
    <cellStyle name="Normal 6 2 2 3 2 3 6" xfId="14655"/>
    <cellStyle name="Normal 6 2 2 3 2 4" xfId="4822"/>
    <cellStyle name="Normal 6 2 2 3 2 4 2" xfId="10293"/>
    <cellStyle name="Normal 6 2 2 3 2 5" xfId="5320"/>
    <cellStyle name="Normal 6 2 2 3 2 5 2" xfId="10795"/>
    <cellStyle name="Normal 6 2 2 3 2 6" xfId="5822"/>
    <cellStyle name="Normal 6 2 2 3 2 6 2" xfId="11297"/>
    <cellStyle name="Normal 6 2 2 3 2 7" xfId="2840"/>
    <cellStyle name="Normal 6 2 2 3 2 8" xfId="6763"/>
    <cellStyle name="Normal 6 2 2 3 2 9" xfId="8287"/>
    <cellStyle name="Normal 6 2 2 3 3" xfId="1281"/>
    <cellStyle name="Normal 6 2 2 3 3 2" xfId="4096"/>
    <cellStyle name="Normal 6 2 2 3 3 2 2" xfId="9543"/>
    <cellStyle name="Normal 6 2 2 3 3 3" xfId="3086"/>
    <cellStyle name="Normal 6 2 2 3 3 4" xfId="7021"/>
    <cellStyle name="Normal 6 2 2 3 3 5" xfId="8535"/>
    <cellStyle name="Normal 6 2 2 3 3 6" xfId="12155"/>
    <cellStyle name="Normal 6 2 2 3 3 7" xfId="13901"/>
    <cellStyle name="Normal 6 2 2 3 4" xfId="1789"/>
    <cellStyle name="Normal 6 2 2 3 4 2" xfId="3602"/>
    <cellStyle name="Normal 6 2 2 3 4 3" xfId="7529"/>
    <cellStyle name="Normal 6 2 2 3 4 4" xfId="9047"/>
    <cellStyle name="Normal 6 2 2 3 4 5" xfId="12661"/>
    <cellStyle name="Normal 6 2 2 3 4 6" xfId="14407"/>
    <cellStyle name="Normal 6 2 2 3 5" xfId="2314"/>
    <cellStyle name="Normal 6 2 2 3 5 2" xfId="6515"/>
    <cellStyle name="Normal 6 2 2 3 5 3" xfId="10045"/>
    <cellStyle name="Normal 6 2 2 3 5 4" xfId="13395"/>
    <cellStyle name="Normal 6 2 2 3 6" xfId="5072"/>
    <cellStyle name="Normal 6 2 2 3 6 2" xfId="10547"/>
    <cellStyle name="Normal 6 2 2 3 7" xfId="5574"/>
    <cellStyle name="Normal 6 2 2 3 7 2" xfId="11049"/>
    <cellStyle name="Normal 6 2 2 3 8" xfId="6083"/>
    <cellStyle name="Normal 6 2 2 3 9" xfId="8039"/>
    <cellStyle name="Normal 6 2 2 4" xfId="651"/>
    <cellStyle name="Normal 6 2 2 4 10" xfId="13114"/>
    <cellStyle name="Normal 6 2 2 4 2" xfId="1157"/>
    <cellStyle name="Normal 6 2 2 4 2 2" xfId="4220"/>
    <cellStyle name="Normal 6 2 2 4 2 2 2" xfId="9667"/>
    <cellStyle name="Normal 6 2 2 4 2 3" xfId="3210"/>
    <cellStyle name="Normal 6 2 2 4 2 4" xfId="6897"/>
    <cellStyle name="Normal 6 2 2 4 2 5" xfId="8659"/>
    <cellStyle name="Normal 6 2 2 4 2 6" xfId="12031"/>
    <cellStyle name="Normal 6 2 2 4 2 7" xfId="13777"/>
    <cellStyle name="Normal 6 2 2 4 3" xfId="1665"/>
    <cellStyle name="Normal 6 2 2 4 3 2" xfId="3478"/>
    <cellStyle name="Normal 6 2 2 4 3 3" xfId="7405"/>
    <cellStyle name="Normal 6 2 2 4 3 4" xfId="8923"/>
    <cellStyle name="Normal 6 2 2 4 3 5" xfId="12537"/>
    <cellStyle name="Normal 6 2 2 4 3 6" xfId="14283"/>
    <cellStyle name="Normal 6 2 2 4 4" xfId="2366"/>
    <cellStyle name="Normal 6 2 2 4 4 2" xfId="6391"/>
    <cellStyle name="Normal 6 2 2 4 4 3" xfId="10169"/>
    <cellStyle name="Normal 6 2 2 4 4 4" xfId="13271"/>
    <cellStyle name="Normal 6 2 2 4 5" xfId="5196"/>
    <cellStyle name="Normal 6 2 2 4 5 2" xfId="10671"/>
    <cellStyle name="Normal 6 2 2 4 6" xfId="5698"/>
    <cellStyle name="Normal 6 2 2 4 6 2" xfId="11173"/>
    <cellStyle name="Normal 6 2 2 4 7" xfId="6134"/>
    <cellStyle name="Normal 6 2 2 4 8" xfId="7915"/>
    <cellStyle name="Normal 6 2 2 4 9" xfId="11525"/>
    <cellStyle name="Normal 6 2 2 5" xfId="899"/>
    <cellStyle name="Normal 6 2 2 5 2" xfId="1405"/>
    <cellStyle name="Normal 6 2 2 5 2 2" xfId="3726"/>
    <cellStyle name="Normal 6 2 2 5 2 3" xfId="7145"/>
    <cellStyle name="Normal 6 2 2 5 2 4" xfId="9171"/>
    <cellStyle name="Normal 6 2 2 5 2 5" xfId="12279"/>
    <cellStyle name="Normal 6 2 2 5 2 6" xfId="14025"/>
    <cellStyle name="Normal 6 2 2 5 3" xfId="1913"/>
    <cellStyle name="Normal 6 2 2 5 3 2" xfId="7653"/>
    <cellStyle name="Normal 6 2 2 5 3 3" xfId="12785"/>
    <cellStyle name="Normal 6 2 2 5 3 4" xfId="14531"/>
    <cellStyle name="Normal 6 2 2 5 4" xfId="2434"/>
    <cellStyle name="Normal 6 2 2 5 4 2" xfId="6639"/>
    <cellStyle name="Normal 6 2 2 5 4 3" xfId="13519"/>
    <cellStyle name="Normal 6 2 2 5 5" xfId="6202"/>
    <cellStyle name="Normal 6 2 2 5 6" xfId="8163"/>
    <cellStyle name="Normal 6 2 2 5 7" xfId="11773"/>
    <cellStyle name="Normal 6 2 2 5 8" xfId="13182"/>
    <cellStyle name="Normal 6 2 2 6" xfId="206"/>
    <cellStyle name="Normal 6 2 2 6 2" xfId="3974"/>
    <cellStyle name="Normal 6 2 2 6 2 2" xfId="9419"/>
    <cellStyle name="Normal 6 2 2 6 3" xfId="2964"/>
    <cellStyle name="Normal 6 2 2 6 4" xfId="6275"/>
    <cellStyle name="Normal 6 2 2 6 5" xfId="8411"/>
    <cellStyle name="Normal 6 2 2 6 6" xfId="11493"/>
    <cellStyle name="Normal 6 2 2 6 7" xfId="13239"/>
    <cellStyle name="Normal 6 2 2 7" xfId="1125"/>
    <cellStyle name="Normal 6 2 2 7 2" xfId="3446"/>
    <cellStyle name="Normal 6 2 2 7 3" xfId="6865"/>
    <cellStyle name="Normal 6 2 2 7 4" xfId="8891"/>
    <cellStyle name="Normal 6 2 2 7 5" xfId="11999"/>
    <cellStyle name="Normal 6 2 2 7 6" xfId="13745"/>
    <cellStyle name="Normal 6 2 2 8" xfId="1632"/>
    <cellStyle name="Normal 6 2 2 8 2" xfId="4474"/>
    <cellStyle name="Normal 6 2 2 8 3" xfId="7372"/>
    <cellStyle name="Normal 6 2 2 8 4" xfId="9921"/>
    <cellStyle name="Normal 6 2 2 8 5" xfId="12505"/>
    <cellStyle name="Normal 6 2 2 8 6" xfId="14251"/>
    <cellStyle name="Normal 6 2 2 9" xfId="2185"/>
    <cellStyle name="Normal 6 2 2 9 2" xfId="6252"/>
    <cellStyle name="Normal 6 2 2 9 3" xfId="10423"/>
    <cellStyle name="Normal 6 2 2 9 4" xfId="13224"/>
    <cellStyle name="Normal 6 2 3" xfId="671"/>
    <cellStyle name="Normal 6 2 3 10" xfId="6008"/>
    <cellStyle name="Normal 6 2 3 10 2" xfId="11450"/>
    <cellStyle name="Normal 6 2 3 11" xfId="6068"/>
    <cellStyle name="Normal 6 2 3 12" xfId="7935"/>
    <cellStyle name="Normal 6 2 3 13" xfId="11545"/>
    <cellStyle name="Normal 6 2 3 14" xfId="13048"/>
    <cellStyle name="Normal 6 2 3 2" xfId="724"/>
    <cellStyle name="Normal 6 2 3 2 10" xfId="7988"/>
    <cellStyle name="Normal 6 2 3 2 11" xfId="11598"/>
    <cellStyle name="Normal 6 2 3 2 12" xfId="13099"/>
    <cellStyle name="Normal 6 2 3 2 2" xfId="848"/>
    <cellStyle name="Normal 6 2 3 2 2 10" xfId="8112"/>
    <cellStyle name="Normal 6 2 3 2 2 11" xfId="11722"/>
    <cellStyle name="Normal 6 2 3 2 2 12" xfId="13468"/>
    <cellStyle name="Normal 6 2 3 2 2 2" xfId="1096"/>
    <cellStyle name="Normal 6 2 3 2 2 2 10" xfId="11970"/>
    <cellStyle name="Normal 6 2 3 2 2 2 11" xfId="13716"/>
    <cellStyle name="Normal 6 2 3 2 2 2 2" xfId="1602"/>
    <cellStyle name="Normal 6 2 3 2 2 2 2 2" xfId="4417"/>
    <cellStyle name="Normal 6 2 3 2 2 2 2 2 2" xfId="9864"/>
    <cellStyle name="Normal 6 2 3 2 2 2 2 3" xfId="3407"/>
    <cellStyle name="Normal 6 2 3 2 2 2 2 4" xfId="7342"/>
    <cellStyle name="Normal 6 2 3 2 2 2 2 5" xfId="8856"/>
    <cellStyle name="Normal 6 2 3 2 2 2 2 6" xfId="12476"/>
    <cellStyle name="Normal 6 2 3 2 2 2 2 7" xfId="14222"/>
    <cellStyle name="Normal 6 2 3 2 2 2 3" xfId="2110"/>
    <cellStyle name="Normal 6 2 3 2 2 2 3 2" xfId="3923"/>
    <cellStyle name="Normal 6 2 3 2 2 2 3 3" xfId="7850"/>
    <cellStyle name="Normal 6 2 3 2 2 2 3 4" xfId="9368"/>
    <cellStyle name="Normal 6 2 3 2 2 2 3 5" xfId="12982"/>
    <cellStyle name="Normal 6 2 3 2 2 2 3 6" xfId="14728"/>
    <cellStyle name="Normal 6 2 3 2 2 2 4" xfId="4895"/>
    <cellStyle name="Normal 6 2 3 2 2 2 4 2" xfId="10366"/>
    <cellStyle name="Normal 6 2 3 2 2 2 5" xfId="5393"/>
    <cellStyle name="Normal 6 2 3 2 2 2 5 2" xfId="10868"/>
    <cellStyle name="Normal 6 2 3 2 2 2 6" xfId="5895"/>
    <cellStyle name="Normal 6 2 3 2 2 2 6 2" xfId="11370"/>
    <cellStyle name="Normal 6 2 3 2 2 2 7" xfId="2913"/>
    <cellStyle name="Normal 6 2 3 2 2 2 8" xfId="6836"/>
    <cellStyle name="Normal 6 2 3 2 2 2 9" xfId="8360"/>
    <cellStyle name="Normal 6 2 3 2 2 3" xfId="1354"/>
    <cellStyle name="Normal 6 2 3 2 2 3 2" xfId="4169"/>
    <cellStyle name="Normal 6 2 3 2 2 3 2 2" xfId="9616"/>
    <cellStyle name="Normal 6 2 3 2 2 3 3" xfId="3159"/>
    <cellStyle name="Normal 6 2 3 2 2 3 4" xfId="7094"/>
    <cellStyle name="Normal 6 2 3 2 2 3 5" xfId="8608"/>
    <cellStyle name="Normal 6 2 3 2 2 3 6" xfId="12228"/>
    <cellStyle name="Normal 6 2 3 2 2 3 7" xfId="13974"/>
    <cellStyle name="Normal 6 2 3 2 2 4" xfId="1862"/>
    <cellStyle name="Normal 6 2 3 2 2 4 2" xfId="3675"/>
    <cellStyle name="Normal 6 2 3 2 2 4 3" xfId="7602"/>
    <cellStyle name="Normal 6 2 3 2 2 4 4" xfId="9120"/>
    <cellStyle name="Normal 6 2 3 2 2 4 5" xfId="12734"/>
    <cellStyle name="Normal 6 2 3 2 2 4 6" xfId="14480"/>
    <cellStyle name="Normal 6 2 3 2 2 5" xfId="4655"/>
    <cellStyle name="Normal 6 2 3 2 2 5 2" xfId="10118"/>
    <cellStyle name="Normal 6 2 3 2 2 6" xfId="5145"/>
    <cellStyle name="Normal 6 2 3 2 2 6 2" xfId="10620"/>
    <cellStyle name="Normal 6 2 3 2 2 7" xfId="5647"/>
    <cellStyle name="Normal 6 2 3 2 2 7 2" xfId="11122"/>
    <cellStyle name="Normal 6 2 3 2 2 8" xfId="2671"/>
    <cellStyle name="Normal 6 2 3 2 2 9" xfId="6588"/>
    <cellStyle name="Normal 6 2 3 2 3" xfId="972"/>
    <cellStyle name="Normal 6 2 3 2 3 10" xfId="11846"/>
    <cellStyle name="Normal 6 2 3 2 3 11" xfId="13592"/>
    <cellStyle name="Normal 6 2 3 2 3 2" xfId="1478"/>
    <cellStyle name="Normal 6 2 3 2 3 2 2" xfId="4293"/>
    <cellStyle name="Normal 6 2 3 2 3 2 2 2" xfId="9740"/>
    <cellStyle name="Normal 6 2 3 2 3 2 3" xfId="3283"/>
    <cellStyle name="Normal 6 2 3 2 3 2 4" xfId="7218"/>
    <cellStyle name="Normal 6 2 3 2 3 2 5" xfId="8732"/>
    <cellStyle name="Normal 6 2 3 2 3 2 6" xfId="12352"/>
    <cellStyle name="Normal 6 2 3 2 3 2 7" xfId="14098"/>
    <cellStyle name="Normal 6 2 3 2 3 3" xfId="1986"/>
    <cellStyle name="Normal 6 2 3 2 3 3 2" xfId="3799"/>
    <cellStyle name="Normal 6 2 3 2 3 3 3" xfId="7726"/>
    <cellStyle name="Normal 6 2 3 2 3 3 4" xfId="9244"/>
    <cellStyle name="Normal 6 2 3 2 3 3 5" xfId="12858"/>
    <cellStyle name="Normal 6 2 3 2 3 3 6" xfId="14604"/>
    <cellStyle name="Normal 6 2 3 2 3 4" xfId="4771"/>
    <cellStyle name="Normal 6 2 3 2 3 4 2" xfId="10242"/>
    <cellStyle name="Normal 6 2 3 2 3 5" xfId="5269"/>
    <cellStyle name="Normal 6 2 3 2 3 5 2" xfId="10744"/>
    <cellStyle name="Normal 6 2 3 2 3 6" xfId="5771"/>
    <cellStyle name="Normal 6 2 3 2 3 6 2" xfId="11246"/>
    <cellStyle name="Normal 6 2 3 2 3 7" xfId="2789"/>
    <cellStyle name="Normal 6 2 3 2 3 8" xfId="6712"/>
    <cellStyle name="Normal 6 2 3 2 3 9" xfId="8236"/>
    <cellStyle name="Normal 6 2 3 2 4" xfId="1230"/>
    <cellStyle name="Normal 6 2 3 2 4 2" xfId="4045"/>
    <cellStyle name="Normal 6 2 3 2 4 2 2" xfId="9492"/>
    <cellStyle name="Normal 6 2 3 2 4 3" xfId="3035"/>
    <cellStyle name="Normal 6 2 3 2 4 4" xfId="6970"/>
    <cellStyle name="Normal 6 2 3 2 4 5" xfId="8484"/>
    <cellStyle name="Normal 6 2 3 2 4 6" xfId="12104"/>
    <cellStyle name="Normal 6 2 3 2 4 7" xfId="13850"/>
    <cellStyle name="Normal 6 2 3 2 5" xfId="1738"/>
    <cellStyle name="Normal 6 2 3 2 5 2" xfId="3551"/>
    <cellStyle name="Normal 6 2 3 2 5 3" xfId="7478"/>
    <cellStyle name="Normal 6 2 3 2 5 4" xfId="8996"/>
    <cellStyle name="Normal 6 2 3 2 5 5" xfId="12610"/>
    <cellStyle name="Normal 6 2 3 2 5 6" xfId="14356"/>
    <cellStyle name="Normal 6 2 3 2 6" xfId="2351"/>
    <cellStyle name="Normal 6 2 3 2 6 2" xfId="6464"/>
    <cellStyle name="Normal 6 2 3 2 6 3" xfId="9994"/>
    <cellStyle name="Normal 6 2 3 2 6 4" xfId="13344"/>
    <cellStyle name="Normal 6 2 3 2 7" xfId="5021"/>
    <cellStyle name="Normal 6 2 3 2 7 2" xfId="10496"/>
    <cellStyle name="Normal 6 2 3 2 8" xfId="5523"/>
    <cellStyle name="Normal 6 2 3 2 8 2" xfId="10998"/>
    <cellStyle name="Normal 6 2 3 2 9" xfId="6119"/>
    <cellStyle name="Normal 6 2 3 3" xfId="795"/>
    <cellStyle name="Normal 6 2 3 3 10" xfId="11669"/>
    <cellStyle name="Normal 6 2 3 3 11" xfId="13150"/>
    <cellStyle name="Normal 6 2 3 3 2" xfId="1043"/>
    <cellStyle name="Normal 6 2 3 3 2 10" xfId="11917"/>
    <cellStyle name="Normal 6 2 3 3 2 11" xfId="13663"/>
    <cellStyle name="Normal 6 2 3 3 2 2" xfId="1549"/>
    <cellStyle name="Normal 6 2 3 3 2 2 2" xfId="4364"/>
    <cellStyle name="Normal 6 2 3 3 2 2 2 2" xfId="9811"/>
    <cellStyle name="Normal 6 2 3 3 2 2 3" xfId="3354"/>
    <cellStyle name="Normal 6 2 3 3 2 2 4" xfId="7289"/>
    <cellStyle name="Normal 6 2 3 3 2 2 5" xfId="8803"/>
    <cellStyle name="Normal 6 2 3 3 2 2 6" xfId="12423"/>
    <cellStyle name="Normal 6 2 3 3 2 2 7" xfId="14169"/>
    <cellStyle name="Normal 6 2 3 3 2 3" xfId="2057"/>
    <cellStyle name="Normal 6 2 3 3 2 3 2" xfId="3870"/>
    <cellStyle name="Normal 6 2 3 3 2 3 3" xfId="7797"/>
    <cellStyle name="Normal 6 2 3 3 2 3 4" xfId="9315"/>
    <cellStyle name="Normal 6 2 3 3 2 3 5" xfId="12929"/>
    <cellStyle name="Normal 6 2 3 3 2 3 6" xfId="14675"/>
    <cellStyle name="Normal 6 2 3 3 2 4" xfId="4842"/>
    <cellStyle name="Normal 6 2 3 3 2 4 2" xfId="10313"/>
    <cellStyle name="Normal 6 2 3 3 2 5" xfId="5340"/>
    <cellStyle name="Normal 6 2 3 3 2 5 2" xfId="10815"/>
    <cellStyle name="Normal 6 2 3 3 2 6" xfId="5842"/>
    <cellStyle name="Normal 6 2 3 3 2 6 2" xfId="11317"/>
    <cellStyle name="Normal 6 2 3 3 2 7" xfId="2860"/>
    <cellStyle name="Normal 6 2 3 3 2 8" xfId="6783"/>
    <cellStyle name="Normal 6 2 3 3 2 9" xfId="8307"/>
    <cellStyle name="Normal 6 2 3 3 3" xfId="1301"/>
    <cellStyle name="Normal 6 2 3 3 3 2" xfId="4116"/>
    <cellStyle name="Normal 6 2 3 3 3 2 2" xfId="9563"/>
    <cellStyle name="Normal 6 2 3 3 3 3" xfId="3106"/>
    <cellStyle name="Normal 6 2 3 3 3 4" xfId="7041"/>
    <cellStyle name="Normal 6 2 3 3 3 5" xfId="8555"/>
    <cellStyle name="Normal 6 2 3 3 3 6" xfId="12175"/>
    <cellStyle name="Normal 6 2 3 3 3 7" xfId="13921"/>
    <cellStyle name="Normal 6 2 3 3 4" xfId="1809"/>
    <cellStyle name="Normal 6 2 3 3 4 2" xfId="3622"/>
    <cellStyle name="Normal 6 2 3 3 4 3" xfId="7549"/>
    <cellStyle name="Normal 6 2 3 3 4 4" xfId="9067"/>
    <cellStyle name="Normal 6 2 3 3 4 5" xfId="12681"/>
    <cellStyle name="Normal 6 2 3 3 4 6" xfId="14427"/>
    <cellStyle name="Normal 6 2 3 3 5" xfId="2402"/>
    <cellStyle name="Normal 6 2 3 3 5 2" xfId="6535"/>
    <cellStyle name="Normal 6 2 3 3 5 3" xfId="10065"/>
    <cellStyle name="Normal 6 2 3 3 5 4" xfId="13415"/>
    <cellStyle name="Normal 6 2 3 3 6" xfId="5092"/>
    <cellStyle name="Normal 6 2 3 3 6 2" xfId="10567"/>
    <cellStyle name="Normal 6 2 3 3 7" xfId="5594"/>
    <cellStyle name="Normal 6 2 3 3 7 2" xfId="11069"/>
    <cellStyle name="Normal 6 2 3 3 8" xfId="6170"/>
    <cellStyle name="Normal 6 2 3 3 9" xfId="8059"/>
    <cellStyle name="Normal 6 2 3 4" xfId="919"/>
    <cellStyle name="Normal 6 2 3 4 10" xfId="13206"/>
    <cellStyle name="Normal 6 2 3 4 2" xfId="1425"/>
    <cellStyle name="Normal 6 2 3 4 2 2" xfId="4240"/>
    <cellStyle name="Normal 6 2 3 4 2 2 2" xfId="9687"/>
    <cellStyle name="Normal 6 2 3 4 2 3" xfId="3230"/>
    <cellStyle name="Normal 6 2 3 4 2 4" xfId="7165"/>
    <cellStyle name="Normal 6 2 3 4 2 5" xfId="8679"/>
    <cellStyle name="Normal 6 2 3 4 2 6" xfId="12299"/>
    <cellStyle name="Normal 6 2 3 4 2 7" xfId="14045"/>
    <cellStyle name="Normal 6 2 3 4 3" xfId="1933"/>
    <cellStyle name="Normal 6 2 3 4 3 2" xfId="3746"/>
    <cellStyle name="Normal 6 2 3 4 3 3" xfId="7673"/>
    <cellStyle name="Normal 6 2 3 4 3 4" xfId="9191"/>
    <cellStyle name="Normal 6 2 3 4 3 5" xfId="12805"/>
    <cellStyle name="Normal 6 2 3 4 3 6" xfId="14551"/>
    <cellStyle name="Normal 6 2 3 4 4" xfId="2458"/>
    <cellStyle name="Normal 6 2 3 4 4 2" xfId="6659"/>
    <cellStyle name="Normal 6 2 3 4 4 3" xfId="10189"/>
    <cellStyle name="Normal 6 2 3 4 4 4" xfId="13539"/>
    <cellStyle name="Normal 6 2 3 4 5" xfId="5216"/>
    <cellStyle name="Normal 6 2 3 4 5 2" xfId="10691"/>
    <cellStyle name="Normal 6 2 3 4 6" xfId="5718"/>
    <cellStyle name="Normal 6 2 3 4 6 2" xfId="11193"/>
    <cellStyle name="Normal 6 2 3 4 7" xfId="6226"/>
    <cellStyle name="Normal 6 2 3 4 8" xfId="8183"/>
    <cellStyle name="Normal 6 2 3 4 9" xfId="11793"/>
    <cellStyle name="Normal 6 2 3 5" xfId="1177"/>
    <cellStyle name="Normal 6 2 3 5 2" xfId="3994"/>
    <cellStyle name="Normal 6 2 3 5 2 2" xfId="9439"/>
    <cellStyle name="Normal 6 2 3 5 3" xfId="2984"/>
    <cellStyle name="Normal 6 2 3 5 4" xfId="6917"/>
    <cellStyle name="Normal 6 2 3 5 5" xfId="8431"/>
    <cellStyle name="Normal 6 2 3 5 6" xfId="12051"/>
    <cellStyle name="Normal 6 2 3 5 7" xfId="13797"/>
    <cellStyle name="Normal 6 2 3 6" xfId="1685"/>
    <cellStyle name="Normal 6 2 3 6 2" xfId="3498"/>
    <cellStyle name="Normal 6 2 3 6 3" xfId="7425"/>
    <cellStyle name="Normal 6 2 3 6 4" xfId="8943"/>
    <cellStyle name="Normal 6 2 3 6 5" xfId="12557"/>
    <cellStyle name="Normal 6 2 3 6 6" xfId="14303"/>
    <cellStyle name="Normal 6 2 3 7" xfId="2263"/>
    <cellStyle name="Normal 6 2 3 7 2" xfId="6411"/>
    <cellStyle name="Normal 6 2 3 7 3" xfId="9941"/>
    <cellStyle name="Normal 6 2 3 7 4" xfId="13291"/>
    <cellStyle name="Normal 6 2 3 8" xfId="4968"/>
    <cellStyle name="Normal 6 2 3 8 2" xfId="10443"/>
    <cellStyle name="Normal 6 2 3 9" xfId="5470"/>
    <cellStyle name="Normal 6 2 3 9 2" xfId="10945"/>
    <cellStyle name="Normal 6 2 4" xfId="722"/>
    <cellStyle name="Normal 6 2 4 10" xfId="7986"/>
    <cellStyle name="Normal 6 2 4 11" xfId="11596"/>
    <cellStyle name="Normal 6 2 4 12" xfId="13059"/>
    <cellStyle name="Normal 6 2 4 2" xfId="846"/>
    <cellStyle name="Normal 6 2 4 2 10" xfId="8110"/>
    <cellStyle name="Normal 6 2 4 2 11" xfId="11720"/>
    <cellStyle name="Normal 6 2 4 2 12" xfId="13466"/>
    <cellStyle name="Normal 6 2 4 2 2" xfId="1094"/>
    <cellStyle name="Normal 6 2 4 2 2 10" xfId="11968"/>
    <cellStyle name="Normal 6 2 4 2 2 11" xfId="13714"/>
    <cellStyle name="Normal 6 2 4 2 2 2" xfId="1600"/>
    <cellStyle name="Normal 6 2 4 2 2 2 2" xfId="4415"/>
    <cellStyle name="Normal 6 2 4 2 2 2 2 2" xfId="9862"/>
    <cellStyle name="Normal 6 2 4 2 2 2 3" xfId="3405"/>
    <cellStyle name="Normal 6 2 4 2 2 2 4" xfId="7340"/>
    <cellStyle name="Normal 6 2 4 2 2 2 5" xfId="8854"/>
    <cellStyle name="Normal 6 2 4 2 2 2 6" xfId="12474"/>
    <cellStyle name="Normal 6 2 4 2 2 2 7" xfId="14220"/>
    <cellStyle name="Normal 6 2 4 2 2 3" xfId="2108"/>
    <cellStyle name="Normal 6 2 4 2 2 3 2" xfId="3921"/>
    <cellStyle name="Normal 6 2 4 2 2 3 3" xfId="7848"/>
    <cellStyle name="Normal 6 2 4 2 2 3 4" xfId="9366"/>
    <cellStyle name="Normal 6 2 4 2 2 3 5" xfId="12980"/>
    <cellStyle name="Normal 6 2 4 2 2 3 6" xfId="14726"/>
    <cellStyle name="Normal 6 2 4 2 2 4" xfId="4893"/>
    <cellStyle name="Normal 6 2 4 2 2 4 2" xfId="10364"/>
    <cellStyle name="Normal 6 2 4 2 2 5" xfId="5391"/>
    <cellStyle name="Normal 6 2 4 2 2 5 2" xfId="10866"/>
    <cellStyle name="Normal 6 2 4 2 2 6" xfId="5893"/>
    <cellStyle name="Normal 6 2 4 2 2 6 2" xfId="11368"/>
    <cellStyle name="Normal 6 2 4 2 2 7" xfId="2911"/>
    <cellStyle name="Normal 6 2 4 2 2 8" xfId="6834"/>
    <cellStyle name="Normal 6 2 4 2 2 9" xfId="8358"/>
    <cellStyle name="Normal 6 2 4 2 3" xfId="1352"/>
    <cellStyle name="Normal 6 2 4 2 3 2" xfId="4167"/>
    <cellStyle name="Normal 6 2 4 2 3 2 2" xfId="9614"/>
    <cellStyle name="Normal 6 2 4 2 3 3" xfId="3157"/>
    <cellStyle name="Normal 6 2 4 2 3 4" xfId="7092"/>
    <cellStyle name="Normal 6 2 4 2 3 5" xfId="8606"/>
    <cellStyle name="Normal 6 2 4 2 3 6" xfId="12226"/>
    <cellStyle name="Normal 6 2 4 2 3 7" xfId="13972"/>
    <cellStyle name="Normal 6 2 4 2 4" xfId="1860"/>
    <cellStyle name="Normal 6 2 4 2 4 2" xfId="3673"/>
    <cellStyle name="Normal 6 2 4 2 4 3" xfId="7600"/>
    <cellStyle name="Normal 6 2 4 2 4 4" xfId="9118"/>
    <cellStyle name="Normal 6 2 4 2 4 5" xfId="12732"/>
    <cellStyle name="Normal 6 2 4 2 4 6" xfId="14478"/>
    <cellStyle name="Normal 6 2 4 2 5" xfId="4654"/>
    <cellStyle name="Normal 6 2 4 2 5 2" xfId="10116"/>
    <cellStyle name="Normal 6 2 4 2 6" xfId="5143"/>
    <cellStyle name="Normal 6 2 4 2 6 2" xfId="10618"/>
    <cellStyle name="Normal 6 2 4 2 7" xfId="5645"/>
    <cellStyle name="Normal 6 2 4 2 7 2" xfId="11120"/>
    <cellStyle name="Normal 6 2 4 2 8" xfId="2670"/>
    <cellStyle name="Normal 6 2 4 2 9" xfId="6586"/>
    <cellStyle name="Normal 6 2 4 3" xfId="970"/>
    <cellStyle name="Normal 6 2 4 3 10" xfId="11844"/>
    <cellStyle name="Normal 6 2 4 3 11" xfId="13590"/>
    <cellStyle name="Normal 6 2 4 3 2" xfId="1476"/>
    <cellStyle name="Normal 6 2 4 3 2 2" xfId="4291"/>
    <cellStyle name="Normal 6 2 4 3 2 2 2" xfId="9738"/>
    <cellStyle name="Normal 6 2 4 3 2 3" xfId="3281"/>
    <cellStyle name="Normal 6 2 4 3 2 4" xfId="7216"/>
    <cellStyle name="Normal 6 2 4 3 2 5" xfId="8730"/>
    <cellStyle name="Normal 6 2 4 3 2 6" xfId="12350"/>
    <cellStyle name="Normal 6 2 4 3 2 7" xfId="14096"/>
    <cellStyle name="Normal 6 2 4 3 3" xfId="1984"/>
    <cellStyle name="Normal 6 2 4 3 3 2" xfId="3797"/>
    <cellStyle name="Normal 6 2 4 3 3 3" xfId="7724"/>
    <cellStyle name="Normal 6 2 4 3 3 4" xfId="9242"/>
    <cellStyle name="Normal 6 2 4 3 3 5" xfId="12856"/>
    <cellStyle name="Normal 6 2 4 3 3 6" xfId="14602"/>
    <cellStyle name="Normal 6 2 4 3 4" xfId="4770"/>
    <cellStyle name="Normal 6 2 4 3 4 2" xfId="10240"/>
    <cellStyle name="Normal 6 2 4 3 5" xfId="5267"/>
    <cellStyle name="Normal 6 2 4 3 5 2" xfId="10742"/>
    <cellStyle name="Normal 6 2 4 3 6" xfId="5769"/>
    <cellStyle name="Normal 6 2 4 3 6 2" xfId="11244"/>
    <cellStyle name="Normal 6 2 4 3 7" xfId="2788"/>
    <cellStyle name="Normal 6 2 4 3 8" xfId="6710"/>
    <cellStyle name="Normal 6 2 4 3 9" xfId="8234"/>
    <cellStyle name="Normal 6 2 4 4" xfId="1228"/>
    <cellStyle name="Normal 6 2 4 4 2" xfId="4044"/>
    <cellStyle name="Normal 6 2 4 4 2 2" xfId="9490"/>
    <cellStyle name="Normal 6 2 4 4 3" xfId="3034"/>
    <cellStyle name="Normal 6 2 4 4 4" xfId="6968"/>
    <cellStyle name="Normal 6 2 4 4 5" xfId="8482"/>
    <cellStyle name="Normal 6 2 4 4 6" xfId="12102"/>
    <cellStyle name="Normal 6 2 4 4 7" xfId="13848"/>
    <cellStyle name="Normal 6 2 4 5" xfId="1736"/>
    <cellStyle name="Normal 6 2 4 5 2" xfId="3549"/>
    <cellStyle name="Normal 6 2 4 5 3" xfId="7476"/>
    <cellStyle name="Normal 6 2 4 5 4" xfId="8994"/>
    <cellStyle name="Normal 6 2 4 5 5" xfId="12608"/>
    <cellStyle name="Normal 6 2 4 5 6" xfId="14354"/>
    <cellStyle name="Normal 6 2 4 6" xfId="2310"/>
    <cellStyle name="Normal 6 2 4 6 2" xfId="6462"/>
    <cellStyle name="Normal 6 2 4 6 3" xfId="9992"/>
    <cellStyle name="Normal 6 2 4 6 4" xfId="13342"/>
    <cellStyle name="Normal 6 2 4 7" xfId="5019"/>
    <cellStyle name="Normal 6 2 4 7 2" xfId="10494"/>
    <cellStyle name="Normal 6 2 4 8" xfId="5521"/>
    <cellStyle name="Normal 6 2 4 8 2" xfId="10996"/>
    <cellStyle name="Normal 6 2 4 9" xfId="6079"/>
    <cellStyle name="Normal 6 2 5" xfId="753"/>
    <cellStyle name="Normal 6 2 5 10" xfId="11627"/>
    <cellStyle name="Normal 6 2 5 11" xfId="13110"/>
    <cellStyle name="Normal 6 2 5 2" xfId="1001"/>
    <cellStyle name="Normal 6 2 5 2 10" xfId="11875"/>
    <cellStyle name="Normal 6 2 5 2 11" xfId="13621"/>
    <cellStyle name="Normal 6 2 5 2 2" xfId="1507"/>
    <cellStyle name="Normal 6 2 5 2 2 2" xfId="4322"/>
    <cellStyle name="Normal 6 2 5 2 2 2 2" xfId="9769"/>
    <cellStyle name="Normal 6 2 5 2 2 3" xfId="3312"/>
    <cellStyle name="Normal 6 2 5 2 2 4" xfId="7247"/>
    <cellStyle name="Normal 6 2 5 2 2 5" xfId="8761"/>
    <cellStyle name="Normal 6 2 5 2 2 6" xfId="12381"/>
    <cellStyle name="Normal 6 2 5 2 2 7" xfId="14127"/>
    <cellStyle name="Normal 6 2 5 2 3" xfId="2015"/>
    <cellStyle name="Normal 6 2 5 2 3 2" xfId="3828"/>
    <cellStyle name="Normal 6 2 5 2 3 3" xfId="7755"/>
    <cellStyle name="Normal 6 2 5 2 3 4" xfId="9273"/>
    <cellStyle name="Normal 6 2 5 2 3 5" xfId="12887"/>
    <cellStyle name="Normal 6 2 5 2 3 6" xfId="14633"/>
    <cellStyle name="Normal 6 2 5 2 4" xfId="4800"/>
    <cellStyle name="Normal 6 2 5 2 4 2" xfId="10271"/>
    <cellStyle name="Normal 6 2 5 2 5" xfId="5298"/>
    <cellStyle name="Normal 6 2 5 2 5 2" xfId="10773"/>
    <cellStyle name="Normal 6 2 5 2 6" xfId="5800"/>
    <cellStyle name="Normal 6 2 5 2 6 2" xfId="11275"/>
    <cellStyle name="Normal 6 2 5 2 7" xfId="2818"/>
    <cellStyle name="Normal 6 2 5 2 8" xfId="6741"/>
    <cellStyle name="Normal 6 2 5 2 9" xfId="8265"/>
    <cellStyle name="Normal 6 2 5 3" xfId="1259"/>
    <cellStyle name="Normal 6 2 5 3 2" xfId="4074"/>
    <cellStyle name="Normal 6 2 5 3 2 2" xfId="9521"/>
    <cellStyle name="Normal 6 2 5 3 3" xfId="3064"/>
    <cellStyle name="Normal 6 2 5 3 4" xfId="6999"/>
    <cellStyle name="Normal 6 2 5 3 5" xfId="8513"/>
    <cellStyle name="Normal 6 2 5 3 6" xfId="12133"/>
    <cellStyle name="Normal 6 2 5 3 7" xfId="13879"/>
    <cellStyle name="Normal 6 2 5 4" xfId="1767"/>
    <cellStyle name="Normal 6 2 5 4 2" xfId="3580"/>
    <cellStyle name="Normal 6 2 5 4 3" xfId="7507"/>
    <cellStyle name="Normal 6 2 5 4 4" xfId="9025"/>
    <cellStyle name="Normal 6 2 5 4 5" xfId="12639"/>
    <cellStyle name="Normal 6 2 5 4 6" xfId="14385"/>
    <cellStyle name="Normal 6 2 5 5" xfId="2362"/>
    <cellStyle name="Normal 6 2 5 5 2" xfId="6493"/>
    <cellStyle name="Normal 6 2 5 5 3" xfId="10023"/>
    <cellStyle name="Normal 6 2 5 5 4" xfId="13373"/>
    <cellStyle name="Normal 6 2 5 6" xfId="5050"/>
    <cellStyle name="Normal 6 2 5 6 2" xfId="10525"/>
    <cellStyle name="Normal 6 2 5 7" xfId="5552"/>
    <cellStyle name="Normal 6 2 5 7 2" xfId="11027"/>
    <cellStyle name="Normal 6 2 5 8" xfId="6130"/>
    <cellStyle name="Normal 6 2 5 9" xfId="8017"/>
    <cellStyle name="Normal 6 2 6" xfId="621"/>
    <cellStyle name="Normal 6 2 6 10" xfId="13178"/>
    <cellStyle name="Normal 6 2 6 2" xfId="1135"/>
    <cellStyle name="Normal 6 2 6 2 2" xfId="4198"/>
    <cellStyle name="Normal 6 2 6 2 2 2" xfId="9645"/>
    <cellStyle name="Normal 6 2 6 2 3" xfId="3188"/>
    <cellStyle name="Normal 6 2 6 2 4" xfId="6875"/>
    <cellStyle name="Normal 6 2 6 2 5" xfId="8637"/>
    <cellStyle name="Normal 6 2 6 2 6" xfId="12009"/>
    <cellStyle name="Normal 6 2 6 2 7" xfId="13755"/>
    <cellStyle name="Normal 6 2 6 3" xfId="1643"/>
    <cellStyle name="Normal 6 2 6 3 2" xfId="3456"/>
    <cellStyle name="Normal 6 2 6 3 3" xfId="7383"/>
    <cellStyle name="Normal 6 2 6 3 4" xfId="8901"/>
    <cellStyle name="Normal 6 2 6 3 5" xfId="12515"/>
    <cellStyle name="Normal 6 2 6 3 6" xfId="14261"/>
    <cellStyle name="Normal 6 2 6 4" xfId="2430"/>
    <cellStyle name="Normal 6 2 6 4 2" xfId="6366"/>
    <cellStyle name="Normal 6 2 6 4 3" xfId="10147"/>
    <cellStyle name="Normal 6 2 6 4 4" xfId="13249"/>
    <cellStyle name="Normal 6 2 6 5" xfId="5174"/>
    <cellStyle name="Normal 6 2 6 5 2" xfId="10649"/>
    <cellStyle name="Normal 6 2 6 6" xfId="5676"/>
    <cellStyle name="Normal 6 2 6 6 2" xfId="11151"/>
    <cellStyle name="Normal 6 2 6 7" xfId="6198"/>
    <cellStyle name="Normal 6 2 6 8" xfId="7893"/>
    <cellStyle name="Normal 6 2 6 9" xfId="11503"/>
    <cellStyle name="Normal 6 2 7" xfId="877"/>
    <cellStyle name="Normal 6 2 7 2" xfId="1383"/>
    <cellStyle name="Normal 6 2 7 2 2" xfId="3704"/>
    <cellStyle name="Normal 6 2 7 2 3" xfId="7123"/>
    <cellStyle name="Normal 6 2 7 2 4" xfId="9149"/>
    <cellStyle name="Normal 6 2 7 2 5" xfId="12257"/>
    <cellStyle name="Normal 6 2 7 2 6" xfId="14003"/>
    <cellStyle name="Normal 6 2 7 3" xfId="1891"/>
    <cellStyle name="Normal 6 2 7 3 2" xfId="7631"/>
    <cellStyle name="Normal 6 2 7 3 3" xfId="12763"/>
    <cellStyle name="Normal 6 2 7 3 4" xfId="14509"/>
    <cellStyle name="Normal 6 2 7 4" xfId="2700"/>
    <cellStyle name="Normal 6 2 7 5" xfId="6617"/>
    <cellStyle name="Normal 6 2 7 6" xfId="8141"/>
    <cellStyle name="Normal 6 2 7 7" xfId="11751"/>
    <cellStyle name="Normal 6 2 7 8" xfId="13497"/>
    <cellStyle name="Normal 6 2 8" xfId="202"/>
    <cellStyle name="Normal 6 2 8 2" xfId="3952"/>
    <cellStyle name="Normal 6 2 8 2 2" xfId="9397"/>
    <cellStyle name="Normal 6 2 8 3" xfId="2942"/>
    <cellStyle name="Normal 6 2 8 4" xfId="6271"/>
    <cellStyle name="Normal 6 2 8 5" xfId="8389"/>
    <cellStyle name="Normal 6 2 8 6" xfId="11489"/>
    <cellStyle name="Normal 6 2 8 7" xfId="13235"/>
    <cellStyle name="Normal 6 2 9" xfId="1121"/>
    <cellStyle name="Normal 6 2 9 2" xfId="3444"/>
    <cellStyle name="Normal 6 2 9 3" xfId="6861"/>
    <cellStyle name="Normal 6 2 9 4" xfId="8887"/>
    <cellStyle name="Normal 6 2 9 5" xfId="11995"/>
    <cellStyle name="Normal 6 2 9 6" xfId="13741"/>
    <cellStyle name="Normal 6 3" xfId="127"/>
    <cellStyle name="Normal 6 3 10" xfId="1634"/>
    <cellStyle name="Normal 6 3 10 2" xfId="4454"/>
    <cellStyle name="Normal 6 3 10 3" xfId="7374"/>
    <cellStyle name="Normal 6 3 10 4" xfId="9901"/>
    <cellStyle name="Normal 6 3 10 5" xfId="12507"/>
    <cellStyle name="Normal 6 3 10 6" xfId="14253"/>
    <cellStyle name="Normal 6 3 11" xfId="4930"/>
    <cellStyle name="Normal 6 3 11 2" xfId="10403"/>
    <cellStyle name="Normal 6 3 12" xfId="5430"/>
    <cellStyle name="Normal 6 3 12 2" xfId="10905"/>
    <cellStyle name="Normal 6 3 13" xfId="2466"/>
    <cellStyle name="Normal 6 3 14" xfId="7885"/>
    <cellStyle name="Normal 6 3 2" xfId="653"/>
    <cellStyle name="Normal 6 3 2 10" xfId="2492"/>
    <cellStyle name="Normal 6 3 2 11" xfId="6393"/>
    <cellStyle name="Normal 6 3 2 12" xfId="7917"/>
    <cellStyle name="Normal 6 3 2 13" xfId="11527"/>
    <cellStyle name="Normal 6 3 2 14" xfId="13273"/>
    <cellStyle name="Normal 6 3 2 2" xfId="726"/>
    <cellStyle name="Normal 6 3 2 2 10" xfId="6466"/>
    <cellStyle name="Normal 6 3 2 2 11" xfId="7990"/>
    <cellStyle name="Normal 6 3 2 2 12" xfId="11600"/>
    <cellStyle name="Normal 6 3 2 2 13" xfId="13346"/>
    <cellStyle name="Normal 6 3 2 2 2" xfId="850"/>
    <cellStyle name="Normal 6 3 2 2 2 10" xfId="8114"/>
    <cellStyle name="Normal 6 3 2 2 2 11" xfId="11724"/>
    <cellStyle name="Normal 6 3 2 2 2 12" xfId="13470"/>
    <cellStyle name="Normal 6 3 2 2 2 2" xfId="1098"/>
    <cellStyle name="Normal 6 3 2 2 2 2 10" xfId="11972"/>
    <cellStyle name="Normal 6 3 2 2 2 2 11" xfId="13718"/>
    <cellStyle name="Normal 6 3 2 2 2 2 2" xfId="1604"/>
    <cellStyle name="Normal 6 3 2 2 2 2 2 2" xfId="4419"/>
    <cellStyle name="Normal 6 3 2 2 2 2 2 2 2" xfId="9866"/>
    <cellStyle name="Normal 6 3 2 2 2 2 2 3" xfId="3409"/>
    <cellStyle name="Normal 6 3 2 2 2 2 2 4" xfId="7344"/>
    <cellStyle name="Normal 6 3 2 2 2 2 2 5" xfId="8858"/>
    <cellStyle name="Normal 6 3 2 2 2 2 2 6" xfId="12478"/>
    <cellStyle name="Normal 6 3 2 2 2 2 2 7" xfId="14224"/>
    <cellStyle name="Normal 6 3 2 2 2 2 3" xfId="2112"/>
    <cellStyle name="Normal 6 3 2 2 2 2 3 2" xfId="3925"/>
    <cellStyle name="Normal 6 3 2 2 2 2 3 3" xfId="7852"/>
    <cellStyle name="Normal 6 3 2 2 2 2 3 4" xfId="9370"/>
    <cellStyle name="Normal 6 3 2 2 2 2 3 5" xfId="12984"/>
    <cellStyle name="Normal 6 3 2 2 2 2 3 6" xfId="14730"/>
    <cellStyle name="Normal 6 3 2 2 2 2 4" xfId="4897"/>
    <cellStyle name="Normal 6 3 2 2 2 2 4 2" xfId="10368"/>
    <cellStyle name="Normal 6 3 2 2 2 2 5" xfId="5395"/>
    <cellStyle name="Normal 6 3 2 2 2 2 5 2" xfId="10870"/>
    <cellStyle name="Normal 6 3 2 2 2 2 6" xfId="5897"/>
    <cellStyle name="Normal 6 3 2 2 2 2 6 2" xfId="11372"/>
    <cellStyle name="Normal 6 3 2 2 2 2 7" xfId="2915"/>
    <cellStyle name="Normal 6 3 2 2 2 2 8" xfId="6838"/>
    <cellStyle name="Normal 6 3 2 2 2 2 9" xfId="8362"/>
    <cellStyle name="Normal 6 3 2 2 2 3" xfId="1356"/>
    <cellStyle name="Normal 6 3 2 2 2 3 2" xfId="4171"/>
    <cellStyle name="Normal 6 3 2 2 2 3 2 2" xfId="9618"/>
    <cellStyle name="Normal 6 3 2 2 2 3 3" xfId="3161"/>
    <cellStyle name="Normal 6 3 2 2 2 3 4" xfId="7096"/>
    <cellStyle name="Normal 6 3 2 2 2 3 5" xfId="8610"/>
    <cellStyle name="Normal 6 3 2 2 2 3 6" xfId="12230"/>
    <cellStyle name="Normal 6 3 2 2 2 3 7" xfId="13976"/>
    <cellStyle name="Normal 6 3 2 2 2 4" xfId="1864"/>
    <cellStyle name="Normal 6 3 2 2 2 4 2" xfId="3677"/>
    <cellStyle name="Normal 6 3 2 2 2 4 3" xfId="7604"/>
    <cellStyle name="Normal 6 3 2 2 2 4 4" xfId="9122"/>
    <cellStyle name="Normal 6 3 2 2 2 4 5" xfId="12736"/>
    <cellStyle name="Normal 6 3 2 2 2 4 6" xfId="14482"/>
    <cellStyle name="Normal 6 3 2 2 2 5" xfId="4657"/>
    <cellStyle name="Normal 6 3 2 2 2 5 2" xfId="10120"/>
    <cellStyle name="Normal 6 3 2 2 2 6" xfId="5147"/>
    <cellStyle name="Normal 6 3 2 2 2 6 2" xfId="10622"/>
    <cellStyle name="Normal 6 3 2 2 2 7" xfId="5649"/>
    <cellStyle name="Normal 6 3 2 2 2 7 2" xfId="11124"/>
    <cellStyle name="Normal 6 3 2 2 2 8" xfId="2673"/>
    <cellStyle name="Normal 6 3 2 2 2 9" xfId="6590"/>
    <cellStyle name="Normal 6 3 2 2 3" xfId="974"/>
    <cellStyle name="Normal 6 3 2 2 3 10" xfId="11848"/>
    <cellStyle name="Normal 6 3 2 2 3 11" xfId="13594"/>
    <cellStyle name="Normal 6 3 2 2 3 2" xfId="1480"/>
    <cellStyle name="Normal 6 3 2 2 3 2 2" xfId="4295"/>
    <cellStyle name="Normal 6 3 2 2 3 2 2 2" xfId="9742"/>
    <cellStyle name="Normal 6 3 2 2 3 2 3" xfId="3285"/>
    <cellStyle name="Normal 6 3 2 2 3 2 4" xfId="7220"/>
    <cellStyle name="Normal 6 3 2 2 3 2 5" xfId="8734"/>
    <cellStyle name="Normal 6 3 2 2 3 2 6" xfId="12354"/>
    <cellStyle name="Normal 6 3 2 2 3 2 7" xfId="14100"/>
    <cellStyle name="Normal 6 3 2 2 3 3" xfId="1988"/>
    <cellStyle name="Normal 6 3 2 2 3 3 2" xfId="3801"/>
    <cellStyle name="Normal 6 3 2 2 3 3 3" xfId="7728"/>
    <cellStyle name="Normal 6 3 2 2 3 3 4" xfId="9246"/>
    <cellStyle name="Normal 6 3 2 2 3 3 5" xfId="12860"/>
    <cellStyle name="Normal 6 3 2 2 3 3 6" xfId="14606"/>
    <cellStyle name="Normal 6 3 2 2 3 4" xfId="4773"/>
    <cellStyle name="Normal 6 3 2 2 3 4 2" xfId="10244"/>
    <cellStyle name="Normal 6 3 2 2 3 5" xfId="5271"/>
    <cellStyle name="Normal 6 3 2 2 3 5 2" xfId="10746"/>
    <cellStyle name="Normal 6 3 2 2 3 6" xfId="5773"/>
    <cellStyle name="Normal 6 3 2 2 3 6 2" xfId="11248"/>
    <cellStyle name="Normal 6 3 2 2 3 7" xfId="2791"/>
    <cellStyle name="Normal 6 3 2 2 3 8" xfId="6714"/>
    <cellStyle name="Normal 6 3 2 2 3 9" xfId="8238"/>
    <cellStyle name="Normal 6 3 2 2 4" xfId="1232"/>
    <cellStyle name="Normal 6 3 2 2 4 2" xfId="4047"/>
    <cellStyle name="Normal 6 3 2 2 4 2 2" xfId="9494"/>
    <cellStyle name="Normal 6 3 2 2 4 3" xfId="3037"/>
    <cellStyle name="Normal 6 3 2 2 4 4" xfId="6972"/>
    <cellStyle name="Normal 6 3 2 2 4 5" xfId="8486"/>
    <cellStyle name="Normal 6 3 2 2 4 6" xfId="12106"/>
    <cellStyle name="Normal 6 3 2 2 4 7" xfId="13852"/>
    <cellStyle name="Normal 6 3 2 2 5" xfId="1740"/>
    <cellStyle name="Normal 6 3 2 2 5 2" xfId="3553"/>
    <cellStyle name="Normal 6 3 2 2 5 3" xfId="7480"/>
    <cellStyle name="Normal 6 3 2 2 5 4" xfId="8998"/>
    <cellStyle name="Normal 6 3 2 2 5 5" xfId="12612"/>
    <cellStyle name="Normal 6 3 2 2 5 6" xfId="14358"/>
    <cellStyle name="Normal 6 3 2 2 6" xfId="4541"/>
    <cellStyle name="Normal 6 3 2 2 6 2" xfId="9996"/>
    <cellStyle name="Normal 6 3 2 2 7" xfId="5023"/>
    <cellStyle name="Normal 6 3 2 2 7 2" xfId="10498"/>
    <cellStyle name="Normal 6 3 2 2 8" xfId="5525"/>
    <cellStyle name="Normal 6 3 2 2 8 2" xfId="11000"/>
    <cellStyle name="Normal 6 3 2 2 9" xfId="2557"/>
    <cellStyle name="Normal 6 3 2 3" xfId="777"/>
    <cellStyle name="Normal 6 3 2 3 10" xfId="8041"/>
    <cellStyle name="Normal 6 3 2 3 11" xfId="11651"/>
    <cellStyle name="Normal 6 3 2 3 12" xfId="13397"/>
    <cellStyle name="Normal 6 3 2 3 2" xfId="1025"/>
    <cellStyle name="Normal 6 3 2 3 2 10" xfId="11899"/>
    <cellStyle name="Normal 6 3 2 3 2 11" xfId="13645"/>
    <cellStyle name="Normal 6 3 2 3 2 2" xfId="1531"/>
    <cellStyle name="Normal 6 3 2 3 2 2 2" xfId="4346"/>
    <cellStyle name="Normal 6 3 2 3 2 2 2 2" xfId="9793"/>
    <cellStyle name="Normal 6 3 2 3 2 2 3" xfId="3336"/>
    <cellStyle name="Normal 6 3 2 3 2 2 4" xfId="7271"/>
    <cellStyle name="Normal 6 3 2 3 2 2 5" xfId="8785"/>
    <cellStyle name="Normal 6 3 2 3 2 2 6" xfId="12405"/>
    <cellStyle name="Normal 6 3 2 3 2 2 7" xfId="14151"/>
    <cellStyle name="Normal 6 3 2 3 2 3" xfId="2039"/>
    <cellStyle name="Normal 6 3 2 3 2 3 2" xfId="3852"/>
    <cellStyle name="Normal 6 3 2 3 2 3 3" xfId="7779"/>
    <cellStyle name="Normal 6 3 2 3 2 3 4" xfId="9297"/>
    <cellStyle name="Normal 6 3 2 3 2 3 5" xfId="12911"/>
    <cellStyle name="Normal 6 3 2 3 2 3 6" xfId="14657"/>
    <cellStyle name="Normal 6 3 2 3 2 4" xfId="4824"/>
    <cellStyle name="Normal 6 3 2 3 2 4 2" xfId="10295"/>
    <cellStyle name="Normal 6 3 2 3 2 5" xfId="5322"/>
    <cellStyle name="Normal 6 3 2 3 2 5 2" xfId="10797"/>
    <cellStyle name="Normal 6 3 2 3 2 6" xfId="5824"/>
    <cellStyle name="Normal 6 3 2 3 2 6 2" xfId="11299"/>
    <cellStyle name="Normal 6 3 2 3 2 7" xfId="2842"/>
    <cellStyle name="Normal 6 3 2 3 2 8" xfId="6765"/>
    <cellStyle name="Normal 6 3 2 3 2 9" xfId="8289"/>
    <cellStyle name="Normal 6 3 2 3 3" xfId="1283"/>
    <cellStyle name="Normal 6 3 2 3 3 2" xfId="4098"/>
    <cellStyle name="Normal 6 3 2 3 3 2 2" xfId="9545"/>
    <cellStyle name="Normal 6 3 2 3 3 3" xfId="3088"/>
    <cellStyle name="Normal 6 3 2 3 3 4" xfId="7023"/>
    <cellStyle name="Normal 6 3 2 3 3 5" xfId="8537"/>
    <cellStyle name="Normal 6 3 2 3 3 6" xfId="12157"/>
    <cellStyle name="Normal 6 3 2 3 3 7" xfId="13903"/>
    <cellStyle name="Normal 6 3 2 3 4" xfId="1791"/>
    <cellStyle name="Normal 6 3 2 3 4 2" xfId="3604"/>
    <cellStyle name="Normal 6 3 2 3 4 3" xfId="7531"/>
    <cellStyle name="Normal 6 3 2 3 4 4" xfId="9049"/>
    <cellStyle name="Normal 6 3 2 3 4 5" xfId="12663"/>
    <cellStyle name="Normal 6 3 2 3 4 6" xfId="14409"/>
    <cellStyle name="Normal 6 3 2 3 5" xfId="4588"/>
    <cellStyle name="Normal 6 3 2 3 5 2" xfId="10047"/>
    <cellStyle name="Normal 6 3 2 3 6" xfId="5074"/>
    <cellStyle name="Normal 6 3 2 3 6 2" xfId="10549"/>
    <cellStyle name="Normal 6 3 2 3 7" xfId="5576"/>
    <cellStyle name="Normal 6 3 2 3 7 2" xfId="11051"/>
    <cellStyle name="Normal 6 3 2 3 8" xfId="2604"/>
    <cellStyle name="Normal 6 3 2 3 9" xfId="6517"/>
    <cellStyle name="Normal 6 3 2 4" xfId="901"/>
    <cellStyle name="Normal 6 3 2 4 10" xfId="11775"/>
    <cellStyle name="Normal 6 3 2 4 11" xfId="13521"/>
    <cellStyle name="Normal 6 3 2 4 2" xfId="1407"/>
    <cellStyle name="Normal 6 3 2 4 2 2" xfId="4222"/>
    <cellStyle name="Normal 6 3 2 4 2 2 2" xfId="9669"/>
    <cellStyle name="Normal 6 3 2 4 2 3" xfId="3212"/>
    <cellStyle name="Normal 6 3 2 4 2 4" xfId="7147"/>
    <cellStyle name="Normal 6 3 2 4 2 5" xfId="8661"/>
    <cellStyle name="Normal 6 3 2 4 2 6" xfId="12281"/>
    <cellStyle name="Normal 6 3 2 4 2 7" xfId="14027"/>
    <cellStyle name="Normal 6 3 2 4 3" xfId="1915"/>
    <cellStyle name="Normal 6 3 2 4 3 2" xfId="3728"/>
    <cellStyle name="Normal 6 3 2 4 3 3" xfId="7655"/>
    <cellStyle name="Normal 6 3 2 4 3 4" xfId="9173"/>
    <cellStyle name="Normal 6 3 2 4 3 5" xfId="12787"/>
    <cellStyle name="Normal 6 3 2 4 3 6" xfId="14533"/>
    <cellStyle name="Normal 6 3 2 4 4" xfId="4704"/>
    <cellStyle name="Normal 6 3 2 4 4 2" xfId="10171"/>
    <cellStyle name="Normal 6 3 2 4 5" xfId="5198"/>
    <cellStyle name="Normal 6 3 2 4 5 2" xfId="10673"/>
    <cellStyle name="Normal 6 3 2 4 6" xfId="5700"/>
    <cellStyle name="Normal 6 3 2 4 6 2" xfId="11175"/>
    <cellStyle name="Normal 6 3 2 4 7" xfId="2722"/>
    <cellStyle name="Normal 6 3 2 4 8" xfId="6641"/>
    <cellStyle name="Normal 6 3 2 4 9" xfId="8165"/>
    <cellStyle name="Normal 6 3 2 5" xfId="1159"/>
    <cellStyle name="Normal 6 3 2 5 2" xfId="3976"/>
    <cellStyle name="Normal 6 3 2 5 2 2" xfId="9421"/>
    <cellStyle name="Normal 6 3 2 5 3" xfId="2966"/>
    <cellStyle name="Normal 6 3 2 5 4" xfId="6899"/>
    <cellStyle name="Normal 6 3 2 5 5" xfId="8413"/>
    <cellStyle name="Normal 6 3 2 5 6" xfId="12033"/>
    <cellStyle name="Normal 6 3 2 5 7" xfId="13779"/>
    <cellStyle name="Normal 6 3 2 6" xfId="1667"/>
    <cellStyle name="Normal 6 3 2 6 2" xfId="3480"/>
    <cellStyle name="Normal 6 3 2 6 3" xfId="7407"/>
    <cellStyle name="Normal 6 3 2 6 4" xfId="8925"/>
    <cellStyle name="Normal 6 3 2 6 5" xfId="12539"/>
    <cellStyle name="Normal 6 3 2 6 6" xfId="14285"/>
    <cellStyle name="Normal 6 3 2 7" xfId="4476"/>
    <cellStyle name="Normal 6 3 2 7 2" xfId="9923"/>
    <cellStyle name="Normal 6 3 2 8" xfId="4950"/>
    <cellStyle name="Normal 6 3 2 8 2" xfId="10425"/>
    <cellStyle name="Normal 6 3 2 9" xfId="5452"/>
    <cellStyle name="Normal 6 3 2 9 2" xfId="10927"/>
    <cellStyle name="Normal 6 3 3" xfId="673"/>
    <cellStyle name="Normal 6 3 3 10" xfId="2510"/>
    <cellStyle name="Normal 6 3 3 11" xfId="6413"/>
    <cellStyle name="Normal 6 3 3 12" xfId="7937"/>
    <cellStyle name="Normal 6 3 3 13" xfId="11547"/>
    <cellStyle name="Normal 6 3 3 14" xfId="13293"/>
    <cellStyle name="Normal 6 3 3 2" xfId="727"/>
    <cellStyle name="Normal 6 3 3 2 10" xfId="6467"/>
    <cellStyle name="Normal 6 3 3 2 11" xfId="7991"/>
    <cellStyle name="Normal 6 3 3 2 12" xfId="11601"/>
    <cellStyle name="Normal 6 3 3 2 13" xfId="13347"/>
    <cellStyle name="Normal 6 3 3 2 2" xfId="851"/>
    <cellStyle name="Normal 6 3 3 2 2 10" xfId="8115"/>
    <cellStyle name="Normal 6 3 3 2 2 11" xfId="11725"/>
    <cellStyle name="Normal 6 3 3 2 2 12" xfId="13471"/>
    <cellStyle name="Normal 6 3 3 2 2 2" xfId="1099"/>
    <cellStyle name="Normal 6 3 3 2 2 2 10" xfId="11973"/>
    <cellStyle name="Normal 6 3 3 2 2 2 11" xfId="13719"/>
    <cellStyle name="Normal 6 3 3 2 2 2 2" xfId="1605"/>
    <cellStyle name="Normal 6 3 3 2 2 2 2 2" xfId="4420"/>
    <cellStyle name="Normal 6 3 3 2 2 2 2 2 2" xfId="9867"/>
    <cellStyle name="Normal 6 3 3 2 2 2 2 3" xfId="3410"/>
    <cellStyle name="Normal 6 3 3 2 2 2 2 4" xfId="7345"/>
    <cellStyle name="Normal 6 3 3 2 2 2 2 5" xfId="8859"/>
    <cellStyle name="Normal 6 3 3 2 2 2 2 6" xfId="12479"/>
    <cellStyle name="Normal 6 3 3 2 2 2 2 7" xfId="14225"/>
    <cellStyle name="Normal 6 3 3 2 2 2 3" xfId="2113"/>
    <cellStyle name="Normal 6 3 3 2 2 2 3 2" xfId="3926"/>
    <cellStyle name="Normal 6 3 3 2 2 2 3 3" xfId="7853"/>
    <cellStyle name="Normal 6 3 3 2 2 2 3 4" xfId="9371"/>
    <cellStyle name="Normal 6 3 3 2 2 2 3 5" xfId="12985"/>
    <cellStyle name="Normal 6 3 3 2 2 2 3 6" xfId="14731"/>
    <cellStyle name="Normal 6 3 3 2 2 2 4" xfId="4898"/>
    <cellStyle name="Normal 6 3 3 2 2 2 4 2" xfId="10369"/>
    <cellStyle name="Normal 6 3 3 2 2 2 5" xfId="5396"/>
    <cellStyle name="Normal 6 3 3 2 2 2 5 2" xfId="10871"/>
    <cellStyle name="Normal 6 3 3 2 2 2 6" xfId="5898"/>
    <cellStyle name="Normal 6 3 3 2 2 2 6 2" xfId="11373"/>
    <cellStyle name="Normal 6 3 3 2 2 2 7" xfId="2916"/>
    <cellStyle name="Normal 6 3 3 2 2 2 8" xfId="6839"/>
    <cellStyle name="Normal 6 3 3 2 2 2 9" xfId="8363"/>
    <cellStyle name="Normal 6 3 3 2 2 3" xfId="1357"/>
    <cellStyle name="Normal 6 3 3 2 2 3 2" xfId="4172"/>
    <cellStyle name="Normal 6 3 3 2 2 3 2 2" xfId="9619"/>
    <cellStyle name="Normal 6 3 3 2 2 3 3" xfId="3162"/>
    <cellStyle name="Normal 6 3 3 2 2 3 4" xfId="7097"/>
    <cellStyle name="Normal 6 3 3 2 2 3 5" xfId="8611"/>
    <cellStyle name="Normal 6 3 3 2 2 3 6" xfId="12231"/>
    <cellStyle name="Normal 6 3 3 2 2 3 7" xfId="13977"/>
    <cellStyle name="Normal 6 3 3 2 2 4" xfId="1865"/>
    <cellStyle name="Normal 6 3 3 2 2 4 2" xfId="3678"/>
    <cellStyle name="Normal 6 3 3 2 2 4 3" xfId="7605"/>
    <cellStyle name="Normal 6 3 3 2 2 4 4" xfId="9123"/>
    <cellStyle name="Normal 6 3 3 2 2 4 5" xfId="12737"/>
    <cellStyle name="Normal 6 3 3 2 2 4 6" xfId="14483"/>
    <cellStyle name="Normal 6 3 3 2 2 5" xfId="4658"/>
    <cellStyle name="Normal 6 3 3 2 2 5 2" xfId="10121"/>
    <cellStyle name="Normal 6 3 3 2 2 6" xfId="5148"/>
    <cellStyle name="Normal 6 3 3 2 2 6 2" xfId="10623"/>
    <cellStyle name="Normal 6 3 3 2 2 7" xfId="5650"/>
    <cellStyle name="Normal 6 3 3 2 2 7 2" xfId="11125"/>
    <cellStyle name="Normal 6 3 3 2 2 8" xfId="2674"/>
    <cellStyle name="Normal 6 3 3 2 2 9" xfId="6591"/>
    <cellStyle name="Normal 6 3 3 2 3" xfId="975"/>
    <cellStyle name="Normal 6 3 3 2 3 10" xfId="11849"/>
    <cellStyle name="Normal 6 3 3 2 3 11" xfId="13595"/>
    <cellStyle name="Normal 6 3 3 2 3 2" xfId="1481"/>
    <cellStyle name="Normal 6 3 3 2 3 2 2" xfId="4296"/>
    <cellStyle name="Normal 6 3 3 2 3 2 2 2" xfId="9743"/>
    <cellStyle name="Normal 6 3 3 2 3 2 3" xfId="3286"/>
    <cellStyle name="Normal 6 3 3 2 3 2 4" xfId="7221"/>
    <cellStyle name="Normal 6 3 3 2 3 2 5" xfId="8735"/>
    <cellStyle name="Normal 6 3 3 2 3 2 6" xfId="12355"/>
    <cellStyle name="Normal 6 3 3 2 3 2 7" xfId="14101"/>
    <cellStyle name="Normal 6 3 3 2 3 3" xfId="1989"/>
    <cellStyle name="Normal 6 3 3 2 3 3 2" xfId="3802"/>
    <cellStyle name="Normal 6 3 3 2 3 3 3" xfId="7729"/>
    <cellStyle name="Normal 6 3 3 2 3 3 4" xfId="9247"/>
    <cellStyle name="Normal 6 3 3 2 3 3 5" xfId="12861"/>
    <cellStyle name="Normal 6 3 3 2 3 3 6" xfId="14607"/>
    <cellStyle name="Normal 6 3 3 2 3 4" xfId="4774"/>
    <cellStyle name="Normal 6 3 3 2 3 4 2" xfId="10245"/>
    <cellStyle name="Normal 6 3 3 2 3 5" xfId="5272"/>
    <cellStyle name="Normal 6 3 3 2 3 5 2" xfId="10747"/>
    <cellStyle name="Normal 6 3 3 2 3 6" xfId="5774"/>
    <cellStyle name="Normal 6 3 3 2 3 6 2" xfId="11249"/>
    <cellStyle name="Normal 6 3 3 2 3 7" xfId="2792"/>
    <cellStyle name="Normal 6 3 3 2 3 8" xfId="6715"/>
    <cellStyle name="Normal 6 3 3 2 3 9" xfId="8239"/>
    <cellStyle name="Normal 6 3 3 2 4" xfId="1233"/>
    <cellStyle name="Normal 6 3 3 2 4 2" xfId="4048"/>
    <cellStyle name="Normal 6 3 3 2 4 2 2" xfId="9495"/>
    <cellStyle name="Normal 6 3 3 2 4 3" xfId="3038"/>
    <cellStyle name="Normal 6 3 3 2 4 4" xfId="6973"/>
    <cellStyle name="Normal 6 3 3 2 4 5" xfId="8487"/>
    <cellStyle name="Normal 6 3 3 2 4 6" xfId="12107"/>
    <cellStyle name="Normal 6 3 3 2 4 7" xfId="13853"/>
    <cellStyle name="Normal 6 3 3 2 5" xfId="1741"/>
    <cellStyle name="Normal 6 3 3 2 5 2" xfId="3554"/>
    <cellStyle name="Normal 6 3 3 2 5 3" xfId="7481"/>
    <cellStyle name="Normal 6 3 3 2 5 4" xfId="8999"/>
    <cellStyle name="Normal 6 3 3 2 5 5" xfId="12613"/>
    <cellStyle name="Normal 6 3 3 2 5 6" xfId="14359"/>
    <cellStyle name="Normal 6 3 3 2 6" xfId="4542"/>
    <cellStyle name="Normal 6 3 3 2 6 2" xfId="9997"/>
    <cellStyle name="Normal 6 3 3 2 7" xfId="5024"/>
    <cellStyle name="Normal 6 3 3 2 7 2" xfId="10499"/>
    <cellStyle name="Normal 6 3 3 2 8" xfId="5526"/>
    <cellStyle name="Normal 6 3 3 2 8 2" xfId="11001"/>
    <cellStyle name="Normal 6 3 3 2 9" xfId="2558"/>
    <cellStyle name="Normal 6 3 3 3" xfId="797"/>
    <cellStyle name="Normal 6 3 3 3 10" xfId="8061"/>
    <cellStyle name="Normal 6 3 3 3 11" xfId="11671"/>
    <cellStyle name="Normal 6 3 3 3 12" xfId="13417"/>
    <cellStyle name="Normal 6 3 3 3 2" xfId="1045"/>
    <cellStyle name="Normal 6 3 3 3 2 10" xfId="11919"/>
    <cellStyle name="Normal 6 3 3 3 2 11" xfId="13665"/>
    <cellStyle name="Normal 6 3 3 3 2 2" xfId="1551"/>
    <cellStyle name="Normal 6 3 3 3 2 2 2" xfId="4366"/>
    <cellStyle name="Normal 6 3 3 3 2 2 2 2" xfId="9813"/>
    <cellStyle name="Normal 6 3 3 3 2 2 3" xfId="3356"/>
    <cellStyle name="Normal 6 3 3 3 2 2 4" xfId="7291"/>
    <cellStyle name="Normal 6 3 3 3 2 2 5" xfId="8805"/>
    <cellStyle name="Normal 6 3 3 3 2 2 6" xfId="12425"/>
    <cellStyle name="Normal 6 3 3 3 2 2 7" xfId="14171"/>
    <cellStyle name="Normal 6 3 3 3 2 3" xfId="2059"/>
    <cellStyle name="Normal 6 3 3 3 2 3 2" xfId="3872"/>
    <cellStyle name="Normal 6 3 3 3 2 3 3" xfId="7799"/>
    <cellStyle name="Normal 6 3 3 3 2 3 4" xfId="9317"/>
    <cellStyle name="Normal 6 3 3 3 2 3 5" xfId="12931"/>
    <cellStyle name="Normal 6 3 3 3 2 3 6" xfId="14677"/>
    <cellStyle name="Normal 6 3 3 3 2 4" xfId="4844"/>
    <cellStyle name="Normal 6 3 3 3 2 4 2" xfId="10315"/>
    <cellStyle name="Normal 6 3 3 3 2 5" xfId="5342"/>
    <cellStyle name="Normal 6 3 3 3 2 5 2" xfId="10817"/>
    <cellStyle name="Normal 6 3 3 3 2 6" xfId="5844"/>
    <cellStyle name="Normal 6 3 3 3 2 6 2" xfId="11319"/>
    <cellStyle name="Normal 6 3 3 3 2 7" xfId="2862"/>
    <cellStyle name="Normal 6 3 3 3 2 8" xfId="6785"/>
    <cellStyle name="Normal 6 3 3 3 2 9" xfId="8309"/>
    <cellStyle name="Normal 6 3 3 3 3" xfId="1303"/>
    <cellStyle name="Normal 6 3 3 3 3 2" xfId="4118"/>
    <cellStyle name="Normal 6 3 3 3 3 2 2" xfId="9565"/>
    <cellStyle name="Normal 6 3 3 3 3 3" xfId="3108"/>
    <cellStyle name="Normal 6 3 3 3 3 4" xfId="7043"/>
    <cellStyle name="Normal 6 3 3 3 3 5" xfId="8557"/>
    <cellStyle name="Normal 6 3 3 3 3 6" xfId="12177"/>
    <cellStyle name="Normal 6 3 3 3 3 7" xfId="13923"/>
    <cellStyle name="Normal 6 3 3 3 4" xfId="1811"/>
    <cellStyle name="Normal 6 3 3 3 4 2" xfId="3624"/>
    <cellStyle name="Normal 6 3 3 3 4 3" xfId="7551"/>
    <cellStyle name="Normal 6 3 3 3 4 4" xfId="9069"/>
    <cellStyle name="Normal 6 3 3 3 4 5" xfId="12683"/>
    <cellStyle name="Normal 6 3 3 3 4 6" xfId="14429"/>
    <cellStyle name="Normal 6 3 3 3 5" xfId="4606"/>
    <cellStyle name="Normal 6 3 3 3 5 2" xfId="10067"/>
    <cellStyle name="Normal 6 3 3 3 6" xfId="5094"/>
    <cellStyle name="Normal 6 3 3 3 6 2" xfId="10569"/>
    <cellStyle name="Normal 6 3 3 3 7" xfId="5596"/>
    <cellStyle name="Normal 6 3 3 3 7 2" xfId="11071"/>
    <cellStyle name="Normal 6 3 3 3 8" xfId="2622"/>
    <cellStyle name="Normal 6 3 3 3 9" xfId="6537"/>
    <cellStyle name="Normal 6 3 3 4" xfId="921"/>
    <cellStyle name="Normal 6 3 3 4 10" xfId="11795"/>
    <cellStyle name="Normal 6 3 3 4 11" xfId="13541"/>
    <cellStyle name="Normal 6 3 3 4 2" xfId="1427"/>
    <cellStyle name="Normal 6 3 3 4 2 2" xfId="4242"/>
    <cellStyle name="Normal 6 3 3 4 2 2 2" xfId="9689"/>
    <cellStyle name="Normal 6 3 3 4 2 3" xfId="3232"/>
    <cellStyle name="Normal 6 3 3 4 2 4" xfId="7167"/>
    <cellStyle name="Normal 6 3 3 4 2 5" xfId="8681"/>
    <cellStyle name="Normal 6 3 3 4 2 6" xfId="12301"/>
    <cellStyle name="Normal 6 3 3 4 2 7" xfId="14047"/>
    <cellStyle name="Normal 6 3 3 4 3" xfId="1935"/>
    <cellStyle name="Normal 6 3 3 4 3 2" xfId="3748"/>
    <cellStyle name="Normal 6 3 3 4 3 3" xfId="7675"/>
    <cellStyle name="Normal 6 3 3 4 3 4" xfId="9193"/>
    <cellStyle name="Normal 6 3 3 4 3 5" xfId="12807"/>
    <cellStyle name="Normal 6 3 3 4 3 6" xfId="14553"/>
    <cellStyle name="Normal 6 3 3 4 4" xfId="4722"/>
    <cellStyle name="Normal 6 3 3 4 4 2" xfId="10191"/>
    <cellStyle name="Normal 6 3 3 4 5" xfId="5218"/>
    <cellStyle name="Normal 6 3 3 4 5 2" xfId="10693"/>
    <cellStyle name="Normal 6 3 3 4 6" xfId="5720"/>
    <cellStyle name="Normal 6 3 3 4 6 2" xfId="11195"/>
    <cellStyle name="Normal 6 3 3 4 7" xfId="2740"/>
    <cellStyle name="Normal 6 3 3 4 8" xfId="6661"/>
    <cellStyle name="Normal 6 3 3 4 9" xfId="8185"/>
    <cellStyle name="Normal 6 3 3 5" xfId="1179"/>
    <cellStyle name="Normal 6 3 3 5 2" xfId="3996"/>
    <cellStyle name="Normal 6 3 3 5 2 2" xfId="9441"/>
    <cellStyle name="Normal 6 3 3 5 3" xfId="2986"/>
    <cellStyle name="Normal 6 3 3 5 4" xfId="6919"/>
    <cellStyle name="Normal 6 3 3 5 5" xfId="8433"/>
    <cellStyle name="Normal 6 3 3 5 6" xfId="12053"/>
    <cellStyle name="Normal 6 3 3 5 7" xfId="13799"/>
    <cellStyle name="Normal 6 3 3 6" xfId="1687"/>
    <cellStyle name="Normal 6 3 3 6 2" xfId="3500"/>
    <cellStyle name="Normal 6 3 3 6 3" xfId="7427"/>
    <cellStyle name="Normal 6 3 3 6 4" xfId="8945"/>
    <cellStyle name="Normal 6 3 3 6 5" xfId="12559"/>
    <cellStyle name="Normal 6 3 3 6 6" xfId="14305"/>
    <cellStyle name="Normal 6 3 3 7" xfId="4494"/>
    <cellStyle name="Normal 6 3 3 7 2" xfId="9943"/>
    <cellStyle name="Normal 6 3 3 8" xfId="4970"/>
    <cellStyle name="Normal 6 3 3 8 2" xfId="10445"/>
    <cellStyle name="Normal 6 3 3 9" xfId="5472"/>
    <cellStyle name="Normal 6 3 3 9 2" xfId="10947"/>
    <cellStyle name="Normal 6 3 4" xfId="725"/>
    <cellStyle name="Normal 6 3 4 10" xfId="6465"/>
    <cellStyle name="Normal 6 3 4 11" xfId="7989"/>
    <cellStyle name="Normal 6 3 4 12" xfId="11599"/>
    <cellStyle name="Normal 6 3 4 13" xfId="13345"/>
    <cellStyle name="Normal 6 3 4 2" xfId="849"/>
    <cellStyle name="Normal 6 3 4 2 10" xfId="8113"/>
    <cellStyle name="Normal 6 3 4 2 11" xfId="11723"/>
    <cellStyle name="Normal 6 3 4 2 12" xfId="13469"/>
    <cellStyle name="Normal 6 3 4 2 2" xfId="1097"/>
    <cellStyle name="Normal 6 3 4 2 2 10" xfId="11971"/>
    <cellStyle name="Normal 6 3 4 2 2 11" xfId="13717"/>
    <cellStyle name="Normal 6 3 4 2 2 2" xfId="1603"/>
    <cellStyle name="Normal 6 3 4 2 2 2 2" xfId="4418"/>
    <cellStyle name="Normal 6 3 4 2 2 2 2 2" xfId="9865"/>
    <cellStyle name="Normal 6 3 4 2 2 2 3" xfId="3408"/>
    <cellStyle name="Normal 6 3 4 2 2 2 4" xfId="7343"/>
    <cellStyle name="Normal 6 3 4 2 2 2 5" xfId="8857"/>
    <cellStyle name="Normal 6 3 4 2 2 2 6" xfId="12477"/>
    <cellStyle name="Normal 6 3 4 2 2 2 7" xfId="14223"/>
    <cellStyle name="Normal 6 3 4 2 2 3" xfId="2111"/>
    <cellStyle name="Normal 6 3 4 2 2 3 2" xfId="3924"/>
    <cellStyle name="Normal 6 3 4 2 2 3 3" xfId="7851"/>
    <cellStyle name="Normal 6 3 4 2 2 3 4" xfId="9369"/>
    <cellStyle name="Normal 6 3 4 2 2 3 5" xfId="12983"/>
    <cellStyle name="Normal 6 3 4 2 2 3 6" xfId="14729"/>
    <cellStyle name="Normal 6 3 4 2 2 4" xfId="4896"/>
    <cellStyle name="Normal 6 3 4 2 2 4 2" xfId="10367"/>
    <cellStyle name="Normal 6 3 4 2 2 5" xfId="5394"/>
    <cellStyle name="Normal 6 3 4 2 2 5 2" xfId="10869"/>
    <cellStyle name="Normal 6 3 4 2 2 6" xfId="5896"/>
    <cellStyle name="Normal 6 3 4 2 2 6 2" xfId="11371"/>
    <cellStyle name="Normal 6 3 4 2 2 7" xfId="2914"/>
    <cellStyle name="Normal 6 3 4 2 2 8" xfId="6837"/>
    <cellStyle name="Normal 6 3 4 2 2 9" xfId="8361"/>
    <cellStyle name="Normal 6 3 4 2 3" xfId="1355"/>
    <cellStyle name="Normal 6 3 4 2 3 2" xfId="4170"/>
    <cellStyle name="Normal 6 3 4 2 3 2 2" xfId="9617"/>
    <cellStyle name="Normal 6 3 4 2 3 3" xfId="3160"/>
    <cellStyle name="Normal 6 3 4 2 3 4" xfId="7095"/>
    <cellStyle name="Normal 6 3 4 2 3 5" xfId="8609"/>
    <cellStyle name="Normal 6 3 4 2 3 6" xfId="12229"/>
    <cellStyle name="Normal 6 3 4 2 3 7" xfId="13975"/>
    <cellStyle name="Normal 6 3 4 2 4" xfId="1863"/>
    <cellStyle name="Normal 6 3 4 2 4 2" xfId="3676"/>
    <cellStyle name="Normal 6 3 4 2 4 3" xfId="7603"/>
    <cellStyle name="Normal 6 3 4 2 4 4" xfId="9121"/>
    <cellStyle name="Normal 6 3 4 2 4 5" xfId="12735"/>
    <cellStyle name="Normal 6 3 4 2 4 6" xfId="14481"/>
    <cellStyle name="Normal 6 3 4 2 5" xfId="4656"/>
    <cellStyle name="Normal 6 3 4 2 5 2" xfId="10119"/>
    <cellStyle name="Normal 6 3 4 2 6" xfId="5146"/>
    <cellStyle name="Normal 6 3 4 2 6 2" xfId="10621"/>
    <cellStyle name="Normal 6 3 4 2 7" xfId="5648"/>
    <cellStyle name="Normal 6 3 4 2 7 2" xfId="11123"/>
    <cellStyle name="Normal 6 3 4 2 8" xfId="2672"/>
    <cellStyle name="Normal 6 3 4 2 9" xfId="6589"/>
    <cellStyle name="Normal 6 3 4 3" xfId="973"/>
    <cellStyle name="Normal 6 3 4 3 10" xfId="11847"/>
    <cellStyle name="Normal 6 3 4 3 11" xfId="13593"/>
    <cellStyle name="Normal 6 3 4 3 2" xfId="1479"/>
    <cellStyle name="Normal 6 3 4 3 2 2" xfId="4294"/>
    <cellStyle name="Normal 6 3 4 3 2 2 2" xfId="9741"/>
    <cellStyle name="Normal 6 3 4 3 2 3" xfId="3284"/>
    <cellStyle name="Normal 6 3 4 3 2 4" xfId="7219"/>
    <cellStyle name="Normal 6 3 4 3 2 5" xfId="8733"/>
    <cellStyle name="Normal 6 3 4 3 2 6" xfId="12353"/>
    <cellStyle name="Normal 6 3 4 3 2 7" xfId="14099"/>
    <cellStyle name="Normal 6 3 4 3 3" xfId="1987"/>
    <cellStyle name="Normal 6 3 4 3 3 2" xfId="3800"/>
    <cellStyle name="Normal 6 3 4 3 3 3" xfId="7727"/>
    <cellStyle name="Normal 6 3 4 3 3 4" xfId="9245"/>
    <cellStyle name="Normal 6 3 4 3 3 5" xfId="12859"/>
    <cellStyle name="Normal 6 3 4 3 3 6" xfId="14605"/>
    <cellStyle name="Normal 6 3 4 3 4" xfId="4772"/>
    <cellStyle name="Normal 6 3 4 3 4 2" xfId="10243"/>
    <cellStyle name="Normal 6 3 4 3 5" xfId="5270"/>
    <cellStyle name="Normal 6 3 4 3 5 2" xfId="10745"/>
    <cellStyle name="Normal 6 3 4 3 6" xfId="5772"/>
    <cellStyle name="Normal 6 3 4 3 6 2" xfId="11247"/>
    <cellStyle name="Normal 6 3 4 3 7" xfId="2790"/>
    <cellStyle name="Normal 6 3 4 3 8" xfId="6713"/>
    <cellStyle name="Normal 6 3 4 3 9" xfId="8237"/>
    <cellStyle name="Normal 6 3 4 4" xfId="1231"/>
    <cellStyle name="Normal 6 3 4 4 2" xfId="4046"/>
    <cellStyle name="Normal 6 3 4 4 2 2" xfId="9493"/>
    <cellStyle name="Normal 6 3 4 4 3" xfId="3036"/>
    <cellStyle name="Normal 6 3 4 4 4" xfId="6971"/>
    <cellStyle name="Normal 6 3 4 4 5" xfId="8485"/>
    <cellStyle name="Normal 6 3 4 4 6" xfId="12105"/>
    <cellStyle name="Normal 6 3 4 4 7" xfId="13851"/>
    <cellStyle name="Normal 6 3 4 5" xfId="1739"/>
    <cellStyle name="Normal 6 3 4 5 2" xfId="3552"/>
    <cellStyle name="Normal 6 3 4 5 3" xfId="7479"/>
    <cellStyle name="Normal 6 3 4 5 4" xfId="8997"/>
    <cellStyle name="Normal 6 3 4 5 5" xfId="12611"/>
    <cellStyle name="Normal 6 3 4 5 6" xfId="14357"/>
    <cellStyle name="Normal 6 3 4 6" xfId="4540"/>
    <cellStyle name="Normal 6 3 4 6 2" xfId="9995"/>
    <cellStyle name="Normal 6 3 4 7" xfId="5022"/>
    <cellStyle name="Normal 6 3 4 7 2" xfId="10497"/>
    <cellStyle name="Normal 6 3 4 8" xfId="5524"/>
    <cellStyle name="Normal 6 3 4 8 2" xfId="10999"/>
    <cellStyle name="Normal 6 3 4 9" xfId="2556"/>
    <cellStyle name="Normal 6 3 5" xfId="755"/>
    <cellStyle name="Normal 6 3 5 10" xfId="8019"/>
    <cellStyle name="Normal 6 3 5 11" xfId="11629"/>
    <cellStyle name="Normal 6 3 5 12" xfId="13375"/>
    <cellStyle name="Normal 6 3 5 2" xfId="1003"/>
    <cellStyle name="Normal 6 3 5 2 10" xfId="11877"/>
    <cellStyle name="Normal 6 3 5 2 11" xfId="13623"/>
    <cellStyle name="Normal 6 3 5 2 2" xfId="1509"/>
    <cellStyle name="Normal 6 3 5 2 2 2" xfId="4324"/>
    <cellStyle name="Normal 6 3 5 2 2 2 2" xfId="9771"/>
    <cellStyle name="Normal 6 3 5 2 2 3" xfId="3314"/>
    <cellStyle name="Normal 6 3 5 2 2 4" xfId="7249"/>
    <cellStyle name="Normal 6 3 5 2 2 5" xfId="8763"/>
    <cellStyle name="Normal 6 3 5 2 2 6" xfId="12383"/>
    <cellStyle name="Normal 6 3 5 2 2 7" xfId="14129"/>
    <cellStyle name="Normal 6 3 5 2 3" xfId="2017"/>
    <cellStyle name="Normal 6 3 5 2 3 2" xfId="3830"/>
    <cellStyle name="Normal 6 3 5 2 3 3" xfId="7757"/>
    <cellStyle name="Normal 6 3 5 2 3 4" xfId="9275"/>
    <cellStyle name="Normal 6 3 5 2 3 5" xfId="12889"/>
    <cellStyle name="Normal 6 3 5 2 3 6" xfId="14635"/>
    <cellStyle name="Normal 6 3 5 2 4" xfId="4802"/>
    <cellStyle name="Normal 6 3 5 2 4 2" xfId="10273"/>
    <cellStyle name="Normal 6 3 5 2 5" xfId="5300"/>
    <cellStyle name="Normal 6 3 5 2 5 2" xfId="10775"/>
    <cellStyle name="Normal 6 3 5 2 6" xfId="5802"/>
    <cellStyle name="Normal 6 3 5 2 6 2" xfId="11277"/>
    <cellStyle name="Normal 6 3 5 2 7" xfId="2820"/>
    <cellStyle name="Normal 6 3 5 2 8" xfId="6743"/>
    <cellStyle name="Normal 6 3 5 2 9" xfId="8267"/>
    <cellStyle name="Normal 6 3 5 3" xfId="1261"/>
    <cellStyle name="Normal 6 3 5 3 2" xfId="4076"/>
    <cellStyle name="Normal 6 3 5 3 2 2" xfId="9523"/>
    <cellStyle name="Normal 6 3 5 3 3" xfId="3066"/>
    <cellStyle name="Normal 6 3 5 3 4" xfId="7001"/>
    <cellStyle name="Normal 6 3 5 3 5" xfId="8515"/>
    <cellStyle name="Normal 6 3 5 3 6" xfId="12135"/>
    <cellStyle name="Normal 6 3 5 3 7" xfId="13881"/>
    <cellStyle name="Normal 6 3 5 4" xfId="1769"/>
    <cellStyle name="Normal 6 3 5 4 2" xfId="3582"/>
    <cellStyle name="Normal 6 3 5 4 3" xfId="7509"/>
    <cellStyle name="Normal 6 3 5 4 4" xfId="9027"/>
    <cellStyle name="Normal 6 3 5 4 5" xfId="12641"/>
    <cellStyle name="Normal 6 3 5 4 6" xfId="14387"/>
    <cellStyle name="Normal 6 3 5 5" xfId="4568"/>
    <cellStyle name="Normal 6 3 5 5 2" xfId="10025"/>
    <cellStyle name="Normal 6 3 5 6" xfId="5052"/>
    <cellStyle name="Normal 6 3 5 6 2" xfId="10527"/>
    <cellStyle name="Normal 6 3 5 7" xfId="5554"/>
    <cellStyle name="Normal 6 3 5 7 2" xfId="11029"/>
    <cellStyle name="Normal 6 3 5 8" xfId="2584"/>
    <cellStyle name="Normal 6 3 5 9" xfId="6495"/>
    <cellStyle name="Normal 6 3 6" xfId="623"/>
    <cellStyle name="Normal 6 3 6 10" xfId="11505"/>
    <cellStyle name="Normal 6 3 6 11" xfId="13251"/>
    <cellStyle name="Normal 6 3 6 2" xfId="1137"/>
    <cellStyle name="Normal 6 3 6 2 2" xfId="4200"/>
    <cellStyle name="Normal 6 3 6 2 2 2" xfId="9647"/>
    <cellStyle name="Normal 6 3 6 2 3" xfId="3190"/>
    <cellStyle name="Normal 6 3 6 2 4" xfId="6877"/>
    <cellStyle name="Normal 6 3 6 2 5" xfId="8639"/>
    <cellStyle name="Normal 6 3 6 2 6" xfId="12011"/>
    <cellStyle name="Normal 6 3 6 2 7" xfId="13757"/>
    <cellStyle name="Normal 6 3 6 3" xfId="1645"/>
    <cellStyle name="Normal 6 3 6 3 2" xfId="3458"/>
    <cellStyle name="Normal 6 3 6 3 3" xfId="7385"/>
    <cellStyle name="Normal 6 3 6 3 4" xfId="8903"/>
    <cellStyle name="Normal 6 3 6 3 5" xfId="12517"/>
    <cellStyle name="Normal 6 3 6 3 6" xfId="14263"/>
    <cellStyle name="Normal 6 3 6 4" xfId="4684"/>
    <cellStyle name="Normal 6 3 6 4 2" xfId="10149"/>
    <cellStyle name="Normal 6 3 6 5" xfId="5176"/>
    <cellStyle name="Normal 6 3 6 5 2" xfId="10651"/>
    <cellStyle name="Normal 6 3 6 6" xfId="5678"/>
    <cellStyle name="Normal 6 3 6 6 2" xfId="11153"/>
    <cellStyle name="Normal 6 3 6 7" xfId="2472"/>
    <cellStyle name="Normal 6 3 6 8" xfId="6368"/>
    <cellStyle name="Normal 6 3 6 9" xfId="7895"/>
    <cellStyle name="Normal 6 3 7" xfId="879"/>
    <cellStyle name="Normal 6 3 7 2" xfId="1385"/>
    <cellStyle name="Normal 6 3 7 2 2" xfId="3706"/>
    <cellStyle name="Normal 6 3 7 2 3" xfId="7125"/>
    <cellStyle name="Normal 6 3 7 2 4" xfId="9151"/>
    <cellStyle name="Normal 6 3 7 2 5" xfId="12259"/>
    <cellStyle name="Normal 6 3 7 2 6" xfId="14005"/>
    <cellStyle name="Normal 6 3 7 3" xfId="1893"/>
    <cellStyle name="Normal 6 3 7 3 2" xfId="7633"/>
    <cellStyle name="Normal 6 3 7 3 3" xfId="12765"/>
    <cellStyle name="Normal 6 3 7 3 4" xfId="14511"/>
    <cellStyle name="Normal 6 3 7 4" xfId="2702"/>
    <cellStyle name="Normal 6 3 7 5" xfId="6619"/>
    <cellStyle name="Normal 6 3 7 6" xfId="8143"/>
    <cellStyle name="Normal 6 3 7 7" xfId="11753"/>
    <cellStyle name="Normal 6 3 7 8" xfId="13499"/>
    <cellStyle name="Normal 6 3 8" xfId="223"/>
    <cellStyle name="Normal 6 3 8 2" xfId="3954"/>
    <cellStyle name="Normal 6 3 8 2 2" xfId="9399"/>
    <cellStyle name="Normal 6 3 8 3" xfId="2944"/>
    <cellStyle name="Normal 6 3 8 4" xfId="6281"/>
    <cellStyle name="Normal 6 3 8 5" xfId="8391"/>
    <cellStyle name="Normal 6 3 8 6" xfId="11495"/>
    <cellStyle name="Normal 6 3 8 7" xfId="13241"/>
    <cellStyle name="Normal 6 3 9" xfId="1127"/>
    <cellStyle name="Normal 6 3 9 2" xfId="3448"/>
    <cellStyle name="Normal 6 3 9 3" xfId="6867"/>
    <cellStyle name="Normal 6 3 9 4" xfId="8893"/>
    <cellStyle name="Normal 6 3 9 5" xfId="12001"/>
    <cellStyle name="Normal 6 3 9 6" xfId="13747"/>
    <cellStyle name="Normal 6 4" xfId="625"/>
    <cellStyle name="Normal 6 4 10" xfId="4932"/>
    <cellStyle name="Normal 6 4 10 2" xfId="10405"/>
    <cellStyle name="Normal 6 4 11" xfId="5432"/>
    <cellStyle name="Normal 6 4 11 2" xfId="10907"/>
    <cellStyle name="Normal 6 4 12" xfId="2474"/>
    <cellStyle name="Normal 6 4 13" xfId="6370"/>
    <cellStyle name="Normal 6 4 14" xfId="7897"/>
    <cellStyle name="Normal 6 4 15" xfId="11507"/>
    <cellStyle name="Normal 6 4 16" xfId="13253"/>
    <cellStyle name="Normal 6 4 2" xfId="655"/>
    <cellStyle name="Normal 6 4 2 10" xfId="2494"/>
    <cellStyle name="Normal 6 4 2 11" xfId="6395"/>
    <cellStyle name="Normal 6 4 2 12" xfId="7919"/>
    <cellStyle name="Normal 6 4 2 13" xfId="11529"/>
    <cellStyle name="Normal 6 4 2 14" xfId="13275"/>
    <cellStyle name="Normal 6 4 2 2" xfId="729"/>
    <cellStyle name="Normal 6 4 2 2 10" xfId="6469"/>
    <cellStyle name="Normal 6 4 2 2 11" xfId="7993"/>
    <cellStyle name="Normal 6 4 2 2 12" xfId="11603"/>
    <cellStyle name="Normal 6 4 2 2 13" xfId="13349"/>
    <cellStyle name="Normal 6 4 2 2 2" xfId="853"/>
    <cellStyle name="Normal 6 4 2 2 2 10" xfId="8117"/>
    <cellStyle name="Normal 6 4 2 2 2 11" xfId="11727"/>
    <cellStyle name="Normal 6 4 2 2 2 12" xfId="13473"/>
    <cellStyle name="Normal 6 4 2 2 2 2" xfId="1101"/>
    <cellStyle name="Normal 6 4 2 2 2 2 10" xfId="11975"/>
    <cellStyle name="Normal 6 4 2 2 2 2 11" xfId="13721"/>
    <cellStyle name="Normal 6 4 2 2 2 2 2" xfId="1607"/>
    <cellStyle name="Normal 6 4 2 2 2 2 2 2" xfId="4422"/>
    <cellStyle name="Normal 6 4 2 2 2 2 2 2 2" xfId="9869"/>
    <cellStyle name="Normal 6 4 2 2 2 2 2 3" xfId="3412"/>
    <cellStyle name="Normal 6 4 2 2 2 2 2 4" xfId="7347"/>
    <cellStyle name="Normal 6 4 2 2 2 2 2 5" xfId="8861"/>
    <cellStyle name="Normal 6 4 2 2 2 2 2 6" xfId="12481"/>
    <cellStyle name="Normal 6 4 2 2 2 2 2 7" xfId="14227"/>
    <cellStyle name="Normal 6 4 2 2 2 2 3" xfId="2115"/>
    <cellStyle name="Normal 6 4 2 2 2 2 3 2" xfId="3928"/>
    <cellStyle name="Normal 6 4 2 2 2 2 3 3" xfId="7855"/>
    <cellStyle name="Normal 6 4 2 2 2 2 3 4" xfId="9373"/>
    <cellStyle name="Normal 6 4 2 2 2 2 3 5" xfId="12987"/>
    <cellStyle name="Normal 6 4 2 2 2 2 3 6" xfId="14733"/>
    <cellStyle name="Normal 6 4 2 2 2 2 4" xfId="4900"/>
    <cellStyle name="Normal 6 4 2 2 2 2 4 2" xfId="10371"/>
    <cellStyle name="Normal 6 4 2 2 2 2 5" xfId="5398"/>
    <cellStyle name="Normal 6 4 2 2 2 2 5 2" xfId="10873"/>
    <cellStyle name="Normal 6 4 2 2 2 2 6" xfId="5900"/>
    <cellStyle name="Normal 6 4 2 2 2 2 6 2" xfId="11375"/>
    <cellStyle name="Normal 6 4 2 2 2 2 7" xfId="2918"/>
    <cellStyle name="Normal 6 4 2 2 2 2 8" xfId="6841"/>
    <cellStyle name="Normal 6 4 2 2 2 2 9" xfId="8365"/>
    <cellStyle name="Normal 6 4 2 2 2 3" xfId="1359"/>
    <cellStyle name="Normal 6 4 2 2 2 3 2" xfId="4174"/>
    <cellStyle name="Normal 6 4 2 2 2 3 2 2" xfId="9621"/>
    <cellStyle name="Normal 6 4 2 2 2 3 3" xfId="3164"/>
    <cellStyle name="Normal 6 4 2 2 2 3 4" xfId="7099"/>
    <cellStyle name="Normal 6 4 2 2 2 3 5" xfId="8613"/>
    <cellStyle name="Normal 6 4 2 2 2 3 6" xfId="12233"/>
    <cellStyle name="Normal 6 4 2 2 2 3 7" xfId="13979"/>
    <cellStyle name="Normal 6 4 2 2 2 4" xfId="1867"/>
    <cellStyle name="Normal 6 4 2 2 2 4 2" xfId="3680"/>
    <cellStyle name="Normal 6 4 2 2 2 4 3" xfId="7607"/>
    <cellStyle name="Normal 6 4 2 2 2 4 4" xfId="9125"/>
    <cellStyle name="Normal 6 4 2 2 2 4 5" xfId="12739"/>
    <cellStyle name="Normal 6 4 2 2 2 4 6" xfId="14485"/>
    <cellStyle name="Normal 6 4 2 2 2 5" xfId="4660"/>
    <cellStyle name="Normal 6 4 2 2 2 5 2" xfId="10123"/>
    <cellStyle name="Normal 6 4 2 2 2 6" xfId="5150"/>
    <cellStyle name="Normal 6 4 2 2 2 6 2" xfId="10625"/>
    <cellStyle name="Normal 6 4 2 2 2 7" xfId="5652"/>
    <cellStyle name="Normal 6 4 2 2 2 7 2" xfId="11127"/>
    <cellStyle name="Normal 6 4 2 2 2 8" xfId="2676"/>
    <cellStyle name="Normal 6 4 2 2 2 9" xfId="6593"/>
    <cellStyle name="Normal 6 4 2 2 3" xfId="977"/>
    <cellStyle name="Normal 6 4 2 2 3 10" xfId="11851"/>
    <cellStyle name="Normal 6 4 2 2 3 11" xfId="13597"/>
    <cellStyle name="Normal 6 4 2 2 3 2" xfId="1483"/>
    <cellStyle name="Normal 6 4 2 2 3 2 2" xfId="4298"/>
    <cellStyle name="Normal 6 4 2 2 3 2 2 2" xfId="9745"/>
    <cellStyle name="Normal 6 4 2 2 3 2 3" xfId="3288"/>
    <cellStyle name="Normal 6 4 2 2 3 2 4" xfId="7223"/>
    <cellStyle name="Normal 6 4 2 2 3 2 5" xfId="8737"/>
    <cellStyle name="Normal 6 4 2 2 3 2 6" xfId="12357"/>
    <cellStyle name="Normal 6 4 2 2 3 2 7" xfId="14103"/>
    <cellStyle name="Normal 6 4 2 2 3 3" xfId="1991"/>
    <cellStyle name="Normal 6 4 2 2 3 3 2" xfId="3804"/>
    <cellStyle name="Normal 6 4 2 2 3 3 3" xfId="7731"/>
    <cellStyle name="Normal 6 4 2 2 3 3 4" xfId="9249"/>
    <cellStyle name="Normal 6 4 2 2 3 3 5" xfId="12863"/>
    <cellStyle name="Normal 6 4 2 2 3 3 6" xfId="14609"/>
    <cellStyle name="Normal 6 4 2 2 3 4" xfId="4776"/>
    <cellStyle name="Normal 6 4 2 2 3 4 2" xfId="10247"/>
    <cellStyle name="Normal 6 4 2 2 3 5" xfId="5274"/>
    <cellStyle name="Normal 6 4 2 2 3 5 2" xfId="10749"/>
    <cellStyle name="Normal 6 4 2 2 3 6" xfId="5776"/>
    <cellStyle name="Normal 6 4 2 2 3 6 2" xfId="11251"/>
    <cellStyle name="Normal 6 4 2 2 3 7" xfId="2794"/>
    <cellStyle name="Normal 6 4 2 2 3 8" xfId="6717"/>
    <cellStyle name="Normal 6 4 2 2 3 9" xfId="8241"/>
    <cellStyle name="Normal 6 4 2 2 4" xfId="1235"/>
    <cellStyle name="Normal 6 4 2 2 4 2" xfId="4050"/>
    <cellStyle name="Normal 6 4 2 2 4 2 2" xfId="9497"/>
    <cellStyle name="Normal 6 4 2 2 4 3" xfId="3040"/>
    <cellStyle name="Normal 6 4 2 2 4 4" xfId="6975"/>
    <cellStyle name="Normal 6 4 2 2 4 5" xfId="8489"/>
    <cellStyle name="Normal 6 4 2 2 4 6" xfId="12109"/>
    <cellStyle name="Normal 6 4 2 2 4 7" xfId="13855"/>
    <cellStyle name="Normal 6 4 2 2 5" xfId="1743"/>
    <cellStyle name="Normal 6 4 2 2 5 2" xfId="3556"/>
    <cellStyle name="Normal 6 4 2 2 5 3" xfId="7483"/>
    <cellStyle name="Normal 6 4 2 2 5 4" xfId="9001"/>
    <cellStyle name="Normal 6 4 2 2 5 5" xfId="12615"/>
    <cellStyle name="Normal 6 4 2 2 5 6" xfId="14361"/>
    <cellStyle name="Normal 6 4 2 2 6" xfId="4544"/>
    <cellStyle name="Normal 6 4 2 2 6 2" xfId="9999"/>
    <cellStyle name="Normal 6 4 2 2 7" xfId="5026"/>
    <cellStyle name="Normal 6 4 2 2 7 2" xfId="10501"/>
    <cellStyle name="Normal 6 4 2 2 8" xfId="5528"/>
    <cellStyle name="Normal 6 4 2 2 8 2" xfId="11003"/>
    <cellStyle name="Normal 6 4 2 2 9" xfId="2560"/>
    <cellStyle name="Normal 6 4 2 3" xfId="779"/>
    <cellStyle name="Normal 6 4 2 3 10" xfId="8043"/>
    <cellStyle name="Normal 6 4 2 3 11" xfId="11653"/>
    <cellStyle name="Normal 6 4 2 3 12" xfId="13399"/>
    <cellStyle name="Normal 6 4 2 3 2" xfId="1027"/>
    <cellStyle name="Normal 6 4 2 3 2 10" xfId="11901"/>
    <cellStyle name="Normal 6 4 2 3 2 11" xfId="13647"/>
    <cellStyle name="Normal 6 4 2 3 2 2" xfId="1533"/>
    <cellStyle name="Normal 6 4 2 3 2 2 2" xfId="4348"/>
    <cellStyle name="Normal 6 4 2 3 2 2 2 2" xfId="9795"/>
    <cellStyle name="Normal 6 4 2 3 2 2 3" xfId="3338"/>
    <cellStyle name="Normal 6 4 2 3 2 2 4" xfId="7273"/>
    <cellStyle name="Normal 6 4 2 3 2 2 5" xfId="8787"/>
    <cellStyle name="Normal 6 4 2 3 2 2 6" xfId="12407"/>
    <cellStyle name="Normal 6 4 2 3 2 2 7" xfId="14153"/>
    <cellStyle name="Normal 6 4 2 3 2 3" xfId="2041"/>
    <cellStyle name="Normal 6 4 2 3 2 3 2" xfId="3854"/>
    <cellStyle name="Normal 6 4 2 3 2 3 3" xfId="7781"/>
    <cellStyle name="Normal 6 4 2 3 2 3 4" xfId="9299"/>
    <cellStyle name="Normal 6 4 2 3 2 3 5" xfId="12913"/>
    <cellStyle name="Normal 6 4 2 3 2 3 6" xfId="14659"/>
    <cellStyle name="Normal 6 4 2 3 2 4" xfId="4826"/>
    <cellStyle name="Normal 6 4 2 3 2 4 2" xfId="10297"/>
    <cellStyle name="Normal 6 4 2 3 2 5" xfId="5324"/>
    <cellStyle name="Normal 6 4 2 3 2 5 2" xfId="10799"/>
    <cellStyle name="Normal 6 4 2 3 2 6" xfId="5826"/>
    <cellStyle name="Normal 6 4 2 3 2 6 2" xfId="11301"/>
    <cellStyle name="Normal 6 4 2 3 2 7" xfId="2844"/>
    <cellStyle name="Normal 6 4 2 3 2 8" xfId="6767"/>
    <cellStyle name="Normal 6 4 2 3 2 9" xfId="8291"/>
    <cellStyle name="Normal 6 4 2 3 3" xfId="1285"/>
    <cellStyle name="Normal 6 4 2 3 3 2" xfId="4100"/>
    <cellStyle name="Normal 6 4 2 3 3 2 2" xfId="9547"/>
    <cellStyle name="Normal 6 4 2 3 3 3" xfId="3090"/>
    <cellStyle name="Normal 6 4 2 3 3 4" xfId="7025"/>
    <cellStyle name="Normal 6 4 2 3 3 5" xfId="8539"/>
    <cellStyle name="Normal 6 4 2 3 3 6" xfId="12159"/>
    <cellStyle name="Normal 6 4 2 3 3 7" xfId="13905"/>
    <cellStyle name="Normal 6 4 2 3 4" xfId="1793"/>
    <cellStyle name="Normal 6 4 2 3 4 2" xfId="3606"/>
    <cellStyle name="Normal 6 4 2 3 4 3" xfId="7533"/>
    <cellStyle name="Normal 6 4 2 3 4 4" xfId="9051"/>
    <cellStyle name="Normal 6 4 2 3 4 5" xfId="12665"/>
    <cellStyle name="Normal 6 4 2 3 4 6" xfId="14411"/>
    <cellStyle name="Normal 6 4 2 3 5" xfId="4590"/>
    <cellStyle name="Normal 6 4 2 3 5 2" xfId="10049"/>
    <cellStyle name="Normal 6 4 2 3 6" xfId="5076"/>
    <cellStyle name="Normal 6 4 2 3 6 2" xfId="10551"/>
    <cellStyle name="Normal 6 4 2 3 7" xfId="5578"/>
    <cellStyle name="Normal 6 4 2 3 7 2" xfId="11053"/>
    <cellStyle name="Normal 6 4 2 3 8" xfId="2606"/>
    <cellStyle name="Normal 6 4 2 3 9" xfId="6519"/>
    <cellStyle name="Normal 6 4 2 4" xfId="903"/>
    <cellStyle name="Normal 6 4 2 4 10" xfId="11777"/>
    <cellStyle name="Normal 6 4 2 4 11" xfId="13523"/>
    <cellStyle name="Normal 6 4 2 4 2" xfId="1409"/>
    <cellStyle name="Normal 6 4 2 4 2 2" xfId="4224"/>
    <cellStyle name="Normal 6 4 2 4 2 2 2" xfId="9671"/>
    <cellStyle name="Normal 6 4 2 4 2 3" xfId="3214"/>
    <cellStyle name="Normal 6 4 2 4 2 4" xfId="7149"/>
    <cellStyle name="Normal 6 4 2 4 2 5" xfId="8663"/>
    <cellStyle name="Normal 6 4 2 4 2 6" xfId="12283"/>
    <cellStyle name="Normal 6 4 2 4 2 7" xfId="14029"/>
    <cellStyle name="Normal 6 4 2 4 3" xfId="1917"/>
    <cellStyle name="Normal 6 4 2 4 3 2" xfId="3730"/>
    <cellStyle name="Normal 6 4 2 4 3 3" xfId="7657"/>
    <cellStyle name="Normal 6 4 2 4 3 4" xfId="9175"/>
    <cellStyle name="Normal 6 4 2 4 3 5" xfId="12789"/>
    <cellStyle name="Normal 6 4 2 4 3 6" xfId="14535"/>
    <cellStyle name="Normal 6 4 2 4 4" xfId="4706"/>
    <cellStyle name="Normal 6 4 2 4 4 2" xfId="10173"/>
    <cellStyle name="Normal 6 4 2 4 5" xfId="5200"/>
    <cellStyle name="Normal 6 4 2 4 5 2" xfId="10675"/>
    <cellStyle name="Normal 6 4 2 4 6" xfId="5702"/>
    <cellStyle name="Normal 6 4 2 4 6 2" xfId="11177"/>
    <cellStyle name="Normal 6 4 2 4 7" xfId="2724"/>
    <cellStyle name="Normal 6 4 2 4 8" xfId="6643"/>
    <cellStyle name="Normal 6 4 2 4 9" xfId="8167"/>
    <cellStyle name="Normal 6 4 2 5" xfId="1161"/>
    <cellStyle name="Normal 6 4 2 5 2" xfId="3978"/>
    <cellStyle name="Normal 6 4 2 5 2 2" xfId="9423"/>
    <cellStyle name="Normal 6 4 2 5 3" xfId="2968"/>
    <cellStyle name="Normal 6 4 2 5 4" xfId="6901"/>
    <cellStyle name="Normal 6 4 2 5 5" xfId="8415"/>
    <cellStyle name="Normal 6 4 2 5 6" xfId="12035"/>
    <cellStyle name="Normal 6 4 2 5 7" xfId="13781"/>
    <cellStyle name="Normal 6 4 2 6" xfId="1669"/>
    <cellStyle name="Normal 6 4 2 6 2" xfId="3482"/>
    <cellStyle name="Normal 6 4 2 6 3" xfId="7409"/>
    <cellStyle name="Normal 6 4 2 6 4" xfId="8927"/>
    <cellStyle name="Normal 6 4 2 6 5" xfId="12541"/>
    <cellStyle name="Normal 6 4 2 6 6" xfId="14287"/>
    <cellStyle name="Normal 6 4 2 7" xfId="4478"/>
    <cellStyle name="Normal 6 4 2 7 2" xfId="9925"/>
    <cellStyle name="Normal 6 4 2 8" xfId="4952"/>
    <cellStyle name="Normal 6 4 2 8 2" xfId="10427"/>
    <cellStyle name="Normal 6 4 2 9" xfId="5454"/>
    <cellStyle name="Normal 6 4 2 9 2" xfId="10929"/>
    <cellStyle name="Normal 6 4 3" xfId="675"/>
    <cellStyle name="Normal 6 4 3 10" xfId="2512"/>
    <cellStyle name="Normal 6 4 3 11" xfId="6415"/>
    <cellStyle name="Normal 6 4 3 12" xfId="7939"/>
    <cellStyle name="Normal 6 4 3 13" xfId="11549"/>
    <cellStyle name="Normal 6 4 3 14" xfId="13295"/>
    <cellStyle name="Normal 6 4 3 2" xfId="730"/>
    <cellStyle name="Normal 6 4 3 2 10" xfId="6470"/>
    <cellStyle name="Normal 6 4 3 2 11" xfId="7994"/>
    <cellStyle name="Normal 6 4 3 2 12" xfId="11604"/>
    <cellStyle name="Normal 6 4 3 2 13" xfId="13350"/>
    <cellStyle name="Normal 6 4 3 2 2" xfId="854"/>
    <cellStyle name="Normal 6 4 3 2 2 10" xfId="8118"/>
    <cellStyle name="Normal 6 4 3 2 2 11" xfId="11728"/>
    <cellStyle name="Normal 6 4 3 2 2 12" xfId="13474"/>
    <cellStyle name="Normal 6 4 3 2 2 2" xfId="1102"/>
    <cellStyle name="Normal 6 4 3 2 2 2 10" xfId="11976"/>
    <cellStyle name="Normal 6 4 3 2 2 2 11" xfId="13722"/>
    <cellStyle name="Normal 6 4 3 2 2 2 2" xfId="1608"/>
    <cellStyle name="Normal 6 4 3 2 2 2 2 2" xfId="4423"/>
    <cellStyle name="Normal 6 4 3 2 2 2 2 2 2" xfId="9870"/>
    <cellStyle name="Normal 6 4 3 2 2 2 2 3" xfId="3413"/>
    <cellStyle name="Normal 6 4 3 2 2 2 2 4" xfId="7348"/>
    <cellStyle name="Normal 6 4 3 2 2 2 2 5" xfId="8862"/>
    <cellStyle name="Normal 6 4 3 2 2 2 2 6" xfId="12482"/>
    <cellStyle name="Normal 6 4 3 2 2 2 2 7" xfId="14228"/>
    <cellStyle name="Normal 6 4 3 2 2 2 3" xfId="2116"/>
    <cellStyle name="Normal 6 4 3 2 2 2 3 2" xfId="3929"/>
    <cellStyle name="Normal 6 4 3 2 2 2 3 3" xfId="7856"/>
    <cellStyle name="Normal 6 4 3 2 2 2 3 4" xfId="9374"/>
    <cellStyle name="Normal 6 4 3 2 2 2 3 5" xfId="12988"/>
    <cellStyle name="Normal 6 4 3 2 2 2 3 6" xfId="14734"/>
    <cellStyle name="Normal 6 4 3 2 2 2 4" xfId="4901"/>
    <cellStyle name="Normal 6 4 3 2 2 2 4 2" xfId="10372"/>
    <cellStyle name="Normal 6 4 3 2 2 2 5" xfId="5399"/>
    <cellStyle name="Normal 6 4 3 2 2 2 5 2" xfId="10874"/>
    <cellStyle name="Normal 6 4 3 2 2 2 6" xfId="5901"/>
    <cellStyle name="Normal 6 4 3 2 2 2 6 2" xfId="11376"/>
    <cellStyle name="Normal 6 4 3 2 2 2 7" xfId="2919"/>
    <cellStyle name="Normal 6 4 3 2 2 2 8" xfId="6842"/>
    <cellStyle name="Normal 6 4 3 2 2 2 9" xfId="8366"/>
    <cellStyle name="Normal 6 4 3 2 2 3" xfId="1360"/>
    <cellStyle name="Normal 6 4 3 2 2 3 2" xfId="4175"/>
    <cellStyle name="Normal 6 4 3 2 2 3 2 2" xfId="9622"/>
    <cellStyle name="Normal 6 4 3 2 2 3 3" xfId="3165"/>
    <cellStyle name="Normal 6 4 3 2 2 3 4" xfId="7100"/>
    <cellStyle name="Normal 6 4 3 2 2 3 5" xfId="8614"/>
    <cellStyle name="Normal 6 4 3 2 2 3 6" xfId="12234"/>
    <cellStyle name="Normal 6 4 3 2 2 3 7" xfId="13980"/>
    <cellStyle name="Normal 6 4 3 2 2 4" xfId="1868"/>
    <cellStyle name="Normal 6 4 3 2 2 4 2" xfId="3681"/>
    <cellStyle name="Normal 6 4 3 2 2 4 3" xfId="7608"/>
    <cellStyle name="Normal 6 4 3 2 2 4 4" xfId="9126"/>
    <cellStyle name="Normal 6 4 3 2 2 4 5" xfId="12740"/>
    <cellStyle name="Normal 6 4 3 2 2 4 6" xfId="14486"/>
    <cellStyle name="Normal 6 4 3 2 2 5" xfId="4661"/>
    <cellStyle name="Normal 6 4 3 2 2 5 2" xfId="10124"/>
    <cellStyle name="Normal 6 4 3 2 2 6" xfId="5151"/>
    <cellStyle name="Normal 6 4 3 2 2 6 2" xfId="10626"/>
    <cellStyle name="Normal 6 4 3 2 2 7" xfId="5653"/>
    <cellStyle name="Normal 6 4 3 2 2 7 2" xfId="11128"/>
    <cellStyle name="Normal 6 4 3 2 2 8" xfId="2677"/>
    <cellStyle name="Normal 6 4 3 2 2 9" xfId="6594"/>
    <cellStyle name="Normal 6 4 3 2 3" xfId="978"/>
    <cellStyle name="Normal 6 4 3 2 3 10" xfId="11852"/>
    <cellStyle name="Normal 6 4 3 2 3 11" xfId="13598"/>
    <cellStyle name="Normal 6 4 3 2 3 2" xfId="1484"/>
    <cellStyle name="Normal 6 4 3 2 3 2 2" xfId="4299"/>
    <cellStyle name="Normal 6 4 3 2 3 2 2 2" xfId="9746"/>
    <cellStyle name="Normal 6 4 3 2 3 2 3" xfId="3289"/>
    <cellStyle name="Normal 6 4 3 2 3 2 4" xfId="7224"/>
    <cellStyle name="Normal 6 4 3 2 3 2 5" xfId="8738"/>
    <cellStyle name="Normal 6 4 3 2 3 2 6" xfId="12358"/>
    <cellStyle name="Normal 6 4 3 2 3 2 7" xfId="14104"/>
    <cellStyle name="Normal 6 4 3 2 3 3" xfId="1992"/>
    <cellStyle name="Normal 6 4 3 2 3 3 2" xfId="3805"/>
    <cellStyle name="Normal 6 4 3 2 3 3 3" xfId="7732"/>
    <cellStyle name="Normal 6 4 3 2 3 3 4" xfId="9250"/>
    <cellStyle name="Normal 6 4 3 2 3 3 5" xfId="12864"/>
    <cellStyle name="Normal 6 4 3 2 3 3 6" xfId="14610"/>
    <cellStyle name="Normal 6 4 3 2 3 4" xfId="4777"/>
    <cellStyle name="Normal 6 4 3 2 3 4 2" xfId="10248"/>
    <cellStyle name="Normal 6 4 3 2 3 5" xfId="5275"/>
    <cellStyle name="Normal 6 4 3 2 3 5 2" xfId="10750"/>
    <cellStyle name="Normal 6 4 3 2 3 6" xfId="5777"/>
    <cellStyle name="Normal 6 4 3 2 3 6 2" xfId="11252"/>
    <cellStyle name="Normal 6 4 3 2 3 7" xfId="2795"/>
    <cellStyle name="Normal 6 4 3 2 3 8" xfId="6718"/>
    <cellStyle name="Normal 6 4 3 2 3 9" xfId="8242"/>
    <cellStyle name="Normal 6 4 3 2 4" xfId="1236"/>
    <cellStyle name="Normal 6 4 3 2 4 2" xfId="4051"/>
    <cellStyle name="Normal 6 4 3 2 4 2 2" xfId="9498"/>
    <cellStyle name="Normal 6 4 3 2 4 3" xfId="3041"/>
    <cellStyle name="Normal 6 4 3 2 4 4" xfId="6976"/>
    <cellStyle name="Normal 6 4 3 2 4 5" xfId="8490"/>
    <cellStyle name="Normal 6 4 3 2 4 6" xfId="12110"/>
    <cellStyle name="Normal 6 4 3 2 4 7" xfId="13856"/>
    <cellStyle name="Normal 6 4 3 2 5" xfId="1744"/>
    <cellStyle name="Normal 6 4 3 2 5 2" xfId="3557"/>
    <cellStyle name="Normal 6 4 3 2 5 3" xfId="7484"/>
    <cellStyle name="Normal 6 4 3 2 5 4" xfId="9002"/>
    <cellStyle name="Normal 6 4 3 2 5 5" xfId="12616"/>
    <cellStyle name="Normal 6 4 3 2 5 6" xfId="14362"/>
    <cellStyle name="Normal 6 4 3 2 6" xfId="4545"/>
    <cellStyle name="Normal 6 4 3 2 6 2" xfId="10000"/>
    <cellStyle name="Normal 6 4 3 2 7" xfId="5027"/>
    <cellStyle name="Normal 6 4 3 2 7 2" xfId="10502"/>
    <cellStyle name="Normal 6 4 3 2 8" xfId="5529"/>
    <cellStyle name="Normal 6 4 3 2 8 2" xfId="11004"/>
    <cellStyle name="Normal 6 4 3 2 9" xfId="2561"/>
    <cellStyle name="Normal 6 4 3 3" xfId="799"/>
    <cellStyle name="Normal 6 4 3 3 10" xfId="8063"/>
    <cellStyle name="Normal 6 4 3 3 11" xfId="11673"/>
    <cellStyle name="Normal 6 4 3 3 12" xfId="13419"/>
    <cellStyle name="Normal 6 4 3 3 2" xfId="1047"/>
    <cellStyle name="Normal 6 4 3 3 2 10" xfId="11921"/>
    <cellStyle name="Normal 6 4 3 3 2 11" xfId="13667"/>
    <cellStyle name="Normal 6 4 3 3 2 2" xfId="1553"/>
    <cellStyle name="Normal 6 4 3 3 2 2 2" xfId="4368"/>
    <cellStyle name="Normal 6 4 3 3 2 2 2 2" xfId="9815"/>
    <cellStyle name="Normal 6 4 3 3 2 2 3" xfId="3358"/>
    <cellStyle name="Normal 6 4 3 3 2 2 4" xfId="7293"/>
    <cellStyle name="Normal 6 4 3 3 2 2 5" xfId="8807"/>
    <cellStyle name="Normal 6 4 3 3 2 2 6" xfId="12427"/>
    <cellStyle name="Normal 6 4 3 3 2 2 7" xfId="14173"/>
    <cellStyle name="Normal 6 4 3 3 2 3" xfId="2061"/>
    <cellStyle name="Normal 6 4 3 3 2 3 2" xfId="3874"/>
    <cellStyle name="Normal 6 4 3 3 2 3 3" xfId="7801"/>
    <cellStyle name="Normal 6 4 3 3 2 3 4" xfId="9319"/>
    <cellStyle name="Normal 6 4 3 3 2 3 5" xfId="12933"/>
    <cellStyle name="Normal 6 4 3 3 2 3 6" xfId="14679"/>
    <cellStyle name="Normal 6 4 3 3 2 4" xfId="4846"/>
    <cellStyle name="Normal 6 4 3 3 2 4 2" xfId="10317"/>
    <cellStyle name="Normal 6 4 3 3 2 5" xfId="5344"/>
    <cellStyle name="Normal 6 4 3 3 2 5 2" xfId="10819"/>
    <cellStyle name="Normal 6 4 3 3 2 6" xfId="5846"/>
    <cellStyle name="Normal 6 4 3 3 2 6 2" xfId="11321"/>
    <cellStyle name="Normal 6 4 3 3 2 7" xfId="2864"/>
    <cellStyle name="Normal 6 4 3 3 2 8" xfId="6787"/>
    <cellStyle name="Normal 6 4 3 3 2 9" xfId="8311"/>
    <cellStyle name="Normal 6 4 3 3 3" xfId="1305"/>
    <cellStyle name="Normal 6 4 3 3 3 2" xfId="4120"/>
    <cellStyle name="Normal 6 4 3 3 3 2 2" xfId="9567"/>
    <cellStyle name="Normal 6 4 3 3 3 3" xfId="3110"/>
    <cellStyle name="Normal 6 4 3 3 3 4" xfId="7045"/>
    <cellStyle name="Normal 6 4 3 3 3 5" xfId="8559"/>
    <cellStyle name="Normal 6 4 3 3 3 6" xfId="12179"/>
    <cellStyle name="Normal 6 4 3 3 3 7" xfId="13925"/>
    <cellStyle name="Normal 6 4 3 3 4" xfId="1813"/>
    <cellStyle name="Normal 6 4 3 3 4 2" xfId="3626"/>
    <cellStyle name="Normal 6 4 3 3 4 3" xfId="7553"/>
    <cellStyle name="Normal 6 4 3 3 4 4" xfId="9071"/>
    <cellStyle name="Normal 6 4 3 3 4 5" xfId="12685"/>
    <cellStyle name="Normal 6 4 3 3 4 6" xfId="14431"/>
    <cellStyle name="Normal 6 4 3 3 5" xfId="4608"/>
    <cellStyle name="Normal 6 4 3 3 5 2" xfId="10069"/>
    <cellStyle name="Normal 6 4 3 3 6" xfId="5096"/>
    <cellStyle name="Normal 6 4 3 3 6 2" xfId="10571"/>
    <cellStyle name="Normal 6 4 3 3 7" xfId="5598"/>
    <cellStyle name="Normal 6 4 3 3 7 2" xfId="11073"/>
    <cellStyle name="Normal 6 4 3 3 8" xfId="2624"/>
    <cellStyle name="Normal 6 4 3 3 9" xfId="6539"/>
    <cellStyle name="Normal 6 4 3 4" xfId="923"/>
    <cellStyle name="Normal 6 4 3 4 10" xfId="11797"/>
    <cellStyle name="Normal 6 4 3 4 11" xfId="13543"/>
    <cellStyle name="Normal 6 4 3 4 2" xfId="1429"/>
    <cellStyle name="Normal 6 4 3 4 2 2" xfId="4244"/>
    <cellStyle name="Normal 6 4 3 4 2 2 2" xfId="9691"/>
    <cellStyle name="Normal 6 4 3 4 2 3" xfId="3234"/>
    <cellStyle name="Normal 6 4 3 4 2 4" xfId="7169"/>
    <cellStyle name="Normal 6 4 3 4 2 5" xfId="8683"/>
    <cellStyle name="Normal 6 4 3 4 2 6" xfId="12303"/>
    <cellStyle name="Normal 6 4 3 4 2 7" xfId="14049"/>
    <cellStyle name="Normal 6 4 3 4 3" xfId="1937"/>
    <cellStyle name="Normal 6 4 3 4 3 2" xfId="3750"/>
    <cellStyle name="Normal 6 4 3 4 3 3" xfId="7677"/>
    <cellStyle name="Normal 6 4 3 4 3 4" xfId="9195"/>
    <cellStyle name="Normal 6 4 3 4 3 5" xfId="12809"/>
    <cellStyle name="Normal 6 4 3 4 3 6" xfId="14555"/>
    <cellStyle name="Normal 6 4 3 4 4" xfId="4724"/>
    <cellStyle name="Normal 6 4 3 4 4 2" xfId="10193"/>
    <cellStyle name="Normal 6 4 3 4 5" xfId="5220"/>
    <cellStyle name="Normal 6 4 3 4 5 2" xfId="10695"/>
    <cellStyle name="Normal 6 4 3 4 6" xfId="5722"/>
    <cellStyle name="Normal 6 4 3 4 6 2" xfId="11197"/>
    <cellStyle name="Normal 6 4 3 4 7" xfId="2742"/>
    <cellStyle name="Normal 6 4 3 4 8" xfId="6663"/>
    <cellStyle name="Normal 6 4 3 4 9" xfId="8187"/>
    <cellStyle name="Normal 6 4 3 5" xfId="1181"/>
    <cellStyle name="Normal 6 4 3 5 2" xfId="3998"/>
    <cellStyle name="Normal 6 4 3 5 2 2" xfId="9443"/>
    <cellStyle name="Normal 6 4 3 5 3" xfId="2988"/>
    <cellStyle name="Normal 6 4 3 5 4" xfId="6921"/>
    <cellStyle name="Normal 6 4 3 5 5" xfId="8435"/>
    <cellStyle name="Normal 6 4 3 5 6" xfId="12055"/>
    <cellStyle name="Normal 6 4 3 5 7" xfId="13801"/>
    <cellStyle name="Normal 6 4 3 6" xfId="1689"/>
    <cellStyle name="Normal 6 4 3 6 2" xfId="3502"/>
    <cellStyle name="Normal 6 4 3 6 3" xfId="7429"/>
    <cellStyle name="Normal 6 4 3 6 4" xfId="8947"/>
    <cellStyle name="Normal 6 4 3 6 5" xfId="12561"/>
    <cellStyle name="Normal 6 4 3 6 6" xfId="14307"/>
    <cellStyle name="Normal 6 4 3 7" xfId="4496"/>
    <cellStyle name="Normal 6 4 3 7 2" xfId="9945"/>
    <cellStyle name="Normal 6 4 3 8" xfId="4972"/>
    <cellStyle name="Normal 6 4 3 8 2" xfId="10447"/>
    <cellStyle name="Normal 6 4 3 9" xfId="5474"/>
    <cellStyle name="Normal 6 4 3 9 2" xfId="10949"/>
    <cellStyle name="Normal 6 4 4" xfId="728"/>
    <cellStyle name="Normal 6 4 4 10" xfId="6468"/>
    <cellStyle name="Normal 6 4 4 11" xfId="7992"/>
    <cellStyle name="Normal 6 4 4 12" xfId="11602"/>
    <cellStyle name="Normal 6 4 4 13" xfId="13348"/>
    <cellStyle name="Normal 6 4 4 2" xfId="852"/>
    <cellStyle name="Normal 6 4 4 2 10" xfId="8116"/>
    <cellStyle name="Normal 6 4 4 2 11" xfId="11726"/>
    <cellStyle name="Normal 6 4 4 2 12" xfId="13472"/>
    <cellStyle name="Normal 6 4 4 2 2" xfId="1100"/>
    <cellStyle name="Normal 6 4 4 2 2 10" xfId="11974"/>
    <cellStyle name="Normal 6 4 4 2 2 11" xfId="13720"/>
    <cellStyle name="Normal 6 4 4 2 2 2" xfId="1606"/>
    <cellStyle name="Normal 6 4 4 2 2 2 2" xfId="4421"/>
    <cellStyle name="Normal 6 4 4 2 2 2 2 2" xfId="9868"/>
    <cellStyle name="Normal 6 4 4 2 2 2 3" xfId="3411"/>
    <cellStyle name="Normal 6 4 4 2 2 2 4" xfId="7346"/>
    <cellStyle name="Normal 6 4 4 2 2 2 5" xfId="8860"/>
    <cellStyle name="Normal 6 4 4 2 2 2 6" xfId="12480"/>
    <cellStyle name="Normal 6 4 4 2 2 2 7" xfId="14226"/>
    <cellStyle name="Normal 6 4 4 2 2 3" xfId="2114"/>
    <cellStyle name="Normal 6 4 4 2 2 3 2" xfId="3927"/>
    <cellStyle name="Normal 6 4 4 2 2 3 3" xfId="7854"/>
    <cellStyle name="Normal 6 4 4 2 2 3 4" xfId="9372"/>
    <cellStyle name="Normal 6 4 4 2 2 3 5" xfId="12986"/>
    <cellStyle name="Normal 6 4 4 2 2 3 6" xfId="14732"/>
    <cellStyle name="Normal 6 4 4 2 2 4" xfId="4899"/>
    <cellStyle name="Normal 6 4 4 2 2 4 2" xfId="10370"/>
    <cellStyle name="Normal 6 4 4 2 2 5" xfId="5397"/>
    <cellStyle name="Normal 6 4 4 2 2 5 2" xfId="10872"/>
    <cellStyle name="Normal 6 4 4 2 2 6" xfId="5899"/>
    <cellStyle name="Normal 6 4 4 2 2 6 2" xfId="11374"/>
    <cellStyle name="Normal 6 4 4 2 2 7" xfId="2917"/>
    <cellStyle name="Normal 6 4 4 2 2 8" xfId="6840"/>
    <cellStyle name="Normal 6 4 4 2 2 9" xfId="8364"/>
    <cellStyle name="Normal 6 4 4 2 3" xfId="1358"/>
    <cellStyle name="Normal 6 4 4 2 3 2" xfId="4173"/>
    <cellStyle name="Normal 6 4 4 2 3 2 2" xfId="9620"/>
    <cellStyle name="Normal 6 4 4 2 3 3" xfId="3163"/>
    <cellStyle name="Normal 6 4 4 2 3 4" xfId="7098"/>
    <cellStyle name="Normal 6 4 4 2 3 5" xfId="8612"/>
    <cellStyle name="Normal 6 4 4 2 3 6" xfId="12232"/>
    <cellStyle name="Normal 6 4 4 2 3 7" xfId="13978"/>
    <cellStyle name="Normal 6 4 4 2 4" xfId="1866"/>
    <cellStyle name="Normal 6 4 4 2 4 2" xfId="3679"/>
    <cellStyle name="Normal 6 4 4 2 4 3" xfId="7606"/>
    <cellStyle name="Normal 6 4 4 2 4 4" xfId="9124"/>
    <cellStyle name="Normal 6 4 4 2 4 5" xfId="12738"/>
    <cellStyle name="Normal 6 4 4 2 4 6" xfId="14484"/>
    <cellStyle name="Normal 6 4 4 2 5" xfId="4659"/>
    <cellStyle name="Normal 6 4 4 2 5 2" xfId="10122"/>
    <cellStyle name="Normal 6 4 4 2 6" xfId="5149"/>
    <cellStyle name="Normal 6 4 4 2 6 2" xfId="10624"/>
    <cellStyle name="Normal 6 4 4 2 7" xfId="5651"/>
    <cellStyle name="Normal 6 4 4 2 7 2" xfId="11126"/>
    <cellStyle name="Normal 6 4 4 2 8" xfId="2675"/>
    <cellStyle name="Normal 6 4 4 2 9" xfId="6592"/>
    <cellStyle name="Normal 6 4 4 3" xfId="976"/>
    <cellStyle name="Normal 6 4 4 3 10" xfId="11850"/>
    <cellStyle name="Normal 6 4 4 3 11" xfId="13596"/>
    <cellStyle name="Normal 6 4 4 3 2" xfId="1482"/>
    <cellStyle name="Normal 6 4 4 3 2 2" xfId="4297"/>
    <cellStyle name="Normal 6 4 4 3 2 2 2" xfId="9744"/>
    <cellStyle name="Normal 6 4 4 3 2 3" xfId="3287"/>
    <cellStyle name="Normal 6 4 4 3 2 4" xfId="7222"/>
    <cellStyle name="Normal 6 4 4 3 2 5" xfId="8736"/>
    <cellStyle name="Normal 6 4 4 3 2 6" xfId="12356"/>
    <cellStyle name="Normal 6 4 4 3 2 7" xfId="14102"/>
    <cellStyle name="Normal 6 4 4 3 3" xfId="1990"/>
    <cellStyle name="Normal 6 4 4 3 3 2" xfId="3803"/>
    <cellStyle name="Normal 6 4 4 3 3 3" xfId="7730"/>
    <cellStyle name="Normal 6 4 4 3 3 4" xfId="9248"/>
    <cellStyle name="Normal 6 4 4 3 3 5" xfId="12862"/>
    <cellStyle name="Normal 6 4 4 3 3 6" xfId="14608"/>
    <cellStyle name="Normal 6 4 4 3 4" xfId="4775"/>
    <cellStyle name="Normal 6 4 4 3 4 2" xfId="10246"/>
    <cellStyle name="Normal 6 4 4 3 5" xfId="5273"/>
    <cellStyle name="Normal 6 4 4 3 5 2" xfId="10748"/>
    <cellStyle name="Normal 6 4 4 3 6" xfId="5775"/>
    <cellStyle name="Normal 6 4 4 3 6 2" xfId="11250"/>
    <cellStyle name="Normal 6 4 4 3 7" xfId="2793"/>
    <cellStyle name="Normal 6 4 4 3 8" xfId="6716"/>
    <cellStyle name="Normal 6 4 4 3 9" xfId="8240"/>
    <cellStyle name="Normal 6 4 4 4" xfId="1234"/>
    <cellStyle name="Normal 6 4 4 4 2" xfId="4049"/>
    <cellStyle name="Normal 6 4 4 4 2 2" xfId="9496"/>
    <cellStyle name="Normal 6 4 4 4 3" xfId="3039"/>
    <cellStyle name="Normal 6 4 4 4 4" xfId="6974"/>
    <cellStyle name="Normal 6 4 4 4 5" xfId="8488"/>
    <cellStyle name="Normal 6 4 4 4 6" xfId="12108"/>
    <cellStyle name="Normal 6 4 4 4 7" xfId="13854"/>
    <cellStyle name="Normal 6 4 4 5" xfId="1742"/>
    <cellStyle name="Normal 6 4 4 5 2" xfId="3555"/>
    <cellStyle name="Normal 6 4 4 5 3" xfId="7482"/>
    <cellStyle name="Normal 6 4 4 5 4" xfId="9000"/>
    <cellStyle name="Normal 6 4 4 5 5" xfId="12614"/>
    <cellStyle name="Normal 6 4 4 5 6" xfId="14360"/>
    <cellStyle name="Normal 6 4 4 6" xfId="4543"/>
    <cellStyle name="Normal 6 4 4 6 2" xfId="9998"/>
    <cellStyle name="Normal 6 4 4 7" xfId="5025"/>
    <cellStyle name="Normal 6 4 4 7 2" xfId="10500"/>
    <cellStyle name="Normal 6 4 4 8" xfId="5527"/>
    <cellStyle name="Normal 6 4 4 8 2" xfId="11002"/>
    <cellStyle name="Normal 6 4 4 9" xfId="2559"/>
    <cellStyle name="Normal 6 4 5" xfId="757"/>
    <cellStyle name="Normal 6 4 5 10" xfId="8021"/>
    <cellStyle name="Normal 6 4 5 11" xfId="11631"/>
    <cellStyle name="Normal 6 4 5 12" xfId="13377"/>
    <cellStyle name="Normal 6 4 5 2" xfId="1005"/>
    <cellStyle name="Normal 6 4 5 2 10" xfId="11879"/>
    <cellStyle name="Normal 6 4 5 2 11" xfId="13625"/>
    <cellStyle name="Normal 6 4 5 2 2" xfId="1511"/>
    <cellStyle name="Normal 6 4 5 2 2 2" xfId="4326"/>
    <cellStyle name="Normal 6 4 5 2 2 2 2" xfId="9773"/>
    <cellStyle name="Normal 6 4 5 2 2 3" xfId="3316"/>
    <cellStyle name="Normal 6 4 5 2 2 4" xfId="7251"/>
    <cellStyle name="Normal 6 4 5 2 2 5" xfId="8765"/>
    <cellStyle name="Normal 6 4 5 2 2 6" xfId="12385"/>
    <cellStyle name="Normal 6 4 5 2 2 7" xfId="14131"/>
    <cellStyle name="Normal 6 4 5 2 3" xfId="2019"/>
    <cellStyle name="Normal 6 4 5 2 3 2" xfId="3832"/>
    <cellStyle name="Normal 6 4 5 2 3 3" xfId="7759"/>
    <cellStyle name="Normal 6 4 5 2 3 4" xfId="9277"/>
    <cellStyle name="Normal 6 4 5 2 3 5" xfId="12891"/>
    <cellStyle name="Normal 6 4 5 2 3 6" xfId="14637"/>
    <cellStyle name="Normal 6 4 5 2 4" xfId="4804"/>
    <cellStyle name="Normal 6 4 5 2 4 2" xfId="10275"/>
    <cellStyle name="Normal 6 4 5 2 5" xfId="5302"/>
    <cellStyle name="Normal 6 4 5 2 5 2" xfId="10777"/>
    <cellStyle name="Normal 6 4 5 2 6" xfId="5804"/>
    <cellStyle name="Normal 6 4 5 2 6 2" xfId="11279"/>
    <cellStyle name="Normal 6 4 5 2 7" xfId="2822"/>
    <cellStyle name="Normal 6 4 5 2 8" xfId="6745"/>
    <cellStyle name="Normal 6 4 5 2 9" xfId="8269"/>
    <cellStyle name="Normal 6 4 5 3" xfId="1263"/>
    <cellStyle name="Normal 6 4 5 3 2" xfId="4078"/>
    <cellStyle name="Normal 6 4 5 3 2 2" xfId="9525"/>
    <cellStyle name="Normal 6 4 5 3 3" xfId="3068"/>
    <cellStyle name="Normal 6 4 5 3 4" xfId="7003"/>
    <cellStyle name="Normal 6 4 5 3 5" xfId="8517"/>
    <cellStyle name="Normal 6 4 5 3 6" xfId="12137"/>
    <cellStyle name="Normal 6 4 5 3 7" xfId="13883"/>
    <cellStyle name="Normal 6 4 5 4" xfId="1771"/>
    <cellStyle name="Normal 6 4 5 4 2" xfId="3584"/>
    <cellStyle name="Normal 6 4 5 4 3" xfId="7511"/>
    <cellStyle name="Normal 6 4 5 4 4" xfId="9029"/>
    <cellStyle name="Normal 6 4 5 4 5" xfId="12643"/>
    <cellStyle name="Normal 6 4 5 4 6" xfId="14389"/>
    <cellStyle name="Normal 6 4 5 5" xfId="4570"/>
    <cellStyle name="Normal 6 4 5 5 2" xfId="10027"/>
    <cellStyle name="Normal 6 4 5 6" xfId="5054"/>
    <cellStyle name="Normal 6 4 5 6 2" xfId="10529"/>
    <cellStyle name="Normal 6 4 5 7" xfId="5556"/>
    <cellStyle name="Normal 6 4 5 7 2" xfId="11031"/>
    <cellStyle name="Normal 6 4 5 8" xfId="2586"/>
    <cellStyle name="Normal 6 4 5 9" xfId="6497"/>
    <cellStyle name="Normal 6 4 6" xfId="881"/>
    <cellStyle name="Normal 6 4 6 10" xfId="11755"/>
    <cellStyle name="Normal 6 4 6 11" xfId="13501"/>
    <cellStyle name="Normal 6 4 6 2" xfId="1387"/>
    <cellStyle name="Normal 6 4 6 2 2" xfId="4202"/>
    <cellStyle name="Normal 6 4 6 2 2 2" xfId="9649"/>
    <cellStyle name="Normal 6 4 6 2 3" xfId="3192"/>
    <cellStyle name="Normal 6 4 6 2 4" xfId="7127"/>
    <cellStyle name="Normal 6 4 6 2 5" xfId="8641"/>
    <cellStyle name="Normal 6 4 6 2 6" xfId="12261"/>
    <cellStyle name="Normal 6 4 6 2 7" xfId="14007"/>
    <cellStyle name="Normal 6 4 6 3" xfId="1895"/>
    <cellStyle name="Normal 6 4 6 3 2" xfId="3708"/>
    <cellStyle name="Normal 6 4 6 3 3" xfId="7635"/>
    <cellStyle name="Normal 6 4 6 3 4" xfId="9153"/>
    <cellStyle name="Normal 6 4 6 3 5" xfId="12767"/>
    <cellStyle name="Normal 6 4 6 3 6" xfId="14513"/>
    <cellStyle name="Normal 6 4 6 4" xfId="4686"/>
    <cellStyle name="Normal 6 4 6 4 2" xfId="10151"/>
    <cellStyle name="Normal 6 4 6 5" xfId="5178"/>
    <cellStyle name="Normal 6 4 6 5 2" xfId="10653"/>
    <cellStyle name="Normal 6 4 6 6" xfId="5680"/>
    <cellStyle name="Normal 6 4 6 6 2" xfId="11155"/>
    <cellStyle name="Normal 6 4 6 7" xfId="2704"/>
    <cellStyle name="Normal 6 4 6 8" xfId="6621"/>
    <cellStyle name="Normal 6 4 6 9" xfId="8145"/>
    <cellStyle name="Normal 6 4 7" xfId="1139"/>
    <cellStyle name="Normal 6 4 7 2" xfId="3956"/>
    <cellStyle name="Normal 6 4 7 2 2" xfId="9401"/>
    <cellStyle name="Normal 6 4 7 3" xfId="2946"/>
    <cellStyle name="Normal 6 4 7 4" xfId="6879"/>
    <cellStyle name="Normal 6 4 7 5" xfId="8393"/>
    <cellStyle name="Normal 6 4 7 6" xfId="12013"/>
    <cellStyle name="Normal 6 4 7 7" xfId="13759"/>
    <cellStyle name="Normal 6 4 8" xfId="1647"/>
    <cellStyle name="Normal 6 4 8 2" xfId="3460"/>
    <cellStyle name="Normal 6 4 8 3" xfId="7387"/>
    <cellStyle name="Normal 6 4 8 4" xfId="8905"/>
    <cellStyle name="Normal 6 4 8 5" xfId="12519"/>
    <cellStyle name="Normal 6 4 8 6" xfId="14265"/>
    <cellStyle name="Normal 6 4 9" xfId="4456"/>
    <cellStyle name="Normal 6 4 9 2" xfId="9903"/>
    <cellStyle name="Normal 6 5" xfId="627"/>
    <cellStyle name="Normal 6 5 10" xfId="4934"/>
    <cellStyle name="Normal 6 5 10 2" xfId="10407"/>
    <cellStyle name="Normal 6 5 11" xfId="5434"/>
    <cellStyle name="Normal 6 5 11 2" xfId="10909"/>
    <cellStyle name="Normal 6 5 12" xfId="2476"/>
    <cellStyle name="Normal 6 5 13" xfId="6372"/>
    <cellStyle name="Normal 6 5 14" xfId="7899"/>
    <cellStyle name="Normal 6 5 15" xfId="11509"/>
    <cellStyle name="Normal 6 5 16" xfId="13255"/>
    <cellStyle name="Normal 6 5 2" xfId="657"/>
    <cellStyle name="Normal 6 5 2 10" xfId="2496"/>
    <cellStyle name="Normal 6 5 2 11" xfId="6397"/>
    <cellStyle name="Normal 6 5 2 12" xfId="7921"/>
    <cellStyle name="Normal 6 5 2 13" xfId="11531"/>
    <cellStyle name="Normal 6 5 2 14" xfId="13277"/>
    <cellStyle name="Normal 6 5 2 2" xfId="732"/>
    <cellStyle name="Normal 6 5 2 2 10" xfId="6472"/>
    <cellStyle name="Normal 6 5 2 2 11" xfId="7996"/>
    <cellStyle name="Normal 6 5 2 2 12" xfId="11606"/>
    <cellStyle name="Normal 6 5 2 2 13" xfId="13352"/>
    <cellStyle name="Normal 6 5 2 2 2" xfId="856"/>
    <cellStyle name="Normal 6 5 2 2 2 10" xfId="8120"/>
    <cellStyle name="Normal 6 5 2 2 2 11" xfId="11730"/>
    <cellStyle name="Normal 6 5 2 2 2 12" xfId="13476"/>
    <cellStyle name="Normal 6 5 2 2 2 2" xfId="1104"/>
    <cellStyle name="Normal 6 5 2 2 2 2 10" xfId="11978"/>
    <cellStyle name="Normal 6 5 2 2 2 2 11" xfId="13724"/>
    <cellStyle name="Normal 6 5 2 2 2 2 2" xfId="1610"/>
    <cellStyle name="Normal 6 5 2 2 2 2 2 2" xfId="4425"/>
    <cellStyle name="Normal 6 5 2 2 2 2 2 2 2" xfId="9872"/>
    <cellStyle name="Normal 6 5 2 2 2 2 2 3" xfId="3415"/>
    <cellStyle name="Normal 6 5 2 2 2 2 2 4" xfId="7350"/>
    <cellStyle name="Normal 6 5 2 2 2 2 2 5" xfId="8864"/>
    <cellStyle name="Normal 6 5 2 2 2 2 2 6" xfId="12484"/>
    <cellStyle name="Normal 6 5 2 2 2 2 2 7" xfId="14230"/>
    <cellStyle name="Normal 6 5 2 2 2 2 3" xfId="2118"/>
    <cellStyle name="Normal 6 5 2 2 2 2 3 2" xfId="3931"/>
    <cellStyle name="Normal 6 5 2 2 2 2 3 3" xfId="7858"/>
    <cellStyle name="Normal 6 5 2 2 2 2 3 4" xfId="9376"/>
    <cellStyle name="Normal 6 5 2 2 2 2 3 5" xfId="12990"/>
    <cellStyle name="Normal 6 5 2 2 2 2 3 6" xfId="14736"/>
    <cellStyle name="Normal 6 5 2 2 2 2 4" xfId="4903"/>
    <cellStyle name="Normal 6 5 2 2 2 2 4 2" xfId="10374"/>
    <cellStyle name="Normal 6 5 2 2 2 2 5" xfId="5401"/>
    <cellStyle name="Normal 6 5 2 2 2 2 5 2" xfId="10876"/>
    <cellStyle name="Normal 6 5 2 2 2 2 6" xfId="5903"/>
    <cellStyle name="Normal 6 5 2 2 2 2 6 2" xfId="11378"/>
    <cellStyle name="Normal 6 5 2 2 2 2 7" xfId="2921"/>
    <cellStyle name="Normal 6 5 2 2 2 2 8" xfId="6844"/>
    <cellStyle name="Normal 6 5 2 2 2 2 9" xfId="8368"/>
    <cellStyle name="Normal 6 5 2 2 2 3" xfId="1362"/>
    <cellStyle name="Normal 6 5 2 2 2 3 2" xfId="4177"/>
    <cellStyle name="Normal 6 5 2 2 2 3 2 2" xfId="9624"/>
    <cellStyle name="Normal 6 5 2 2 2 3 3" xfId="3167"/>
    <cellStyle name="Normal 6 5 2 2 2 3 4" xfId="7102"/>
    <cellStyle name="Normal 6 5 2 2 2 3 5" xfId="8616"/>
    <cellStyle name="Normal 6 5 2 2 2 3 6" xfId="12236"/>
    <cellStyle name="Normal 6 5 2 2 2 3 7" xfId="13982"/>
    <cellStyle name="Normal 6 5 2 2 2 4" xfId="1870"/>
    <cellStyle name="Normal 6 5 2 2 2 4 2" xfId="3683"/>
    <cellStyle name="Normal 6 5 2 2 2 4 3" xfId="7610"/>
    <cellStyle name="Normal 6 5 2 2 2 4 4" xfId="9128"/>
    <cellStyle name="Normal 6 5 2 2 2 4 5" xfId="12742"/>
    <cellStyle name="Normal 6 5 2 2 2 4 6" xfId="14488"/>
    <cellStyle name="Normal 6 5 2 2 2 5" xfId="4663"/>
    <cellStyle name="Normal 6 5 2 2 2 5 2" xfId="10126"/>
    <cellStyle name="Normal 6 5 2 2 2 6" xfId="5153"/>
    <cellStyle name="Normal 6 5 2 2 2 6 2" xfId="10628"/>
    <cellStyle name="Normal 6 5 2 2 2 7" xfId="5655"/>
    <cellStyle name="Normal 6 5 2 2 2 7 2" xfId="11130"/>
    <cellStyle name="Normal 6 5 2 2 2 8" xfId="2679"/>
    <cellStyle name="Normal 6 5 2 2 2 9" xfId="6596"/>
    <cellStyle name="Normal 6 5 2 2 3" xfId="980"/>
    <cellStyle name="Normal 6 5 2 2 3 10" xfId="11854"/>
    <cellStyle name="Normal 6 5 2 2 3 11" xfId="13600"/>
    <cellStyle name="Normal 6 5 2 2 3 2" xfId="1486"/>
    <cellStyle name="Normal 6 5 2 2 3 2 2" xfId="4301"/>
    <cellStyle name="Normal 6 5 2 2 3 2 2 2" xfId="9748"/>
    <cellStyle name="Normal 6 5 2 2 3 2 3" xfId="3291"/>
    <cellStyle name="Normal 6 5 2 2 3 2 4" xfId="7226"/>
    <cellStyle name="Normal 6 5 2 2 3 2 5" xfId="8740"/>
    <cellStyle name="Normal 6 5 2 2 3 2 6" xfId="12360"/>
    <cellStyle name="Normal 6 5 2 2 3 2 7" xfId="14106"/>
    <cellStyle name="Normal 6 5 2 2 3 3" xfId="1994"/>
    <cellStyle name="Normal 6 5 2 2 3 3 2" xfId="3807"/>
    <cellStyle name="Normal 6 5 2 2 3 3 3" xfId="7734"/>
    <cellStyle name="Normal 6 5 2 2 3 3 4" xfId="9252"/>
    <cellStyle name="Normal 6 5 2 2 3 3 5" xfId="12866"/>
    <cellStyle name="Normal 6 5 2 2 3 3 6" xfId="14612"/>
    <cellStyle name="Normal 6 5 2 2 3 4" xfId="4779"/>
    <cellStyle name="Normal 6 5 2 2 3 4 2" xfId="10250"/>
    <cellStyle name="Normal 6 5 2 2 3 5" xfId="5277"/>
    <cellStyle name="Normal 6 5 2 2 3 5 2" xfId="10752"/>
    <cellStyle name="Normal 6 5 2 2 3 6" xfId="5779"/>
    <cellStyle name="Normal 6 5 2 2 3 6 2" xfId="11254"/>
    <cellStyle name="Normal 6 5 2 2 3 7" xfId="2797"/>
    <cellStyle name="Normal 6 5 2 2 3 8" xfId="6720"/>
    <cellStyle name="Normal 6 5 2 2 3 9" xfId="8244"/>
    <cellStyle name="Normal 6 5 2 2 4" xfId="1238"/>
    <cellStyle name="Normal 6 5 2 2 4 2" xfId="4053"/>
    <cellStyle name="Normal 6 5 2 2 4 2 2" xfId="9500"/>
    <cellStyle name="Normal 6 5 2 2 4 3" xfId="3043"/>
    <cellStyle name="Normal 6 5 2 2 4 4" xfId="6978"/>
    <cellStyle name="Normal 6 5 2 2 4 5" xfId="8492"/>
    <cellStyle name="Normal 6 5 2 2 4 6" xfId="12112"/>
    <cellStyle name="Normal 6 5 2 2 4 7" xfId="13858"/>
    <cellStyle name="Normal 6 5 2 2 5" xfId="1746"/>
    <cellStyle name="Normal 6 5 2 2 5 2" xfId="3559"/>
    <cellStyle name="Normal 6 5 2 2 5 3" xfId="7486"/>
    <cellStyle name="Normal 6 5 2 2 5 4" xfId="9004"/>
    <cellStyle name="Normal 6 5 2 2 5 5" xfId="12618"/>
    <cellStyle name="Normal 6 5 2 2 5 6" xfId="14364"/>
    <cellStyle name="Normal 6 5 2 2 6" xfId="4547"/>
    <cellStyle name="Normal 6 5 2 2 6 2" xfId="10002"/>
    <cellStyle name="Normal 6 5 2 2 7" xfId="5029"/>
    <cellStyle name="Normal 6 5 2 2 7 2" xfId="10504"/>
    <cellStyle name="Normal 6 5 2 2 8" xfId="5531"/>
    <cellStyle name="Normal 6 5 2 2 8 2" xfId="11006"/>
    <cellStyle name="Normal 6 5 2 2 9" xfId="2563"/>
    <cellStyle name="Normal 6 5 2 3" xfId="781"/>
    <cellStyle name="Normal 6 5 2 3 10" xfId="8045"/>
    <cellStyle name="Normal 6 5 2 3 11" xfId="11655"/>
    <cellStyle name="Normal 6 5 2 3 12" xfId="13401"/>
    <cellStyle name="Normal 6 5 2 3 2" xfId="1029"/>
    <cellStyle name="Normal 6 5 2 3 2 10" xfId="11903"/>
    <cellStyle name="Normal 6 5 2 3 2 11" xfId="13649"/>
    <cellStyle name="Normal 6 5 2 3 2 2" xfId="1535"/>
    <cellStyle name="Normal 6 5 2 3 2 2 2" xfId="4350"/>
    <cellStyle name="Normal 6 5 2 3 2 2 2 2" xfId="9797"/>
    <cellStyle name="Normal 6 5 2 3 2 2 3" xfId="3340"/>
    <cellStyle name="Normal 6 5 2 3 2 2 4" xfId="7275"/>
    <cellStyle name="Normal 6 5 2 3 2 2 5" xfId="8789"/>
    <cellStyle name="Normal 6 5 2 3 2 2 6" xfId="12409"/>
    <cellStyle name="Normal 6 5 2 3 2 2 7" xfId="14155"/>
    <cellStyle name="Normal 6 5 2 3 2 3" xfId="2043"/>
    <cellStyle name="Normal 6 5 2 3 2 3 2" xfId="3856"/>
    <cellStyle name="Normal 6 5 2 3 2 3 3" xfId="7783"/>
    <cellStyle name="Normal 6 5 2 3 2 3 4" xfId="9301"/>
    <cellStyle name="Normal 6 5 2 3 2 3 5" xfId="12915"/>
    <cellStyle name="Normal 6 5 2 3 2 3 6" xfId="14661"/>
    <cellStyle name="Normal 6 5 2 3 2 4" xfId="4828"/>
    <cellStyle name="Normal 6 5 2 3 2 4 2" xfId="10299"/>
    <cellStyle name="Normal 6 5 2 3 2 5" xfId="5326"/>
    <cellStyle name="Normal 6 5 2 3 2 5 2" xfId="10801"/>
    <cellStyle name="Normal 6 5 2 3 2 6" xfId="5828"/>
    <cellStyle name="Normal 6 5 2 3 2 6 2" xfId="11303"/>
    <cellStyle name="Normal 6 5 2 3 2 7" xfId="2846"/>
    <cellStyle name="Normal 6 5 2 3 2 8" xfId="6769"/>
    <cellStyle name="Normal 6 5 2 3 2 9" xfId="8293"/>
    <cellStyle name="Normal 6 5 2 3 3" xfId="1287"/>
    <cellStyle name="Normal 6 5 2 3 3 2" xfId="4102"/>
    <cellStyle name="Normal 6 5 2 3 3 2 2" xfId="9549"/>
    <cellStyle name="Normal 6 5 2 3 3 3" xfId="3092"/>
    <cellStyle name="Normal 6 5 2 3 3 4" xfId="7027"/>
    <cellStyle name="Normal 6 5 2 3 3 5" xfId="8541"/>
    <cellStyle name="Normal 6 5 2 3 3 6" xfId="12161"/>
    <cellStyle name="Normal 6 5 2 3 3 7" xfId="13907"/>
    <cellStyle name="Normal 6 5 2 3 4" xfId="1795"/>
    <cellStyle name="Normal 6 5 2 3 4 2" xfId="3608"/>
    <cellStyle name="Normal 6 5 2 3 4 3" xfId="7535"/>
    <cellStyle name="Normal 6 5 2 3 4 4" xfId="9053"/>
    <cellStyle name="Normal 6 5 2 3 4 5" xfId="12667"/>
    <cellStyle name="Normal 6 5 2 3 4 6" xfId="14413"/>
    <cellStyle name="Normal 6 5 2 3 5" xfId="4592"/>
    <cellStyle name="Normal 6 5 2 3 5 2" xfId="10051"/>
    <cellStyle name="Normal 6 5 2 3 6" xfId="5078"/>
    <cellStyle name="Normal 6 5 2 3 6 2" xfId="10553"/>
    <cellStyle name="Normal 6 5 2 3 7" xfId="5580"/>
    <cellStyle name="Normal 6 5 2 3 7 2" xfId="11055"/>
    <cellStyle name="Normal 6 5 2 3 8" xfId="2608"/>
    <cellStyle name="Normal 6 5 2 3 9" xfId="6521"/>
    <cellStyle name="Normal 6 5 2 4" xfId="905"/>
    <cellStyle name="Normal 6 5 2 4 10" xfId="11779"/>
    <cellStyle name="Normal 6 5 2 4 11" xfId="13525"/>
    <cellStyle name="Normal 6 5 2 4 2" xfId="1411"/>
    <cellStyle name="Normal 6 5 2 4 2 2" xfId="4226"/>
    <cellStyle name="Normal 6 5 2 4 2 2 2" xfId="9673"/>
    <cellStyle name="Normal 6 5 2 4 2 3" xfId="3216"/>
    <cellStyle name="Normal 6 5 2 4 2 4" xfId="7151"/>
    <cellStyle name="Normal 6 5 2 4 2 5" xfId="8665"/>
    <cellStyle name="Normal 6 5 2 4 2 6" xfId="12285"/>
    <cellStyle name="Normal 6 5 2 4 2 7" xfId="14031"/>
    <cellStyle name="Normal 6 5 2 4 3" xfId="1919"/>
    <cellStyle name="Normal 6 5 2 4 3 2" xfId="3732"/>
    <cellStyle name="Normal 6 5 2 4 3 3" xfId="7659"/>
    <cellStyle name="Normal 6 5 2 4 3 4" xfId="9177"/>
    <cellStyle name="Normal 6 5 2 4 3 5" xfId="12791"/>
    <cellStyle name="Normal 6 5 2 4 3 6" xfId="14537"/>
    <cellStyle name="Normal 6 5 2 4 4" xfId="4708"/>
    <cellStyle name="Normal 6 5 2 4 4 2" xfId="10175"/>
    <cellStyle name="Normal 6 5 2 4 5" xfId="5202"/>
    <cellStyle name="Normal 6 5 2 4 5 2" xfId="10677"/>
    <cellStyle name="Normal 6 5 2 4 6" xfId="5704"/>
    <cellStyle name="Normal 6 5 2 4 6 2" xfId="11179"/>
    <cellStyle name="Normal 6 5 2 4 7" xfId="2726"/>
    <cellStyle name="Normal 6 5 2 4 8" xfId="6645"/>
    <cellStyle name="Normal 6 5 2 4 9" xfId="8169"/>
    <cellStyle name="Normal 6 5 2 5" xfId="1163"/>
    <cellStyle name="Normal 6 5 2 5 2" xfId="3980"/>
    <cellStyle name="Normal 6 5 2 5 2 2" xfId="9425"/>
    <cellStyle name="Normal 6 5 2 5 3" xfId="2970"/>
    <cellStyle name="Normal 6 5 2 5 4" xfId="6903"/>
    <cellStyle name="Normal 6 5 2 5 5" xfId="8417"/>
    <cellStyle name="Normal 6 5 2 5 6" xfId="12037"/>
    <cellStyle name="Normal 6 5 2 5 7" xfId="13783"/>
    <cellStyle name="Normal 6 5 2 6" xfId="1671"/>
    <cellStyle name="Normal 6 5 2 6 2" xfId="3484"/>
    <cellStyle name="Normal 6 5 2 6 3" xfId="7411"/>
    <cellStyle name="Normal 6 5 2 6 4" xfId="8929"/>
    <cellStyle name="Normal 6 5 2 6 5" xfId="12543"/>
    <cellStyle name="Normal 6 5 2 6 6" xfId="14289"/>
    <cellStyle name="Normal 6 5 2 7" xfId="4480"/>
    <cellStyle name="Normal 6 5 2 7 2" xfId="9927"/>
    <cellStyle name="Normal 6 5 2 8" xfId="4954"/>
    <cellStyle name="Normal 6 5 2 8 2" xfId="10429"/>
    <cellStyle name="Normal 6 5 2 9" xfId="5456"/>
    <cellStyle name="Normal 6 5 2 9 2" xfId="10931"/>
    <cellStyle name="Normal 6 5 3" xfId="677"/>
    <cellStyle name="Normal 6 5 3 10" xfId="2514"/>
    <cellStyle name="Normal 6 5 3 11" xfId="6417"/>
    <cellStyle name="Normal 6 5 3 12" xfId="7941"/>
    <cellStyle name="Normal 6 5 3 13" xfId="11551"/>
    <cellStyle name="Normal 6 5 3 14" xfId="13297"/>
    <cellStyle name="Normal 6 5 3 2" xfId="733"/>
    <cellStyle name="Normal 6 5 3 2 10" xfId="6473"/>
    <cellStyle name="Normal 6 5 3 2 11" xfId="7997"/>
    <cellStyle name="Normal 6 5 3 2 12" xfId="11607"/>
    <cellStyle name="Normal 6 5 3 2 13" xfId="13353"/>
    <cellStyle name="Normal 6 5 3 2 2" xfId="857"/>
    <cellStyle name="Normal 6 5 3 2 2 10" xfId="8121"/>
    <cellStyle name="Normal 6 5 3 2 2 11" xfId="11731"/>
    <cellStyle name="Normal 6 5 3 2 2 12" xfId="13477"/>
    <cellStyle name="Normal 6 5 3 2 2 2" xfId="1105"/>
    <cellStyle name="Normal 6 5 3 2 2 2 10" xfId="11979"/>
    <cellStyle name="Normal 6 5 3 2 2 2 11" xfId="13725"/>
    <cellStyle name="Normal 6 5 3 2 2 2 2" xfId="1611"/>
    <cellStyle name="Normal 6 5 3 2 2 2 2 2" xfId="4426"/>
    <cellStyle name="Normal 6 5 3 2 2 2 2 2 2" xfId="9873"/>
    <cellStyle name="Normal 6 5 3 2 2 2 2 3" xfId="3416"/>
    <cellStyle name="Normal 6 5 3 2 2 2 2 4" xfId="7351"/>
    <cellStyle name="Normal 6 5 3 2 2 2 2 5" xfId="8865"/>
    <cellStyle name="Normal 6 5 3 2 2 2 2 6" xfId="12485"/>
    <cellStyle name="Normal 6 5 3 2 2 2 2 7" xfId="14231"/>
    <cellStyle name="Normal 6 5 3 2 2 2 3" xfId="2119"/>
    <cellStyle name="Normal 6 5 3 2 2 2 3 2" xfId="3932"/>
    <cellStyle name="Normal 6 5 3 2 2 2 3 3" xfId="7859"/>
    <cellStyle name="Normal 6 5 3 2 2 2 3 4" xfId="9377"/>
    <cellStyle name="Normal 6 5 3 2 2 2 3 5" xfId="12991"/>
    <cellStyle name="Normal 6 5 3 2 2 2 3 6" xfId="14737"/>
    <cellStyle name="Normal 6 5 3 2 2 2 4" xfId="4904"/>
    <cellStyle name="Normal 6 5 3 2 2 2 4 2" xfId="10375"/>
    <cellStyle name="Normal 6 5 3 2 2 2 5" xfId="5402"/>
    <cellStyle name="Normal 6 5 3 2 2 2 5 2" xfId="10877"/>
    <cellStyle name="Normal 6 5 3 2 2 2 6" xfId="5904"/>
    <cellStyle name="Normal 6 5 3 2 2 2 6 2" xfId="11379"/>
    <cellStyle name="Normal 6 5 3 2 2 2 7" xfId="2922"/>
    <cellStyle name="Normal 6 5 3 2 2 2 8" xfId="6845"/>
    <cellStyle name="Normal 6 5 3 2 2 2 9" xfId="8369"/>
    <cellStyle name="Normal 6 5 3 2 2 3" xfId="1363"/>
    <cellStyle name="Normal 6 5 3 2 2 3 2" xfId="4178"/>
    <cellStyle name="Normal 6 5 3 2 2 3 2 2" xfId="9625"/>
    <cellStyle name="Normal 6 5 3 2 2 3 3" xfId="3168"/>
    <cellStyle name="Normal 6 5 3 2 2 3 4" xfId="7103"/>
    <cellStyle name="Normal 6 5 3 2 2 3 5" xfId="8617"/>
    <cellStyle name="Normal 6 5 3 2 2 3 6" xfId="12237"/>
    <cellStyle name="Normal 6 5 3 2 2 3 7" xfId="13983"/>
    <cellStyle name="Normal 6 5 3 2 2 4" xfId="1871"/>
    <cellStyle name="Normal 6 5 3 2 2 4 2" xfId="3684"/>
    <cellStyle name="Normal 6 5 3 2 2 4 3" xfId="7611"/>
    <cellStyle name="Normal 6 5 3 2 2 4 4" xfId="9129"/>
    <cellStyle name="Normal 6 5 3 2 2 4 5" xfId="12743"/>
    <cellStyle name="Normal 6 5 3 2 2 4 6" xfId="14489"/>
    <cellStyle name="Normal 6 5 3 2 2 5" xfId="4664"/>
    <cellStyle name="Normal 6 5 3 2 2 5 2" xfId="10127"/>
    <cellStyle name="Normal 6 5 3 2 2 6" xfId="5154"/>
    <cellStyle name="Normal 6 5 3 2 2 6 2" xfId="10629"/>
    <cellStyle name="Normal 6 5 3 2 2 7" xfId="5656"/>
    <cellStyle name="Normal 6 5 3 2 2 7 2" xfId="11131"/>
    <cellStyle name="Normal 6 5 3 2 2 8" xfId="2680"/>
    <cellStyle name="Normal 6 5 3 2 2 9" xfId="6597"/>
    <cellStyle name="Normal 6 5 3 2 3" xfId="981"/>
    <cellStyle name="Normal 6 5 3 2 3 10" xfId="11855"/>
    <cellStyle name="Normal 6 5 3 2 3 11" xfId="13601"/>
    <cellStyle name="Normal 6 5 3 2 3 2" xfId="1487"/>
    <cellStyle name="Normal 6 5 3 2 3 2 2" xfId="4302"/>
    <cellStyle name="Normal 6 5 3 2 3 2 2 2" xfId="9749"/>
    <cellStyle name="Normal 6 5 3 2 3 2 3" xfId="3292"/>
    <cellStyle name="Normal 6 5 3 2 3 2 4" xfId="7227"/>
    <cellStyle name="Normal 6 5 3 2 3 2 5" xfId="8741"/>
    <cellStyle name="Normal 6 5 3 2 3 2 6" xfId="12361"/>
    <cellStyle name="Normal 6 5 3 2 3 2 7" xfId="14107"/>
    <cellStyle name="Normal 6 5 3 2 3 3" xfId="1995"/>
    <cellStyle name="Normal 6 5 3 2 3 3 2" xfId="3808"/>
    <cellStyle name="Normal 6 5 3 2 3 3 3" xfId="7735"/>
    <cellStyle name="Normal 6 5 3 2 3 3 4" xfId="9253"/>
    <cellStyle name="Normal 6 5 3 2 3 3 5" xfId="12867"/>
    <cellStyle name="Normal 6 5 3 2 3 3 6" xfId="14613"/>
    <cellStyle name="Normal 6 5 3 2 3 4" xfId="4780"/>
    <cellStyle name="Normal 6 5 3 2 3 4 2" xfId="10251"/>
    <cellStyle name="Normal 6 5 3 2 3 5" xfId="5278"/>
    <cellStyle name="Normal 6 5 3 2 3 5 2" xfId="10753"/>
    <cellStyle name="Normal 6 5 3 2 3 6" xfId="5780"/>
    <cellStyle name="Normal 6 5 3 2 3 6 2" xfId="11255"/>
    <cellStyle name="Normal 6 5 3 2 3 7" xfId="2798"/>
    <cellStyle name="Normal 6 5 3 2 3 8" xfId="6721"/>
    <cellStyle name="Normal 6 5 3 2 3 9" xfId="8245"/>
    <cellStyle name="Normal 6 5 3 2 4" xfId="1239"/>
    <cellStyle name="Normal 6 5 3 2 4 2" xfId="4054"/>
    <cellStyle name="Normal 6 5 3 2 4 2 2" xfId="9501"/>
    <cellStyle name="Normal 6 5 3 2 4 3" xfId="3044"/>
    <cellStyle name="Normal 6 5 3 2 4 4" xfId="6979"/>
    <cellStyle name="Normal 6 5 3 2 4 5" xfId="8493"/>
    <cellStyle name="Normal 6 5 3 2 4 6" xfId="12113"/>
    <cellStyle name="Normal 6 5 3 2 4 7" xfId="13859"/>
    <cellStyle name="Normal 6 5 3 2 5" xfId="1747"/>
    <cellStyle name="Normal 6 5 3 2 5 2" xfId="3560"/>
    <cellStyle name="Normal 6 5 3 2 5 3" xfId="7487"/>
    <cellStyle name="Normal 6 5 3 2 5 4" xfId="9005"/>
    <cellStyle name="Normal 6 5 3 2 5 5" xfId="12619"/>
    <cellStyle name="Normal 6 5 3 2 5 6" xfId="14365"/>
    <cellStyle name="Normal 6 5 3 2 6" xfId="4548"/>
    <cellStyle name="Normal 6 5 3 2 6 2" xfId="10003"/>
    <cellStyle name="Normal 6 5 3 2 7" xfId="5030"/>
    <cellStyle name="Normal 6 5 3 2 7 2" xfId="10505"/>
    <cellStyle name="Normal 6 5 3 2 8" xfId="5532"/>
    <cellStyle name="Normal 6 5 3 2 8 2" xfId="11007"/>
    <cellStyle name="Normal 6 5 3 2 9" xfId="2564"/>
    <cellStyle name="Normal 6 5 3 3" xfId="801"/>
    <cellStyle name="Normal 6 5 3 3 10" xfId="8065"/>
    <cellStyle name="Normal 6 5 3 3 11" xfId="11675"/>
    <cellStyle name="Normal 6 5 3 3 12" xfId="13421"/>
    <cellStyle name="Normal 6 5 3 3 2" xfId="1049"/>
    <cellStyle name="Normal 6 5 3 3 2 10" xfId="11923"/>
    <cellStyle name="Normal 6 5 3 3 2 11" xfId="13669"/>
    <cellStyle name="Normal 6 5 3 3 2 2" xfId="1555"/>
    <cellStyle name="Normal 6 5 3 3 2 2 2" xfId="4370"/>
    <cellStyle name="Normal 6 5 3 3 2 2 2 2" xfId="9817"/>
    <cellStyle name="Normal 6 5 3 3 2 2 3" xfId="3360"/>
    <cellStyle name="Normal 6 5 3 3 2 2 4" xfId="7295"/>
    <cellStyle name="Normal 6 5 3 3 2 2 5" xfId="8809"/>
    <cellStyle name="Normal 6 5 3 3 2 2 6" xfId="12429"/>
    <cellStyle name="Normal 6 5 3 3 2 2 7" xfId="14175"/>
    <cellStyle name="Normal 6 5 3 3 2 3" xfId="2063"/>
    <cellStyle name="Normal 6 5 3 3 2 3 2" xfId="3876"/>
    <cellStyle name="Normal 6 5 3 3 2 3 3" xfId="7803"/>
    <cellStyle name="Normal 6 5 3 3 2 3 4" xfId="9321"/>
    <cellStyle name="Normal 6 5 3 3 2 3 5" xfId="12935"/>
    <cellStyle name="Normal 6 5 3 3 2 3 6" xfId="14681"/>
    <cellStyle name="Normal 6 5 3 3 2 4" xfId="4848"/>
    <cellStyle name="Normal 6 5 3 3 2 4 2" xfId="10319"/>
    <cellStyle name="Normal 6 5 3 3 2 5" xfId="5346"/>
    <cellStyle name="Normal 6 5 3 3 2 5 2" xfId="10821"/>
    <cellStyle name="Normal 6 5 3 3 2 6" xfId="5848"/>
    <cellStyle name="Normal 6 5 3 3 2 6 2" xfId="11323"/>
    <cellStyle name="Normal 6 5 3 3 2 7" xfId="2866"/>
    <cellStyle name="Normal 6 5 3 3 2 8" xfId="6789"/>
    <cellStyle name="Normal 6 5 3 3 2 9" xfId="8313"/>
    <cellStyle name="Normal 6 5 3 3 3" xfId="1307"/>
    <cellStyle name="Normal 6 5 3 3 3 2" xfId="4122"/>
    <cellStyle name="Normal 6 5 3 3 3 2 2" xfId="9569"/>
    <cellStyle name="Normal 6 5 3 3 3 3" xfId="3112"/>
    <cellStyle name="Normal 6 5 3 3 3 4" xfId="7047"/>
    <cellStyle name="Normal 6 5 3 3 3 5" xfId="8561"/>
    <cellStyle name="Normal 6 5 3 3 3 6" xfId="12181"/>
    <cellStyle name="Normal 6 5 3 3 3 7" xfId="13927"/>
    <cellStyle name="Normal 6 5 3 3 4" xfId="1815"/>
    <cellStyle name="Normal 6 5 3 3 4 2" xfId="3628"/>
    <cellStyle name="Normal 6 5 3 3 4 3" xfId="7555"/>
    <cellStyle name="Normal 6 5 3 3 4 4" xfId="9073"/>
    <cellStyle name="Normal 6 5 3 3 4 5" xfId="12687"/>
    <cellStyle name="Normal 6 5 3 3 4 6" xfId="14433"/>
    <cellStyle name="Normal 6 5 3 3 5" xfId="4610"/>
    <cellStyle name="Normal 6 5 3 3 5 2" xfId="10071"/>
    <cellStyle name="Normal 6 5 3 3 6" xfId="5098"/>
    <cellStyle name="Normal 6 5 3 3 6 2" xfId="10573"/>
    <cellStyle name="Normal 6 5 3 3 7" xfId="5600"/>
    <cellStyle name="Normal 6 5 3 3 7 2" xfId="11075"/>
    <cellStyle name="Normal 6 5 3 3 8" xfId="2626"/>
    <cellStyle name="Normal 6 5 3 3 9" xfId="6541"/>
    <cellStyle name="Normal 6 5 3 4" xfId="925"/>
    <cellStyle name="Normal 6 5 3 4 10" xfId="11799"/>
    <cellStyle name="Normal 6 5 3 4 11" xfId="13545"/>
    <cellStyle name="Normal 6 5 3 4 2" xfId="1431"/>
    <cellStyle name="Normal 6 5 3 4 2 2" xfId="4246"/>
    <cellStyle name="Normal 6 5 3 4 2 2 2" xfId="9693"/>
    <cellStyle name="Normal 6 5 3 4 2 3" xfId="3236"/>
    <cellStyle name="Normal 6 5 3 4 2 4" xfId="7171"/>
    <cellStyle name="Normal 6 5 3 4 2 5" xfId="8685"/>
    <cellStyle name="Normal 6 5 3 4 2 6" xfId="12305"/>
    <cellStyle name="Normal 6 5 3 4 2 7" xfId="14051"/>
    <cellStyle name="Normal 6 5 3 4 3" xfId="1939"/>
    <cellStyle name="Normal 6 5 3 4 3 2" xfId="3752"/>
    <cellStyle name="Normal 6 5 3 4 3 3" xfId="7679"/>
    <cellStyle name="Normal 6 5 3 4 3 4" xfId="9197"/>
    <cellStyle name="Normal 6 5 3 4 3 5" xfId="12811"/>
    <cellStyle name="Normal 6 5 3 4 3 6" xfId="14557"/>
    <cellStyle name="Normal 6 5 3 4 4" xfId="4726"/>
    <cellStyle name="Normal 6 5 3 4 4 2" xfId="10195"/>
    <cellStyle name="Normal 6 5 3 4 5" xfId="5222"/>
    <cellStyle name="Normal 6 5 3 4 5 2" xfId="10697"/>
    <cellStyle name="Normal 6 5 3 4 6" xfId="5724"/>
    <cellStyle name="Normal 6 5 3 4 6 2" xfId="11199"/>
    <cellStyle name="Normal 6 5 3 4 7" xfId="2744"/>
    <cellStyle name="Normal 6 5 3 4 8" xfId="6665"/>
    <cellStyle name="Normal 6 5 3 4 9" xfId="8189"/>
    <cellStyle name="Normal 6 5 3 5" xfId="1183"/>
    <cellStyle name="Normal 6 5 3 5 2" xfId="4000"/>
    <cellStyle name="Normal 6 5 3 5 2 2" xfId="9445"/>
    <cellStyle name="Normal 6 5 3 5 3" xfId="2990"/>
    <cellStyle name="Normal 6 5 3 5 4" xfId="6923"/>
    <cellStyle name="Normal 6 5 3 5 5" xfId="8437"/>
    <cellStyle name="Normal 6 5 3 5 6" xfId="12057"/>
    <cellStyle name="Normal 6 5 3 5 7" xfId="13803"/>
    <cellStyle name="Normal 6 5 3 6" xfId="1691"/>
    <cellStyle name="Normal 6 5 3 6 2" xfId="3504"/>
    <cellStyle name="Normal 6 5 3 6 3" xfId="7431"/>
    <cellStyle name="Normal 6 5 3 6 4" xfId="8949"/>
    <cellStyle name="Normal 6 5 3 6 5" xfId="12563"/>
    <cellStyle name="Normal 6 5 3 6 6" xfId="14309"/>
    <cellStyle name="Normal 6 5 3 7" xfId="4498"/>
    <cellStyle name="Normal 6 5 3 7 2" xfId="9947"/>
    <cellStyle name="Normal 6 5 3 8" xfId="4974"/>
    <cellStyle name="Normal 6 5 3 8 2" xfId="10449"/>
    <cellStyle name="Normal 6 5 3 9" xfId="5476"/>
    <cellStyle name="Normal 6 5 3 9 2" xfId="10951"/>
    <cellStyle name="Normal 6 5 4" xfId="731"/>
    <cellStyle name="Normal 6 5 4 10" xfId="6471"/>
    <cellStyle name="Normal 6 5 4 11" xfId="7995"/>
    <cellStyle name="Normal 6 5 4 12" xfId="11605"/>
    <cellStyle name="Normal 6 5 4 13" xfId="13351"/>
    <cellStyle name="Normal 6 5 4 2" xfId="855"/>
    <cellStyle name="Normal 6 5 4 2 10" xfId="8119"/>
    <cellStyle name="Normal 6 5 4 2 11" xfId="11729"/>
    <cellStyle name="Normal 6 5 4 2 12" xfId="13475"/>
    <cellStyle name="Normal 6 5 4 2 2" xfId="1103"/>
    <cellStyle name="Normal 6 5 4 2 2 10" xfId="11977"/>
    <cellStyle name="Normal 6 5 4 2 2 11" xfId="13723"/>
    <cellStyle name="Normal 6 5 4 2 2 2" xfId="1609"/>
    <cellStyle name="Normal 6 5 4 2 2 2 2" xfId="4424"/>
    <cellStyle name="Normal 6 5 4 2 2 2 2 2" xfId="9871"/>
    <cellStyle name="Normal 6 5 4 2 2 2 3" xfId="3414"/>
    <cellStyle name="Normal 6 5 4 2 2 2 4" xfId="7349"/>
    <cellStyle name="Normal 6 5 4 2 2 2 5" xfId="8863"/>
    <cellStyle name="Normal 6 5 4 2 2 2 6" xfId="12483"/>
    <cellStyle name="Normal 6 5 4 2 2 2 7" xfId="14229"/>
    <cellStyle name="Normal 6 5 4 2 2 3" xfId="2117"/>
    <cellStyle name="Normal 6 5 4 2 2 3 2" xfId="3930"/>
    <cellStyle name="Normal 6 5 4 2 2 3 3" xfId="7857"/>
    <cellStyle name="Normal 6 5 4 2 2 3 4" xfId="9375"/>
    <cellStyle name="Normal 6 5 4 2 2 3 5" xfId="12989"/>
    <cellStyle name="Normal 6 5 4 2 2 3 6" xfId="14735"/>
    <cellStyle name="Normal 6 5 4 2 2 4" xfId="4902"/>
    <cellStyle name="Normal 6 5 4 2 2 4 2" xfId="10373"/>
    <cellStyle name="Normal 6 5 4 2 2 5" xfId="5400"/>
    <cellStyle name="Normal 6 5 4 2 2 5 2" xfId="10875"/>
    <cellStyle name="Normal 6 5 4 2 2 6" xfId="5902"/>
    <cellStyle name="Normal 6 5 4 2 2 6 2" xfId="11377"/>
    <cellStyle name="Normal 6 5 4 2 2 7" xfId="2920"/>
    <cellStyle name="Normal 6 5 4 2 2 8" xfId="6843"/>
    <cellStyle name="Normal 6 5 4 2 2 9" xfId="8367"/>
    <cellStyle name="Normal 6 5 4 2 3" xfId="1361"/>
    <cellStyle name="Normal 6 5 4 2 3 2" xfId="4176"/>
    <cellStyle name="Normal 6 5 4 2 3 2 2" xfId="9623"/>
    <cellStyle name="Normal 6 5 4 2 3 3" xfId="3166"/>
    <cellStyle name="Normal 6 5 4 2 3 4" xfId="7101"/>
    <cellStyle name="Normal 6 5 4 2 3 5" xfId="8615"/>
    <cellStyle name="Normal 6 5 4 2 3 6" xfId="12235"/>
    <cellStyle name="Normal 6 5 4 2 3 7" xfId="13981"/>
    <cellStyle name="Normal 6 5 4 2 4" xfId="1869"/>
    <cellStyle name="Normal 6 5 4 2 4 2" xfId="3682"/>
    <cellStyle name="Normal 6 5 4 2 4 3" xfId="7609"/>
    <cellStyle name="Normal 6 5 4 2 4 4" xfId="9127"/>
    <cellStyle name="Normal 6 5 4 2 4 5" xfId="12741"/>
    <cellStyle name="Normal 6 5 4 2 4 6" xfId="14487"/>
    <cellStyle name="Normal 6 5 4 2 5" xfId="4662"/>
    <cellStyle name="Normal 6 5 4 2 5 2" xfId="10125"/>
    <cellStyle name="Normal 6 5 4 2 6" xfId="5152"/>
    <cellStyle name="Normal 6 5 4 2 6 2" xfId="10627"/>
    <cellStyle name="Normal 6 5 4 2 7" xfId="5654"/>
    <cellStyle name="Normal 6 5 4 2 7 2" xfId="11129"/>
    <cellStyle name="Normal 6 5 4 2 8" xfId="2678"/>
    <cellStyle name="Normal 6 5 4 2 9" xfId="6595"/>
    <cellStyle name="Normal 6 5 4 3" xfId="979"/>
    <cellStyle name="Normal 6 5 4 3 10" xfId="11853"/>
    <cellStyle name="Normal 6 5 4 3 11" xfId="13599"/>
    <cellStyle name="Normal 6 5 4 3 2" xfId="1485"/>
    <cellStyle name="Normal 6 5 4 3 2 2" xfId="4300"/>
    <cellStyle name="Normal 6 5 4 3 2 2 2" xfId="9747"/>
    <cellStyle name="Normal 6 5 4 3 2 3" xfId="3290"/>
    <cellStyle name="Normal 6 5 4 3 2 4" xfId="7225"/>
    <cellStyle name="Normal 6 5 4 3 2 5" xfId="8739"/>
    <cellStyle name="Normal 6 5 4 3 2 6" xfId="12359"/>
    <cellStyle name="Normal 6 5 4 3 2 7" xfId="14105"/>
    <cellStyle name="Normal 6 5 4 3 3" xfId="1993"/>
    <cellStyle name="Normal 6 5 4 3 3 2" xfId="3806"/>
    <cellStyle name="Normal 6 5 4 3 3 3" xfId="7733"/>
    <cellStyle name="Normal 6 5 4 3 3 4" xfId="9251"/>
    <cellStyle name="Normal 6 5 4 3 3 5" xfId="12865"/>
    <cellStyle name="Normal 6 5 4 3 3 6" xfId="14611"/>
    <cellStyle name="Normal 6 5 4 3 4" xfId="4778"/>
    <cellStyle name="Normal 6 5 4 3 4 2" xfId="10249"/>
    <cellStyle name="Normal 6 5 4 3 5" xfId="5276"/>
    <cellStyle name="Normal 6 5 4 3 5 2" xfId="10751"/>
    <cellStyle name="Normal 6 5 4 3 6" xfId="5778"/>
    <cellStyle name="Normal 6 5 4 3 6 2" xfId="11253"/>
    <cellStyle name="Normal 6 5 4 3 7" xfId="2796"/>
    <cellStyle name="Normal 6 5 4 3 8" xfId="6719"/>
    <cellStyle name="Normal 6 5 4 3 9" xfId="8243"/>
    <cellStyle name="Normal 6 5 4 4" xfId="1237"/>
    <cellStyle name="Normal 6 5 4 4 2" xfId="4052"/>
    <cellStyle name="Normal 6 5 4 4 2 2" xfId="9499"/>
    <cellStyle name="Normal 6 5 4 4 3" xfId="3042"/>
    <cellStyle name="Normal 6 5 4 4 4" xfId="6977"/>
    <cellStyle name="Normal 6 5 4 4 5" xfId="8491"/>
    <cellStyle name="Normal 6 5 4 4 6" xfId="12111"/>
    <cellStyle name="Normal 6 5 4 4 7" xfId="13857"/>
    <cellStyle name="Normal 6 5 4 5" xfId="1745"/>
    <cellStyle name="Normal 6 5 4 5 2" xfId="3558"/>
    <cellStyle name="Normal 6 5 4 5 3" xfId="7485"/>
    <cellStyle name="Normal 6 5 4 5 4" xfId="9003"/>
    <cellStyle name="Normal 6 5 4 5 5" xfId="12617"/>
    <cellStyle name="Normal 6 5 4 5 6" xfId="14363"/>
    <cellStyle name="Normal 6 5 4 6" xfId="4546"/>
    <cellStyle name="Normal 6 5 4 6 2" xfId="10001"/>
    <cellStyle name="Normal 6 5 4 7" xfId="5028"/>
    <cellStyle name="Normal 6 5 4 7 2" xfId="10503"/>
    <cellStyle name="Normal 6 5 4 8" xfId="5530"/>
    <cellStyle name="Normal 6 5 4 8 2" xfId="11005"/>
    <cellStyle name="Normal 6 5 4 9" xfId="2562"/>
    <cellStyle name="Normal 6 5 5" xfId="759"/>
    <cellStyle name="Normal 6 5 5 10" xfId="8023"/>
    <cellStyle name="Normal 6 5 5 11" xfId="11633"/>
    <cellStyle name="Normal 6 5 5 12" xfId="13379"/>
    <cellStyle name="Normal 6 5 5 2" xfId="1007"/>
    <cellStyle name="Normal 6 5 5 2 10" xfId="11881"/>
    <cellStyle name="Normal 6 5 5 2 11" xfId="13627"/>
    <cellStyle name="Normal 6 5 5 2 2" xfId="1513"/>
    <cellStyle name="Normal 6 5 5 2 2 2" xfId="4328"/>
    <cellStyle name="Normal 6 5 5 2 2 2 2" xfId="9775"/>
    <cellStyle name="Normal 6 5 5 2 2 3" xfId="3318"/>
    <cellStyle name="Normal 6 5 5 2 2 4" xfId="7253"/>
    <cellStyle name="Normal 6 5 5 2 2 5" xfId="8767"/>
    <cellStyle name="Normal 6 5 5 2 2 6" xfId="12387"/>
    <cellStyle name="Normal 6 5 5 2 2 7" xfId="14133"/>
    <cellStyle name="Normal 6 5 5 2 3" xfId="2021"/>
    <cellStyle name="Normal 6 5 5 2 3 2" xfId="3834"/>
    <cellStyle name="Normal 6 5 5 2 3 3" xfId="7761"/>
    <cellStyle name="Normal 6 5 5 2 3 4" xfId="9279"/>
    <cellStyle name="Normal 6 5 5 2 3 5" xfId="12893"/>
    <cellStyle name="Normal 6 5 5 2 3 6" xfId="14639"/>
    <cellStyle name="Normal 6 5 5 2 4" xfId="4806"/>
    <cellStyle name="Normal 6 5 5 2 4 2" xfId="10277"/>
    <cellStyle name="Normal 6 5 5 2 5" xfId="5304"/>
    <cellStyle name="Normal 6 5 5 2 5 2" xfId="10779"/>
    <cellStyle name="Normal 6 5 5 2 6" xfId="5806"/>
    <cellStyle name="Normal 6 5 5 2 6 2" xfId="11281"/>
    <cellStyle name="Normal 6 5 5 2 7" xfId="2824"/>
    <cellStyle name="Normal 6 5 5 2 8" xfId="6747"/>
    <cellStyle name="Normal 6 5 5 2 9" xfId="8271"/>
    <cellStyle name="Normal 6 5 5 3" xfId="1265"/>
    <cellStyle name="Normal 6 5 5 3 2" xfId="4080"/>
    <cellStyle name="Normal 6 5 5 3 2 2" xfId="9527"/>
    <cellStyle name="Normal 6 5 5 3 3" xfId="3070"/>
    <cellStyle name="Normal 6 5 5 3 4" xfId="7005"/>
    <cellStyle name="Normal 6 5 5 3 5" xfId="8519"/>
    <cellStyle name="Normal 6 5 5 3 6" xfId="12139"/>
    <cellStyle name="Normal 6 5 5 3 7" xfId="13885"/>
    <cellStyle name="Normal 6 5 5 4" xfId="1773"/>
    <cellStyle name="Normal 6 5 5 4 2" xfId="3586"/>
    <cellStyle name="Normal 6 5 5 4 3" xfId="7513"/>
    <cellStyle name="Normal 6 5 5 4 4" xfId="9031"/>
    <cellStyle name="Normal 6 5 5 4 5" xfId="12645"/>
    <cellStyle name="Normal 6 5 5 4 6" xfId="14391"/>
    <cellStyle name="Normal 6 5 5 5" xfId="4572"/>
    <cellStyle name="Normal 6 5 5 5 2" xfId="10029"/>
    <cellStyle name="Normal 6 5 5 6" xfId="5056"/>
    <cellStyle name="Normal 6 5 5 6 2" xfId="10531"/>
    <cellStyle name="Normal 6 5 5 7" xfId="5558"/>
    <cellStyle name="Normal 6 5 5 7 2" xfId="11033"/>
    <cellStyle name="Normal 6 5 5 8" xfId="2588"/>
    <cellStyle name="Normal 6 5 5 9" xfId="6499"/>
    <cellStyle name="Normal 6 5 6" xfId="883"/>
    <cellStyle name="Normal 6 5 6 10" xfId="11757"/>
    <cellStyle name="Normal 6 5 6 11" xfId="13503"/>
    <cellStyle name="Normal 6 5 6 2" xfId="1389"/>
    <cellStyle name="Normal 6 5 6 2 2" xfId="4204"/>
    <cellStyle name="Normal 6 5 6 2 2 2" xfId="9651"/>
    <cellStyle name="Normal 6 5 6 2 3" xfId="3194"/>
    <cellStyle name="Normal 6 5 6 2 4" xfId="7129"/>
    <cellStyle name="Normal 6 5 6 2 5" xfId="8643"/>
    <cellStyle name="Normal 6 5 6 2 6" xfId="12263"/>
    <cellStyle name="Normal 6 5 6 2 7" xfId="14009"/>
    <cellStyle name="Normal 6 5 6 3" xfId="1897"/>
    <cellStyle name="Normal 6 5 6 3 2" xfId="3710"/>
    <cellStyle name="Normal 6 5 6 3 3" xfId="7637"/>
    <cellStyle name="Normal 6 5 6 3 4" xfId="9155"/>
    <cellStyle name="Normal 6 5 6 3 5" xfId="12769"/>
    <cellStyle name="Normal 6 5 6 3 6" xfId="14515"/>
    <cellStyle name="Normal 6 5 6 4" xfId="4688"/>
    <cellStyle name="Normal 6 5 6 4 2" xfId="10153"/>
    <cellStyle name="Normal 6 5 6 5" xfId="5180"/>
    <cellStyle name="Normal 6 5 6 5 2" xfId="10655"/>
    <cellStyle name="Normal 6 5 6 6" xfId="5682"/>
    <cellStyle name="Normal 6 5 6 6 2" xfId="11157"/>
    <cellStyle name="Normal 6 5 6 7" xfId="2706"/>
    <cellStyle name="Normal 6 5 6 8" xfId="6623"/>
    <cellStyle name="Normal 6 5 6 9" xfId="8147"/>
    <cellStyle name="Normal 6 5 7" xfId="1141"/>
    <cellStyle name="Normal 6 5 7 2" xfId="3958"/>
    <cellStyle name="Normal 6 5 7 2 2" xfId="9403"/>
    <cellStyle name="Normal 6 5 7 3" xfId="2948"/>
    <cellStyle name="Normal 6 5 7 4" xfId="6881"/>
    <cellStyle name="Normal 6 5 7 5" xfId="8395"/>
    <cellStyle name="Normal 6 5 7 6" xfId="12015"/>
    <cellStyle name="Normal 6 5 7 7" xfId="13761"/>
    <cellStyle name="Normal 6 5 8" xfId="1649"/>
    <cellStyle name="Normal 6 5 8 2" xfId="3462"/>
    <cellStyle name="Normal 6 5 8 3" xfId="7389"/>
    <cellStyle name="Normal 6 5 8 4" xfId="8907"/>
    <cellStyle name="Normal 6 5 8 5" xfId="12521"/>
    <cellStyle name="Normal 6 5 8 6" xfId="14267"/>
    <cellStyle name="Normal 6 5 9" xfId="4458"/>
    <cellStyle name="Normal 6 5 9 2" xfId="9905"/>
    <cellStyle name="Normal 6 6" xfId="629"/>
    <cellStyle name="Normal 6 6 10" xfId="4936"/>
    <cellStyle name="Normal 6 6 10 2" xfId="10409"/>
    <cellStyle name="Normal 6 6 11" xfId="5436"/>
    <cellStyle name="Normal 6 6 11 2" xfId="10911"/>
    <cellStyle name="Normal 6 6 12" xfId="2478"/>
    <cellStyle name="Normal 6 6 13" xfId="6374"/>
    <cellStyle name="Normal 6 6 14" xfId="7901"/>
    <cellStyle name="Normal 6 6 15" xfId="11511"/>
    <cellStyle name="Normal 6 6 16" xfId="13257"/>
    <cellStyle name="Normal 6 6 2" xfId="659"/>
    <cellStyle name="Normal 6 6 2 10" xfId="2498"/>
    <cellStyle name="Normal 6 6 2 11" xfId="6399"/>
    <cellStyle name="Normal 6 6 2 12" xfId="7923"/>
    <cellStyle name="Normal 6 6 2 13" xfId="11533"/>
    <cellStyle name="Normal 6 6 2 14" xfId="13279"/>
    <cellStyle name="Normal 6 6 2 2" xfId="735"/>
    <cellStyle name="Normal 6 6 2 2 10" xfId="6475"/>
    <cellStyle name="Normal 6 6 2 2 11" xfId="7999"/>
    <cellStyle name="Normal 6 6 2 2 12" xfId="11609"/>
    <cellStyle name="Normal 6 6 2 2 13" xfId="13355"/>
    <cellStyle name="Normal 6 6 2 2 2" xfId="859"/>
    <cellStyle name="Normal 6 6 2 2 2 10" xfId="8123"/>
    <cellStyle name="Normal 6 6 2 2 2 11" xfId="11733"/>
    <cellStyle name="Normal 6 6 2 2 2 12" xfId="13479"/>
    <cellStyle name="Normal 6 6 2 2 2 2" xfId="1107"/>
    <cellStyle name="Normal 6 6 2 2 2 2 10" xfId="11981"/>
    <cellStyle name="Normal 6 6 2 2 2 2 11" xfId="13727"/>
    <cellStyle name="Normal 6 6 2 2 2 2 2" xfId="1613"/>
    <cellStyle name="Normal 6 6 2 2 2 2 2 2" xfId="4428"/>
    <cellStyle name="Normal 6 6 2 2 2 2 2 2 2" xfId="9875"/>
    <cellStyle name="Normal 6 6 2 2 2 2 2 3" xfId="3418"/>
    <cellStyle name="Normal 6 6 2 2 2 2 2 4" xfId="7353"/>
    <cellStyle name="Normal 6 6 2 2 2 2 2 5" xfId="8867"/>
    <cellStyle name="Normal 6 6 2 2 2 2 2 6" xfId="12487"/>
    <cellStyle name="Normal 6 6 2 2 2 2 2 7" xfId="14233"/>
    <cellStyle name="Normal 6 6 2 2 2 2 3" xfId="2121"/>
    <cellStyle name="Normal 6 6 2 2 2 2 3 2" xfId="3934"/>
    <cellStyle name="Normal 6 6 2 2 2 2 3 3" xfId="7861"/>
    <cellStyle name="Normal 6 6 2 2 2 2 3 4" xfId="9379"/>
    <cellStyle name="Normal 6 6 2 2 2 2 3 5" xfId="12993"/>
    <cellStyle name="Normal 6 6 2 2 2 2 3 6" xfId="14739"/>
    <cellStyle name="Normal 6 6 2 2 2 2 4" xfId="4906"/>
    <cellStyle name="Normal 6 6 2 2 2 2 4 2" xfId="10377"/>
    <cellStyle name="Normal 6 6 2 2 2 2 5" xfId="5404"/>
    <cellStyle name="Normal 6 6 2 2 2 2 5 2" xfId="10879"/>
    <cellStyle name="Normal 6 6 2 2 2 2 6" xfId="5906"/>
    <cellStyle name="Normal 6 6 2 2 2 2 6 2" xfId="11381"/>
    <cellStyle name="Normal 6 6 2 2 2 2 7" xfId="2924"/>
    <cellStyle name="Normal 6 6 2 2 2 2 8" xfId="6847"/>
    <cellStyle name="Normal 6 6 2 2 2 2 9" xfId="8371"/>
    <cellStyle name="Normal 6 6 2 2 2 3" xfId="1365"/>
    <cellStyle name="Normal 6 6 2 2 2 3 2" xfId="4180"/>
    <cellStyle name="Normal 6 6 2 2 2 3 2 2" xfId="9627"/>
    <cellStyle name="Normal 6 6 2 2 2 3 3" xfId="3170"/>
    <cellStyle name="Normal 6 6 2 2 2 3 4" xfId="7105"/>
    <cellStyle name="Normal 6 6 2 2 2 3 5" xfId="8619"/>
    <cellStyle name="Normal 6 6 2 2 2 3 6" xfId="12239"/>
    <cellStyle name="Normal 6 6 2 2 2 3 7" xfId="13985"/>
    <cellStyle name="Normal 6 6 2 2 2 4" xfId="1873"/>
    <cellStyle name="Normal 6 6 2 2 2 4 2" xfId="3686"/>
    <cellStyle name="Normal 6 6 2 2 2 4 3" xfId="7613"/>
    <cellStyle name="Normal 6 6 2 2 2 4 4" xfId="9131"/>
    <cellStyle name="Normal 6 6 2 2 2 4 5" xfId="12745"/>
    <cellStyle name="Normal 6 6 2 2 2 4 6" xfId="14491"/>
    <cellStyle name="Normal 6 6 2 2 2 5" xfId="4666"/>
    <cellStyle name="Normal 6 6 2 2 2 5 2" xfId="10129"/>
    <cellStyle name="Normal 6 6 2 2 2 6" xfId="5156"/>
    <cellStyle name="Normal 6 6 2 2 2 6 2" xfId="10631"/>
    <cellStyle name="Normal 6 6 2 2 2 7" xfId="5658"/>
    <cellStyle name="Normal 6 6 2 2 2 7 2" xfId="11133"/>
    <cellStyle name="Normal 6 6 2 2 2 8" xfId="2682"/>
    <cellStyle name="Normal 6 6 2 2 2 9" xfId="6599"/>
    <cellStyle name="Normal 6 6 2 2 3" xfId="983"/>
    <cellStyle name="Normal 6 6 2 2 3 10" xfId="11857"/>
    <cellStyle name="Normal 6 6 2 2 3 11" xfId="13603"/>
    <cellStyle name="Normal 6 6 2 2 3 2" xfId="1489"/>
    <cellStyle name="Normal 6 6 2 2 3 2 2" xfId="4304"/>
    <cellStyle name="Normal 6 6 2 2 3 2 2 2" xfId="9751"/>
    <cellStyle name="Normal 6 6 2 2 3 2 3" xfId="3294"/>
    <cellStyle name="Normal 6 6 2 2 3 2 4" xfId="7229"/>
    <cellStyle name="Normal 6 6 2 2 3 2 5" xfId="8743"/>
    <cellStyle name="Normal 6 6 2 2 3 2 6" xfId="12363"/>
    <cellStyle name="Normal 6 6 2 2 3 2 7" xfId="14109"/>
    <cellStyle name="Normal 6 6 2 2 3 3" xfId="1997"/>
    <cellStyle name="Normal 6 6 2 2 3 3 2" xfId="3810"/>
    <cellStyle name="Normal 6 6 2 2 3 3 3" xfId="7737"/>
    <cellStyle name="Normal 6 6 2 2 3 3 4" xfId="9255"/>
    <cellStyle name="Normal 6 6 2 2 3 3 5" xfId="12869"/>
    <cellStyle name="Normal 6 6 2 2 3 3 6" xfId="14615"/>
    <cellStyle name="Normal 6 6 2 2 3 4" xfId="4782"/>
    <cellStyle name="Normal 6 6 2 2 3 4 2" xfId="10253"/>
    <cellStyle name="Normal 6 6 2 2 3 5" xfId="5280"/>
    <cellStyle name="Normal 6 6 2 2 3 5 2" xfId="10755"/>
    <cellStyle name="Normal 6 6 2 2 3 6" xfId="5782"/>
    <cellStyle name="Normal 6 6 2 2 3 6 2" xfId="11257"/>
    <cellStyle name="Normal 6 6 2 2 3 7" xfId="2800"/>
    <cellStyle name="Normal 6 6 2 2 3 8" xfId="6723"/>
    <cellStyle name="Normal 6 6 2 2 3 9" xfId="8247"/>
    <cellStyle name="Normal 6 6 2 2 4" xfId="1241"/>
    <cellStyle name="Normal 6 6 2 2 4 2" xfId="4056"/>
    <cellStyle name="Normal 6 6 2 2 4 2 2" xfId="9503"/>
    <cellStyle name="Normal 6 6 2 2 4 3" xfId="3046"/>
    <cellStyle name="Normal 6 6 2 2 4 4" xfId="6981"/>
    <cellStyle name="Normal 6 6 2 2 4 5" xfId="8495"/>
    <cellStyle name="Normal 6 6 2 2 4 6" xfId="12115"/>
    <cellStyle name="Normal 6 6 2 2 4 7" xfId="13861"/>
    <cellStyle name="Normal 6 6 2 2 5" xfId="1749"/>
    <cellStyle name="Normal 6 6 2 2 5 2" xfId="3562"/>
    <cellStyle name="Normal 6 6 2 2 5 3" xfId="7489"/>
    <cellStyle name="Normal 6 6 2 2 5 4" xfId="9007"/>
    <cellStyle name="Normal 6 6 2 2 5 5" xfId="12621"/>
    <cellStyle name="Normal 6 6 2 2 5 6" xfId="14367"/>
    <cellStyle name="Normal 6 6 2 2 6" xfId="4550"/>
    <cellStyle name="Normal 6 6 2 2 6 2" xfId="10005"/>
    <cellStyle name="Normal 6 6 2 2 7" xfId="5032"/>
    <cellStyle name="Normal 6 6 2 2 7 2" xfId="10507"/>
    <cellStyle name="Normal 6 6 2 2 8" xfId="5534"/>
    <cellStyle name="Normal 6 6 2 2 8 2" xfId="11009"/>
    <cellStyle name="Normal 6 6 2 2 9" xfId="2566"/>
    <cellStyle name="Normal 6 6 2 3" xfId="783"/>
    <cellStyle name="Normal 6 6 2 3 10" xfId="8047"/>
    <cellStyle name="Normal 6 6 2 3 11" xfId="11657"/>
    <cellStyle name="Normal 6 6 2 3 12" xfId="13403"/>
    <cellStyle name="Normal 6 6 2 3 2" xfId="1031"/>
    <cellStyle name="Normal 6 6 2 3 2 10" xfId="11905"/>
    <cellStyle name="Normal 6 6 2 3 2 11" xfId="13651"/>
    <cellStyle name="Normal 6 6 2 3 2 2" xfId="1537"/>
    <cellStyle name="Normal 6 6 2 3 2 2 2" xfId="4352"/>
    <cellStyle name="Normal 6 6 2 3 2 2 2 2" xfId="9799"/>
    <cellStyle name="Normal 6 6 2 3 2 2 3" xfId="3342"/>
    <cellStyle name="Normal 6 6 2 3 2 2 4" xfId="7277"/>
    <cellStyle name="Normal 6 6 2 3 2 2 5" xfId="8791"/>
    <cellStyle name="Normal 6 6 2 3 2 2 6" xfId="12411"/>
    <cellStyle name="Normal 6 6 2 3 2 2 7" xfId="14157"/>
    <cellStyle name="Normal 6 6 2 3 2 3" xfId="2045"/>
    <cellStyle name="Normal 6 6 2 3 2 3 2" xfId="3858"/>
    <cellStyle name="Normal 6 6 2 3 2 3 3" xfId="7785"/>
    <cellStyle name="Normal 6 6 2 3 2 3 4" xfId="9303"/>
    <cellStyle name="Normal 6 6 2 3 2 3 5" xfId="12917"/>
    <cellStyle name="Normal 6 6 2 3 2 3 6" xfId="14663"/>
    <cellStyle name="Normal 6 6 2 3 2 4" xfId="4830"/>
    <cellStyle name="Normal 6 6 2 3 2 4 2" xfId="10301"/>
    <cellStyle name="Normal 6 6 2 3 2 5" xfId="5328"/>
    <cellStyle name="Normal 6 6 2 3 2 5 2" xfId="10803"/>
    <cellStyle name="Normal 6 6 2 3 2 6" xfId="5830"/>
    <cellStyle name="Normal 6 6 2 3 2 6 2" xfId="11305"/>
    <cellStyle name="Normal 6 6 2 3 2 7" xfId="2848"/>
    <cellStyle name="Normal 6 6 2 3 2 8" xfId="6771"/>
    <cellStyle name="Normal 6 6 2 3 2 9" xfId="8295"/>
    <cellStyle name="Normal 6 6 2 3 3" xfId="1289"/>
    <cellStyle name="Normal 6 6 2 3 3 2" xfId="4104"/>
    <cellStyle name="Normal 6 6 2 3 3 2 2" xfId="9551"/>
    <cellStyle name="Normal 6 6 2 3 3 3" xfId="3094"/>
    <cellStyle name="Normal 6 6 2 3 3 4" xfId="7029"/>
    <cellStyle name="Normal 6 6 2 3 3 5" xfId="8543"/>
    <cellStyle name="Normal 6 6 2 3 3 6" xfId="12163"/>
    <cellStyle name="Normal 6 6 2 3 3 7" xfId="13909"/>
    <cellStyle name="Normal 6 6 2 3 4" xfId="1797"/>
    <cellStyle name="Normal 6 6 2 3 4 2" xfId="3610"/>
    <cellStyle name="Normal 6 6 2 3 4 3" xfId="7537"/>
    <cellStyle name="Normal 6 6 2 3 4 4" xfId="9055"/>
    <cellStyle name="Normal 6 6 2 3 4 5" xfId="12669"/>
    <cellStyle name="Normal 6 6 2 3 4 6" xfId="14415"/>
    <cellStyle name="Normal 6 6 2 3 5" xfId="4594"/>
    <cellStyle name="Normal 6 6 2 3 5 2" xfId="10053"/>
    <cellStyle name="Normal 6 6 2 3 6" xfId="5080"/>
    <cellStyle name="Normal 6 6 2 3 6 2" xfId="10555"/>
    <cellStyle name="Normal 6 6 2 3 7" xfId="5582"/>
    <cellStyle name="Normal 6 6 2 3 7 2" xfId="11057"/>
    <cellStyle name="Normal 6 6 2 3 8" xfId="2610"/>
    <cellStyle name="Normal 6 6 2 3 9" xfId="6523"/>
    <cellStyle name="Normal 6 6 2 4" xfId="907"/>
    <cellStyle name="Normal 6 6 2 4 10" xfId="11781"/>
    <cellStyle name="Normal 6 6 2 4 11" xfId="13527"/>
    <cellStyle name="Normal 6 6 2 4 2" xfId="1413"/>
    <cellStyle name="Normal 6 6 2 4 2 2" xfId="4228"/>
    <cellStyle name="Normal 6 6 2 4 2 2 2" xfId="9675"/>
    <cellStyle name="Normal 6 6 2 4 2 3" xfId="3218"/>
    <cellStyle name="Normal 6 6 2 4 2 4" xfId="7153"/>
    <cellStyle name="Normal 6 6 2 4 2 5" xfId="8667"/>
    <cellStyle name="Normal 6 6 2 4 2 6" xfId="12287"/>
    <cellStyle name="Normal 6 6 2 4 2 7" xfId="14033"/>
    <cellStyle name="Normal 6 6 2 4 3" xfId="1921"/>
    <cellStyle name="Normal 6 6 2 4 3 2" xfId="3734"/>
    <cellStyle name="Normal 6 6 2 4 3 3" xfId="7661"/>
    <cellStyle name="Normal 6 6 2 4 3 4" xfId="9179"/>
    <cellStyle name="Normal 6 6 2 4 3 5" xfId="12793"/>
    <cellStyle name="Normal 6 6 2 4 3 6" xfId="14539"/>
    <cellStyle name="Normal 6 6 2 4 4" xfId="4710"/>
    <cellStyle name="Normal 6 6 2 4 4 2" xfId="10177"/>
    <cellStyle name="Normal 6 6 2 4 5" xfId="5204"/>
    <cellStyle name="Normal 6 6 2 4 5 2" xfId="10679"/>
    <cellStyle name="Normal 6 6 2 4 6" xfId="5706"/>
    <cellStyle name="Normal 6 6 2 4 6 2" xfId="11181"/>
    <cellStyle name="Normal 6 6 2 4 7" xfId="2728"/>
    <cellStyle name="Normal 6 6 2 4 8" xfId="6647"/>
    <cellStyle name="Normal 6 6 2 4 9" xfId="8171"/>
    <cellStyle name="Normal 6 6 2 5" xfId="1165"/>
    <cellStyle name="Normal 6 6 2 5 2" xfId="3982"/>
    <cellStyle name="Normal 6 6 2 5 2 2" xfId="9427"/>
    <cellStyle name="Normal 6 6 2 5 3" xfId="2972"/>
    <cellStyle name="Normal 6 6 2 5 4" xfId="6905"/>
    <cellStyle name="Normal 6 6 2 5 5" xfId="8419"/>
    <cellStyle name="Normal 6 6 2 5 6" xfId="12039"/>
    <cellStyle name="Normal 6 6 2 5 7" xfId="13785"/>
    <cellStyle name="Normal 6 6 2 6" xfId="1673"/>
    <cellStyle name="Normal 6 6 2 6 2" xfId="3486"/>
    <cellStyle name="Normal 6 6 2 6 3" xfId="7413"/>
    <cellStyle name="Normal 6 6 2 6 4" xfId="8931"/>
    <cellStyle name="Normal 6 6 2 6 5" xfId="12545"/>
    <cellStyle name="Normal 6 6 2 6 6" xfId="14291"/>
    <cellStyle name="Normal 6 6 2 7" xfId="4482"/>
    <cellStyle name="Normal 6 6 2 7 2" xfId="9929"/>
    <cellStyle name="Normal 6 6 2 8" xfId="4956"/>
    <cellStyle name="Normal 6 6 2 8 2" xfId="10431"/>
    <cellStyle name="Normal 6 6 2 9" xfId="5458"/>
    <cellStyle name="Normal 6 6 2 9 2" xfId="10933"/>
    <cellStyle name="Normal 6 6 3" xfId="679"/>
    <cellStyle name="Normal 6 6 3 10" xfId="2516"/>
    <cellStyle name="Normal 6 6 3 11" xfId="6419"/>
    <cellStyle name="Normal 6 6 3 12" xfId="7943"/>
    <cellStyle name="Normal 6 6 3 13" xfId="11553"/>
    <cellStyle name="Normal 6 6 3 14" xfId="13299"/>
    <cellStyle name="Normal 6 6 3 2" xfId="736"/>
    <cellStyle name="Normal 6 6 3 2 10" xfId="6476"/>
    <cellStyle name="Normal 6 6 3 2 11" xfId="8000"/>
    <cellStyle name="Normal 6 6 3 2 12" xfId="11610"/>
    <cellStyle name="Normal 6 6 3 2 13" xfId="13356"/>
    <cellStyle name="Normal 6 6 3 2 2" xfId="860"/>
    <cellStyle name="Normal 6 6 3 2 2 10" xfId="8124"/>
    <cellStyle name="Normal 6 6 3 2 2 11" xfId="11734"/>
    <cellStyle name="Normal 6 6 3 2 2 12" xfId="13480"/>
    <cellStyle name="Normal 6 6 3 2 2 2" xfId="1108"/>
    <cellStyle name="Normal 6 6 3 2 2 2 10" xfId="11982"/>
    <cellStyle name="Normal 6 6 3 2 2 2 11" xfId="13728"/>
    <cellStyle name="Normal 6 6 3 2 2 2 2" xfId="1614"/>
    <cellStyle name="Normal 6 6 3 2 2 2 2 2" xfId="4429"/>
    <cellStyle name="Normal 6 6 3 2 2 2 2 2 2" xfId="9876"/>
    <cellStyle name="Normal 6 6 3 2 2 2 2 3" xfId="3419"/>
    <cellStyle name="Normal 6 6 3 2 2 2 2 4" xfId="7354"/>
    <cellStyle name="Normal 6 6 3 2 2 2 2 5" xfId="8868"/>
    <cellStyle name="Normal 6 6 3 2 2 2 2 6" xfId="12488"/>
    <cellStyle name="Normal 6 6 3 2 2 2 2 7" xfId="14234"/>
    <cellStyle name="Normal 6 6 3 2 2 2 3" xfId="2122"/>
    <cellStyle name="Normal 6 6 3 2 2 2 3 2" xfId="3935"/>
    <cellStyle name="Normal 6 6 3 2 2 2 3 3" xfId="7862"/>
    <cellStyle name="Normal 6 6 3 2 2 2 3 4" xfId="9380"/>
    <cellStyle name="Normal 6 6 3 2 2 2 3 5" xfId="12994"/>
    <cellStyle name="Normal 6 6 3 2 2 2 3 6" xfId="14740"/>
    <cellStyle name="Normal 6 6 3 2 2 2 4" xfId="4907"/>
    <cellStyle name="Normal 6 6 3 2 2 2 4 2" xfId="10378"/>
    <cellStyle name="Normal 6 6 3 2 2 2 5" xfId="5405"/>
    <cellStyle name="Normal 6 6 3 2 2 2 5 2" xfId="10880"/>
    <cellStyle name="Normal 6 6 3 2 2 2 6" xfId="5907"/>
    <cellStyle name="Normal 6 6 3 2 2 2 6 2" xfId="11382"/>
    <cellStyle name="Normal 6 6 3 2 2 2 7" xfId="2925"/>
    <cellStyle name="Normal 6 6 3 2 2 2 8" xfId="6848"/>
    <cellStyle name="Normal 6 6 3 2 2 2 9" xfId="8372"/>
    <cellStyle name="Normal 6 6 3 2 2 3" xfId="1366"/>
    <cellStyle name="Normal 6 6 3 2 2 3 2" xfId="4181"/>
    <cellStyle name="Normal 6 6 3 2 2 3 2 2" xfId="9628"/>
    <cellStyle name="Normal 6 6 3 2 2 3 3" xfId="3171"/>
    <cellStyle name="Normal 6 6 3 2 2 3 4" xfId="7106"/>
    <cellStyle name="Normal 6 6 3 2 2 3 5" xfId="8620"/>
    <cellStyle name="Normal 6 6 3 2 2 3 6" xfId="12240"/>
    <cellStyle name="Normal 6 6 3 2 2 3 7" xfId="13986"/>
    <cellStyle name="Normal 6 6 3 2 2 4" xfId="1874"/>
    <cellStyle name="Normal 6 6 3 2 2 4 2" xfId="3687"/>
    <cellStyle name="Normal 6 6 3 2 2 4 3" xfId="7614"/>
    <cellStyle name="Normal 6 6 3 2 2 4 4" xfId="9132"/>
    <cellStyle name="Normal 6 6 3 2 2 4 5" xfId="12746"/>
    <cellStyle name="Normal 6 6 3 2 2 4 6" xfId="14492"/>
    <cellStyle name="Normal 6 6 3 2 2 5" xfId="4667"/>
    <cellStyle name="Normal 6 6 3 2 2 5 2" xfId="10130"/>
    <cellStyle name="Normal 6 6 3 2 2 6" xfId="5157"/>
    <cellStyle name="Normal 6 6 3 2 2 6 2" xfId="10632"/>
    <cellStyle name="Normal 6 6 3 2 2 7" xfId="5659"/>
    <cellStyle name="Normal 6 6 3 2 2 7 2" xfId="11134"/>
    <cellStyle name="Normal 6 6 3 2 2 8" xfId="2683"/>
    <cellStyle name="Normal 6 6 3 2 2 9" xfId="6600"/>
    <cellStyle name="Normal 6 6 3 2 3" xfId="984"/>
    <cellStyle name="Normal 6 6 3 2 3 10" xfId="11858"/>
    <cellStyle name="Normal 6 6 3 2 3 11" xfId="13604"/>
    <cellStyle name="Normal 6 6 3 2 3 2" xfId="1490"/>
    <cellStyle name="Normal 6 6 3 2 3 2 2" xfId="4305"/>
    <cellStyle name="Normal 6 6 3 2 3 2 2 2" xfId="9752"/>
    <cellStyle name="Normal 6 6 3 2 3 2 3" xfId="3295"/>
    <cellStyle name="Normal 6 6 3 2 3 2 4" xfId="7230"/>
    <cellStyle name="Normal 6 6 3 2 3 2 5" xfId="8744"/>
    <cellStyle name="Normal 6 6 3 2 3 2 6" xfId="12364"/>
    <cellStyle name="Normal 6 6 3 2 3 2 7" xfId="14110"/>
    <cellStyle name="Normal 6 6 3 2 3 3" xfId="1998"/>
    <cellStyle name="Normal 6 6 3 2 3 3 2" xfId="3811"/>
    <cellStyle name="Normal 6 6 3 2 3 3 3" xfId="7738"/>
    <cellStyle name="Normal 6 6 3 2 3 3 4" xfId="9256"/>
    <cellStyle name="Normal 6 6 3 2 3 3 5" xfId="12870"/>
    <cellStyle name="Normal 6 6 3 2 3 3 6" xfId="14616"/>
    <cellStyle name="Normal 6 6 3 2 3 4" xfId="4783"/>
    <cellStyle name="Normal 6 6 3 2 3 4 2" xfId="10254"/>
    <cellStyle name="Normal 6 6 3 2 3 5" xfId="5281"/>
    <cellStyle name="Normal 6 6 3 2 3 5 2" xfId="10756"/>
    <cellStyle name="Normal 6 6 3 2 3 6" xfId="5783"/>
    <cellStyle name="Normal 6 6 3 2 3 6 2" xfId="11258"/>
    <cellStyle name="Normal 6 6 3 2 3 7" xfId="2801"/>
    <cellStyle name="Normal 6 6 3 2 3 8" xfId="6724"/>
    <cellStyle name="Normal 6 6 3 2 3 9" xfId="8248"/>
    <cellStyle name="Normal 6 6 3 2 4" xfId="1242"/>
    <cellStyle name="Normal 6 6 3 2 4 2" xfId="4057"/>
    <cellStyle name="Normal 6 6 3 2 4 2 2" xfId="9504"/>
    <cellStyle name="Normal 6 6 3 2 4 3" xfId="3047"/>
    <cellStyle name="Normal 6 6 3 2 4 4" xfId="6982"/>
    <cellStyle name="Normal 6 6 3 2 4 5" xfId="8496"/>
    <cellStyle name="Normal 6 6 3 2 4 6" xfId="12116"/>
    <cellStyle name="Normal 6 6 3 2 4 7" xfId="13862"/>
    <cellStyle name="Normal 6 6 3 2 5" xfId="1750"/>
    <cellStyle name="Normal 6 6 3 2 5 2" xfId="3563"/>
    <cellStyle name="Normal 6 6 3 2 5 3" xfId="7490"/>
    <cellStyle name="Normal 6 6 3 2 5 4" xfId="9008"/>
    <cellStyle name="Normal 6 6 3 2 5 5" xfId="12622"/>
    <cellStyle name="Normal 6 6 3 2 5 6" xfId="14368"/>
    <cellStyle name="Normal 6 6 3 2 6" xfId="4551"/>
    <cellStyle name="Normal 6 6 3 2 6 2" xfId="10006"/>
    <cellStyle name="Normal 6 6 3 2 7" xfId="5033"/>
    <cellStyle name="Normal 6 6 3 2 7 2" xfId="10508"/>
    <cellStyle name="Normal 6 6 3 2 8" xfId="5535"/>
    <cellStyle name="Normal 6 6 3 2 8 2" xfId="11010"/>
    <cellStyle name="Normal 6 6 3 2 9" xfId="2567"/>
    <cellStyle name="Normal 6 6 3 3" xfId="803"/>
    <cellStyle name="Normal 6 6 3 3 10" xfId="8067"/>
    <cellStyle name="Normal 6 6 3 3 11" xfId="11677"/>
    <cellStyle name="Normal 6 6 3 3 12" xfId="13423"/>
    <cellStyle name="Normal 6 6 3 3 2" xfId="1051"/>
    <cellStyle name="Normal 6 6 3 3 2 10" xfId="11925"/>
    <cellStyle name="Normal 6 6 3 3 2 11" xfId="13671"/>
    <cellStyle name="Normal 6 6 3 3 2 2" xfId="1557"/>
    <cellStyle name="Normal 6 6 3 3 2 2 2" xfId="4372"/>
    <cellStyle name="Normal 6 6 3 3 2 2 2 2" xfId="9819"/>
    <cellStyle name="Normal 6 6 3 3 2 2 3" xfId="3362"/>
    <cellStyle name="Normal 6 6 3 3 2 2 4" xfId="7297"/>
    <cellStyle name="Normal 6 6 3 3 2 2 5" xfId="8811"/>
    <cellStyle name="Normal 6 6 3 3 2 2 6" xfId="12431"/>
    <cellStyle name="Normal 6 6 3 3 2 2 7" xfId="14177"/>
    <cellStyle name="Normal 6 6 3 3 2 3" xfId="2065"/>
    <cellStyle name="Normal 6 6 3 3 2 3 2" xfId="3878"/>
    <cellStyle name="Normal 6 6 3 3 2 3 3" xfId="7805"/>
    <cellStyle name="Normal 6 6 3 3 2 3 4" xfId="9323"/>
    <cellStyle name="Normal 6 6 3 3 2 3 5" xfId="12937"/>
    <cellStyle name="Normal 6 6 3 3 2 3 6" xfId="14683"/>
    <cellStyle name="Normal 6 6 3 3 2 4" xfId="4850"/>
    <cellStyle name="Normal 6 6 3 3 2 4 2" xfId="10321"/>
    <cellStyle name="Normal 6 6 3 3 2 5" xfId="5348"/>
    <cellStyle name="Normal 6 6 3 3 2 5 2" xfId="10823"/>
    <cellStyle name="Normal 6 6 3 3 2 6" xfId="5850"/>
    <cellStyle name="Normal 6 6 3 3 2 6 2" xfId="11325"/>
    <cellStyle name="Normal 6 6 3 3 2 7" xfId="2868"/>
    <cellStyle name="Normal 6 6 3 3 2 8" xfId="6791"/>
    <cellStyle name="Normal 6 6 3 3 2 9" xfId="8315"/>
    <cellStyle name="Normal 6 6 3 3 3" xfId="1309"/>
    <cellStyle name="Normal 6 6 3 3 3 2" xfId="4124"/>
    <cellStyle name="Normal 6 6 3 3 3 2 2" xfId="9571"/>
    <cellStyle name="Normal 6 6 3 3 3 3" xfId="3114"/>
    <cellStyle name="Normal 6 6 3 3 3 4" xfId="7049"/>
    <cellStyle name="Normal 6 6 3 3 3 5" xfId="8563"/>
    <cellStyle name="Normal 6 6 3 3 3 6" xfId="12183"/>
    <cellStyle name="Normal 6 6 3 3 3 7" xfId="13929"/>
    <cellStyle name="Normal 6 6 3 3 4" xfId="1817"/>
    <cellStyle name="Normal 6 6 3 3 4 2" xfId="3630"/>
    <cellStyle name="Normal 6 6 3 3 4 3" xfId="7557"/>
    <cellStyle name="Normal 6 6 3 3 4 4" xfId="9075"/>
    <cellStyle name="Normal 6 6 3 3 4 5" xfId="12689"/>
    <cellStyle name="Normal 6 6 3 3 4 6" xfId="14435"/>
    <cellStyle name="Normal 6 6 3 3 5" xfId="4612"/>
    <cellStyle name="Normal 6 6 3 3 5 2" xfId="10073"/>
    <cellStyle name="Normal 6 6 3 3 6" xfId="5100"/>
    <cellStyle name="Normal 6 6 3 3 6 2" xfId="10575"/>
    <cellStyle name="Normal 6 6 3 3 7" xfId="5602"/>
    <cellStyle name="Normal 6 6 3 3 7 2" xfId="11077"/>
    <cellStyle name="Normal 6 6 3 3 8" xfId="2628"/>
    <cellStyle name="Normal 6 6 3 3 9" xfId="6543"/>
    <cellStyle name="Normal 6 6 3 4" xfId="927"/>
    <cellStyle name="Normal 6 6 3 4 10" xfId="11801"/>
    <cellStyle name="Normal 6 6 3 4 11" xfId="13547"/>
    <cellStyle name="Normal 6 6 3 4 2" xfId="1433"/>
    <cellStyle name="Normal 6 6 3 4 2 2" xfId="4248"/>
    <cellStyle name="Normal 6 6 3 4 2 2 2" xfId="9695"/>
    <cellStyle name="Normal 6 6 3 4 2 3" xfId="3238"/>
    <cellStyle name="Normal 6 6 3 4 2 4" xfId="7173"/>
    <cellStyle name="Normal 6 6 3 4 2 5" xfId="8687"/>
    <cellStyle name="Normal 6 6 3 4 2 6" xfId="12307"/>
    <cellStyle name="Normal 6 6 3 4 2 7" xfId="14053"/>
    <cellStyle name="Normal 6 6 3 4 3" xfId="1941"/>
    <cellStyle name="Normal 6 6 3 4 3 2" xfId="3754"/>
    <cellStyle name="Normal 6 6 3 4 3 3" xfId="7681"/>
    <cellStyle name="Normal 6 6 3 4 3 4" xfId="9199"/>
    <cellStyle name="Normal 6 6 3 4 3 5" xfId="12813"/>
    <cellStyle name="Normal 6 6 3 4 3 6" xfId="14559"/>
    <cellStyle name="Normal 6 6 3 4 4" xfId="4728"/>
    <cellStyle name="Normal 6 6 3 4 4 2" xfId="10197"/>
    <cellStyle name="Normal 6 6 3 4 5" xfId="5224"/>
    <cellStyle name="Normal 6 6 3 4 5 2" xfId="10699"/>
    <cellStyle name="Normal 6 6 3 4 6" xfId="5726"/>
    <cellStyle name="Normal 6 6 3 4 6 2" xfId="11201"/>
    <cellStyle name="Normal 6 6 3 4 7" xfId="2746"/>
    <cellStyle name="Normal 6 6 3 4 8" xfId="6667"/>
    <cellStyle name="Normal 6 6 3 4 9" xfId="8191"/>
    <cellStyle name="Normal 6 6 3 5" xfId="1185"/>
    <cellStyle name="Normal 6 6 3 5 2" xfId="4002"/>
    <cellStyle name="Normal 6 6 3 5 2 2" xfId="9447"/>
    <cellStyle name="Normal 6 6 3 5 3" xfId="2992"/>
    <cellStyle name="Normal 6 6 3 5 4" xfId="6925"/>
    <cellStyle name="Normal 6 6 3 5 5" xfId="8439"/>
    <cellStyle name="Normal 6 6 3 5 6" xfId="12059"/>
    <cellStyle name="Normal 6 6 3 5 7" xfId="13805"/>
    <cellStyle name="Normal 6 6 3 6" xfId="1693"/>
    <cellStyle name="Normal 6 6 3 6 2" xfId="3506"/>
    <cellStyle name="Normal 6 6 3 6 3" xfId="7433"/>
    <cellStyle name="Normal 6 6 3 6 4" xfId="8951"/>
    <cellStyle name="Normal 6 6 3 6 5" xfId="12565"/>
    <cellStyle name="Normal 6 6 3 6 6" xfId="14311"/>
    <cellStyle name="Normal 6 6 3 7" xfId="4500"/>
    <cellStyle name="Normal 6 6 3 7 2" xfId="9949"/>
    <cellStyle name="Normal 6 6 3 8" xfId="4976"/>
    <cellStyle name="Normal 6 6 3 8 2" xfId="10451"/>
    <cellStyle name="Normal 6 6 3 9" xfId="5478"/>
    <cellStyle name="Normal 6 6 3 9 2" xfId="10953"/>
    <cellStyle name="Normal 6 6 4" xfId="734"/>
    <cellStyle name="Normal 6 6 4 10" xfId="6474"/>
    <cellStyle name="Normal 6 6 4 11" xfId="7998"/>
    <cellStyle name="Normal 6 6 4 12" xfId="11608"/>
    <cellStyle name="Normal 6 6 4 13" xfId="13354"/>
    <cellStyle name="Normal 6 6 4 2" xfId="858"/>
    <cellStyle name="Normal 6 6 4 2 10" xfId="8122"/>
    <cellStyle name="Normal 6 6 4 2 11" xfId="11732"/>
    <cellStyle name="Normal 6 6 4 2 12" xfId="13478"/>
    <cellStyle name="Normal 6 6 4 2 2" xfId="1106"/>
    <cellStyle name="Normal 6 6 4 2 2 10" xfId="11980"/>
    <cellStyle name="Normal 6 6 4 2 2 11" xfId="13726"/>
    <cellStyle name="Normal 6 6 4 2 2 2" xfId="1612"/>
    <cellStyle name="Normal 6 6 4 2 2 2 2" xfId="4427"/>
    <cellStyle name="Normal 6 6 4 2 2 2 2 2" xfId="9874"/>
    <cellStyle name="Normal 6 6 4 2 2 2 3" xfId="3417"/>
    <cellStyle name="Normal 6 6 4 2 2 2 4" xfId="7352"/>
    <cellStyle name="Normal 6 6 4 2 2 2 5" xfId="8866"/>
    <cellStyle name="Normal 6 6 4 2 2 2 6" xfId="12486"/>
    <cellStyle name="Normal 6 6 4 2 2 2 7" xfId="14232"/>
    <cellStyle name="Normal 6 6 4 2 2 3" xfId="2120"/>
    <cellStyle name="Normal 6 6 4 2 2 3 2" xfId="3933"/>
    <cellStyle name="Normal 6 6 4 2 2 3 3" xfId="7860"/>
    <cellStyle name="Normal 6 6 4 2 2 3 4" xfId="9378"/>
    <cellStyle name="Normal 6 6 4 2 2 3 5" xfId="12992"/>
    <cellStyle name="Normal 6 6 4 2 2 3 6" xfId="14738"/>
    <cellStyle name="Normal 6 6 4 2 2 4" xfId="4905"/>
    <cellStyle name="Normal 6 6 4 2 2 4 2" xfId="10376"/>
    <cellStyle name="Normal 6 6 4 2 2 5" xfId="5403"/>
    <cellStyle name="Normal 6 6 4 2 2 5 2" xfId="10878"/>
    <cellStyle name="Normal 6 6 4 2 2 6" xfId="5905"/>
    <cellStyle name="Normal 6 6 4 2 2 6 2" xfId="11380"/>
    <cellStyle name="Normal 6 6 4 2 2 7" xfId="2923"/>
    <cellStyle name="Normal 6 6 4 2 2 8" xfId="6846"/>
    <cellStyle name="Normal 6 6 4 2 2 9" xfId="8370"/>
    <cellStyle name="Normal 6 6 4 2 3" xfId="1364"/>
    <cellStyle name="Normal 6 6 4 2 3 2" xfId="4179"/>
    <cellStyle name="Normal 6 6 4 2 3 2 2" xfId="9626"/>
    <cellStyle name="Normal 6 6 4 2 3 3" xfId="3169"/>
    <cellStyle name="Normal 6 6 4 2 3 4" xfId="7104"/>
    <cellStyle name="Normal 6 6 4 2 3 5" xfId="8618"/>
    <cellStyle name="Normal 6 6 4 2 3 6" xfId="12238"/>
    <cellStyle name="Normal 6 6 4 2 3 7" xfId="13984"/>
    <cellStyle name="Normal 6 6 4 2 4" xfId="1872"/>
    <cellStyle name="Normal 6 6 4 2 4 2" xfId="3685"/>
    <cellStyle name="Normal 6 6 4 2 4 3" xfId="7612"/>
    <cellStyle name="Normal 6 6 4 2 4 4" xfId="9130"/>
    <cellStyle name="Normal 6 6 4 2 4 5" xfId="12744"/>
    <cellStyle name="Normal 6 6 4 2 4 6" xfId="14490"/>
    <cellStyle name="Normal 6 6 4 2 5" xfId="4665"/>
    <cellStyle name="Normal 6 6 4 2 5 2" xfId="10128"/>
    <cellStyle name="Normal 6 6 4 2 6" xfId="5155"/>
    <cellStyle name="Normal 6 6 4 2 6 2" xfId="10630"/>
    <cellStyle name="Normal 6 6 4 2 7" xfId="5657"/>
    <cellStyle name="Normal 6 6 4 2 7 2" xfId="11132"/>
    <cellStyle name="Normal 6 6 4 2 8" xfId="2681"/>
    <cellStyle name="Normal 6 6 4 2 9" xfId="6598"/>
    <cellStyle name="Normal 6 6 4 3" xfId="982"/>
    <cellStyle name="Normal 6 6 4 3 10" xfId="11856"/>
    <cellStyle name="Normal 6 6 4 3 11" xfId="13602"/>
    <cellStyle name="Normal 6 6 4 3 2" xfId="1488"/>
    <cellStyle name="Normal 6 6 4 3 2 2" xfId="4303"/>
    <cellStyle name="Normal 6 6 4 3 2 2 2" xfId="9750"/>
    <cellStyle name="Normal 6 6 4 3 2 3" xfId="3293"/>
    <cellStyle name="Normal 6 6 4 3 2 4" xfId="7228"/>
    <cellStyle name="Normal 6 6 4 3 2 5" xfId="8742"/>
    <cellStyle name="Normal 6 6 4 3 2 6" xfId="12362"/>
    <cellStyle name="Normal 6 6 4 3 2 7" xfId="14108"/>
    <cellStyle name="Normal 6 6 4 3 3" xfId="1996"/>
    <cellStyle name="Normal 6 6 4 3 3 2" xfId="3809"/>
    <cellStyle name="Normal 6 6 4 3 3 3" xfId="7736"/>
    <cellStyle name="Normal 6 6 4 3 3 4" xfId="9254"/>
    <cellStyle name="Normal 6 6 4 3 3 5" xfId="12868"/>
    <cellStyle name="Normal 6 6 4 3 3 6" xfId="14614"/>
    <cellStyle name="Normal 6 6 4 3 4" xfId="4781"/>
    <cellStyle name="Normal 6 6 4 3 4 2" xfId="10252"/>
    <cellStyle name="Normal 6 6 4 3 5" xfId="5279"/>
    <cellStyle name="Normal 6 6 4 3 5 2" xfId="10754"/>
    <cellStyle name="Normal 6 6 4 3 6" xfId="5781"/>
    <cellStyle name="Normal 6 6 4 3 6 2" xfId="11256"/>
    <cellStyle name="Normal 6 6 4 3 7" xfId="2799"/>
    <cellStyle name="Normal 6 6 4 3 8" xfId="6722"/>
    <cellStyle name="Normal 6 6 4 3 9" xfId="8246"/>
    <cellStyle name="Normal 6 6 4 4" xfId="1240"/>
    <cellStyle name="Normal 6 6 4 4 2" xfId="4055"/>
    <cellStyle name="Normal 6 6 4 4 2 2" xfId="9502"/>
    <cellStyle name="Normal 6 6 4 4 3" xfId="3045"/>
    <cellStyle name="Normal 6 6 4 4 4" xfId="6980"/>
    <cellStyle name="Normal 6 6 4 4 5" xfId="8494"/>
    <cellStyle name="Normal 6 6 4 4 6" xfId="12114"/>
    <cellStyle name="Normal 6 6 4 4 7" xfId="13860"/>
    <cellStyle name="Normal 6 6 4 5" xfId="1748"/>
    <cellStyle name="Normal 6 6 4 5 2" xfId="3561"/>
    <cellStyle name="Normal 6 6 4 5 3" xfId="7488"/>
    <cellStyle name="Normal 6 6 4 5 4" xfId="9006"/>
    <cellStyle name="Normal 6 6 4 5 5" xfId="12620"/>
    <cellStyle name="Normal 6 6 4 5 6" xfId="14366"/>
    <cellStyle name="Normal 6 6 4 6" xfId="4549"/>
    <cellStyle name="Normal 6 6 4 6 2" xfId="10004"/>
    <cellStyle name="Normal 6 6 4 7" xfId="5031"/>
    <cellStyle name="Normal 6 6 4 7 2" xfId="10506"/>
    <cellStyle name="Normal 6 6 4 8" xfId="5533"/>
    <cellStyle name="Normal 6 6 4 8 2" xfId="11008"/>
    <cellStyle name="Normal 6 6 4 9" xfId="2565"/>
    <cellStyle name="Normal 6 6 5" xfId="761"/>
    <cellStyle name="Normal 6 6 5 10" xfId="8025"/>
    <cellStyle name="Normal 6 6 5 11" xfId="11635"/>
    <cellStyle name="Normal 6 6 5 12" xfId="13381"/>
    <cellStyle name="Normal 6 6 5 2" xfId="1009"/>
    <cellStyle name="Normal 6 6 5 2 10" xfId="11883"/>
    <cellStyle name="Normal 6 6 5 2 11" xfId="13629"/>
    <cellStyle name="Normal 6 6 5 2 2" xfId="1515"/>
    <cellStyle name="Normal 6 6 5 2 2 2" xfId="4330"/>
    <cellStyle name="Normal 6 6 5 2 2 2 2" xfId="9777"/>
    <cellStyle name="Normal 6 6 5 2 2 3" xfId="3320"/>
    <cellStyle name="Normal 6 6 5 2 2 4" xfId="7255"/>
    <cellStyle name="Normal 6 6 5 2 2 5" xfId="8769"/>
    <cellStyle name="Normal 6 6 5 2 2 6" xfId="12389"/>
    <cellStyle name="Normal 6 6 5 2 2 7" xfId="14135"/>
    <cellStyle name="Normal 6 6 5 2 3" xfId="2023"/>
    <cellStyle name="Normal 6 6 5 2 3 2" xfId="3836"/>
    <cellStyle name="Normal 6 6 5 2 3 3" xfId="7763"/>
    <cellStyle name="Normal 6 6 5 2 3 4" xfId="9281"/>
    <cellStyle name="Normal 6 6 5 2 3 5" xfId="12895"/>
    <cellStyle name="Normal 6 6 5 2 3 6" xfId="14641"/>
    <cellStyle name="Normal 6 6 5 2 4" xfId="4808"/>
    <cellStyle name="Normal 6 6 5 2 4 2" xfId="10279"/>
    <cellStyle name="Normal 6 6 5 2 5" xfId="5306"/>
    <cellStyle name="Normal 6 6 5 2 5 2" xfId="10781"/>
    <cellStyle name="Normal 6 6 5 2 6" xfId="5808"/>
    <cellStyle name="Normal 6 6 5 2 6 2" xfId="11283"/>
    <cellStyle name="Normal 6 6 5 2 7" xfId="2826"/>
    <cellStyle name="Normal 6 6 5 2 8" xfId="6749"/>
    <cellStyle name="Normal 6 6 5 2 9" xfId="8273"/>
    <cellStyle name="Normal 6 6 5 3" xfId="1267"/>
    <cellStyle name="Normal 6 6 5 3 2" xfId="4082"/>
    <cellStyle name="Normal 6 6 5 3 2 2" xfId="9529"/>
    <cellStyle name="Normal 6 6 5 3 3" xfId="3072"/>
    <cellStyle name="Normal 6 6 5 3 4" xfId="7007"/>
    <cellStyle name="Normal 6 6 5 3 5" xfId="8521"/>
    <cellStyle name="Normal 6 6 5 3 6" xfId="12141"/>
    <cellStyle name="Normal 6 6 5 3 7" xfId="13887"/>
    <cellStyle name="Normal 6 6 5 4" xfId="1775"/>
    <cellStyle name="Normal 6 6 5 4 2" xfId="3588"/>
    <cellStyle name="Normal 6 6 5 4 3" xfId="7515"/>
    <cellStyle name="Normal 6 6 5 4 4" xfId="9033"/>
    <cellStyle name="Normal 6 6 5 4 5" xfId="12647"/>
    <cellStyle name="Normal 6 6 5 4 6" xfId="14393"/>
    <cellStyle name="Normal 6 6 5 5" xfId="4574"/>
    <cellStyle name="Normal 6 6 5 5 2" xfId="10031"/>
    <cellStyle name="Normal 6 6 5 6" xfId="5058"/>
    <cellStyle name="Normal 6 6 5 6 2" xfId="10533"/>
    <cellStyle name="Normal 6 6 5 7" xfId="5560"/>
    <cellStyle name="Normal 6 6 5 7 2" xfId="11035"/>
    <cellStyle name="Normal 6 6 5 8" xfId="2590"/>
    <cellStyle name="Normal 6 6 5 9" xfId="6501"/>
    <cellStyle name="Normal 6 6 6" xfId="885"/>
    <cellStyle name="Normal 6 6 6 10" xfId="11759"/>
    <cellStyle name="Normal 6 6 6 11" xfId="13505"/>
    <cellStyle name="Normal 6 6 6 2" xfId="1391"/>
    <cellStyle name="Normal 6 6 6 2 2" xfId="4206"/>
    <cellStyle name="Normal 6 6 6 2 2 2" xfId="9653"/>
    <cellStyle name="Normal 6 6 6 2 3" xfId="3196"/>
    <cellStyle name="Normal 6 6 6 2 4" xfId="7131"/>
    <cellStyle name="Normal 6 6 6 2 5" xfId="8645"/>
    <cellStyle name="Normal 6 6 6 2 6" xfId="12265"/>
    <cellStyle name="Normal 6 6 6 2 7" xfId="14011"/>
    <cellStyle name="Normal 6 6 6 3" xfId="1899"/>
    <cellStyle name="Normal 6 6 6 3 2" xfId="3712"/>
    <cellStyle name="Normal 6 6 6 3 3" xfId="7639"/>
    <cellStyle name="Normal 6 6 6 3 4" xfId="9157"/>
    <cellStyle name="Normal 6 6 6 3 5" xfId="12771"/>
    <cellStyle name="Normal 6 6 6 3 6" xfId="14517"/>
    <cellStyle name="Normal 6 6 6 4" xfId="4690"/>
    <cellStyle name="Normal 6 6 6 4 2" xfId="10155"/>
    <cellStyle name="Normal 6 6 6 5" xfId="5182"/>
    <cellStyle name="Normal 6 6 6 5 2" xfId="10657"/>
    <cellStyle name="Normal 6 6 6 6" xfId="5684"/>
    <cellStyle name="Normal 6 6 6 6 2" xfId="11159"/>
    <cellStyle name="Normal 6 6 6 7" xfId="2708"/>
    <cellStyle name="Normal 6 6 6 8" xfId="6625"/>
    <cellStyle name="Normal 6 6 6 9" xfId="8149"/>
    <cellStyle name="Normal 6 6 7" xfId="1143"/>
    <cellStyle name="Normal 6 6 7 2" xfId="3960"/>
    <cellStyle name="Normal 6 6 7 2 2" xfId="9405"/>
    <cellStyle name="Normal 6 6 7 3" xfId="2950"/>
    <cellStyle name="Normal 6 6 7 4" xfId="6883"/>
    <cellStyle name="Normal 6 6 7 5" xfId="8397"/>
    <cellStyle name="Normal 6 6 7 6" xfId="12017"/>
    <cellStyle name="Normal 6 6 7 7" xfId="13763"/>
    <cellStyle name="Normal 6 6 8" xfId="1651"/>
    <cellStyle name="Normal 6 6 8 2" xfId="3464"/>
    <cellStyle name="Normal 6 6 8 3" xfId="7391"/>
    <cellStyle name="Normal 6 6 8 4" xfId="8909"/>
    <cellStyle name="Normal 6 6 8 5" xfId="12523"/>
    <cellStyle name="Normal 6 6 8 6" xfId="14269"/>
    <cellStyle name="Normal 6 6 9" xfId="4460"/>
    <cellStyle name="Normal 6 6 9 2" xfId="9907"/>
    <cellStyle name="Normal 6 7" xfId="631"/>
    <cellStyle name="Normal 6 7 10" xfId="4938"/>
    <cellStyle name="Normal 6 7 10 2" xfId="10411"/>
    <cellStyle name="Normal 6 7 11" xfId="5438"/>
    <cellStyle name="Normal 6 7 11 2" xfId="10913"/>
    <cellStyle name="Normal 6 7 12" xfId="2480"/>
    <cellStyle name="Normal 6 7 13" xfId="6376"/>
    <cellStyle name="Normal 6 7 14" xfId="7903"/>
    <cellStyle name="Normal 6 7 15" xfId="11513"/>
    <cellStyle name="Normal 6 7 16" xfId="13259"/>
    <cellStyle name="Normal 6 7 2" xfId="661"/>
    <cellStyle name="Normal 6 7 2 10" xfId="2500"/>
    <cellStyle name="Normal 6 7 2 11" xfId="6401"/>
    <cellStyle name="Normal 6 7 2 12" xfId="7925"/>
    <cellStyle name="Normal 6 7 2 13" xfId="11535"/>
    <cellStyle name="Normal 6 7 2 14" xfId="13281"/>
    <cellStyle name="Normal 6 7 2 2" xfId="738"/>
    <cellStyle name="Normal 6 7 2 2 10" xfId="6478"/>
    <cellStyle name="Normal 6 7 2 2 11" xfId="8002"/>
    <cellStyle name="Normal 6 7 2 2 12" xfId="11612"/>
    <cellStyle name="Normal 6 7 2 2 13" xfId="13358"/>
    <cellStyle name="Normal 6 7 2 2 2" xfId="862"/>
    <cellStyle name="Normal 6 7 2 2 2 10" xfId="8126"/>
    <cellStyle name="Normal 6 7 2 2 2 11" xfId="11736"/>
    <cellStyle name="Normal 6 7 2 2 2 12" xfId="13482"/>
    <cellStyle name="Normal 6 7 2 2 2 2" xfId="1110"/>
    <cellStyle name="Normal 6 7 2 2 2 2 10" xfId="11984"/>
    <cellStyle name="Normal 6 7 2 2 2 2 11" xfId="13730"/>
    <cellStyle name="Normal 6 7 2 2 2 2 2" xfId="1616"/>
    <cellStyle name="Normal 6 7 2 2 2 2 2 2" xfId="4431"/>
    <cellStyle name="Normal 6 7 2 2 2 2 2 2 2" xfId="9878"/>
    <cellStyle name="Normal 6 7 2 2 2 2 2 3" xfId="3421"/>
    <cellStyle name="Normal 6 7 2 2 2 2 2 4" xfId="7356"/>
    <cellStyle name="Normal 6 7 2 2 2 2 2 5" xfId="8870"/>
    <cellStyle name="Normal 6 7 2 2 2 2 2 6" xfId="12490"/>
    <cellStyle name="Normal 6 7 2 2 2 2 2 7" xfId="14236"/>
    <cellStyle name="Normal 6 7 2 2 2 2 3" xfId="2124"/>
    <cellStyle name="Normal 6 7 2 2 2 2 3 2" xfId="3937"/>
    <cellStyle name="Normal 6 7 2 2 2 2 3 3" xfId="7864"/>
    <cellStyle name="Normal 6 7 2 2 2 2 3 4" xfId="9382"/>
    <cellStyle name="Normal 6 7 2 2 2 2 3 5" xfId="12996"/>
    <cellStyle name="Normal 6 7 2 2 2 2 3 6" xfId="14742"/>
    <cellStyle name="Normal 6 7 2 2 2 2 4" xfId="4909"/>
    <cellStyle name="Normal 6 7 2 2 2 2 4 2" xfId="10380"/>
    <cellStyle name="Normal 6 7 2 2 2 2 5" xfId="5407"/>
    <cellStyle name="Normal 6 7 2 2 2 2 5 2" xfId="10882"/>
    <cellStyle name="Normal 6 7 2 2 2 2 6" xfId="5909"/>
    <cellStyle name="Normal 6 7 2 2 2 2 6 2" xfId="11384"/>
    <cellStyle name="Normal 6 7 2 2 2 2 7" xfId="2927"/>
    <cellStyle name="Normal 6 7 2 2 2 2 8" xfId="6850"/>
    <cellStyle name="Normal 6 7 2 2 2 2 9" xfId="8374"/>
    <cellStyle name="Normal 6 7 2 2 2 3" xfId="1368"/>
    <cellStyle name="Normal 6 7 2 2 2 3 2" xfId="4183"/>
    <cellStyle name="Normal 6 7 2 2 2 3 2 2" xfId="9630"/>
    <cellStyle name="Normal 6 7 2 2 2 3 3" xfId="3173"/>
    <cellStyle name="Normal 6 7 2 2 2 3 4" xfId="7108"/>
    <cellStyle name="Normal 6 7 2 2 2 3 5" xfId="8622"/>
    <cellStyle name="Normal 6 7 2 2 2 3 6" xfId="12242"/>
    <cellStyle name="Normal 6 7 2 2 2 3 7" xfId="13988"/>
    <cellStyle name="Normal 6 7 2 2 2 4" xfId="1876"/>
    <cellStyle name="Normal 6 7 2 2 2 4 2" xfId="3689"/>
    <cellStyle name="Normal 6 7 2 2 2 4 3" xfId="7616"/>
    <cellStyle name="Normal 6 7 2 2 2 4 4" xfId="9134"/>
    <cellStyle name="Normal 6 7 2 2 2 4 5" xfId="12748"/>
    <cellStyle name="Normal 6 7 2 2 2 4 6" xfId="14494"/>
    <cellStyle name="Normal 6 7 2 2 2 5" xfId="4669"/>
    <cellStyle name="Normal 6 7 2 2 2 5 2" xfId="10132"/>
    <cellStyle name="Normal 6 7 2 2 2 6" xfId="5159"/>
    <cellStyle name="Normal 6 7 2 2 2 6 2" xfId="10634"/>
    <cellStyle name="Normal 6 7 2 2 2 7" xfId="5661"/>
    <cellStyle name="Normal 6 7 2 2 2 7 2" xfId="11136"/>
    <cellStyle name="Normal 6 7 2 2 2 8" xfId="2685"/>
    <cellStyle name="Normal 6 7 2 2 2 9" xfId="6602"/>
    <cellStyle name="Normal 6 7 2 2 3" xfId="986"/>
    <cellStyle name="Normal 6 7 2 2 3 10" xfId="11860"/>
    <cellStyle name="Normal 6 7 2 2 3 11" xfId="13606"/>
    <cellStyle name="Normal 6 7 2 2 3 2" xfId="1492"/>
    <cellStyle name="Normal 6 7 2 2 3 2 2" xfId="4307"/>
    <cellStyle name="Normal 6 7 2 2 3 2 2 2" xfId="9754"/>
    <cellStyle name="Normal 6 7 2 2 3 2 3" xfId="3297"/>
    <cellStyle name="Normal 6 7 2 2 3 2 4" xfId="7232"/>
    <cellStyle name="Normal 6 7 2 2 3 2 5" xfId="8746"/>
    <cellStyle name="Normal 6 7 2 2 3 2 6" xfId="12366"/>
    <cellStyle name="Normal 6 7 2 2 3 2 7" xfId="14112"/>
    <cellStyle name="Normal 6 7 2 2 3 3" xfId="2000"/>
    <cellStyle name="Normal 6 7 2 2 3 3 2" xfId="3813"/>
    <cellStyle name="Normal 6 7 2 2 3 3 3" xfId="7740"/>
    <cellStyle name="Normal 6 7 2 2 3 3 4" xfId="9258"/>
    <cellStyle name="Normal 6 7 2 2 3 3 5" xfId="12872"/>
    <cellStyle name="Normal 6 7 2 2 3 3 6" xfId="14618"/>
    <cellStyle name="Normal 6 7 2 2 3 4" xfId="4785"/>
    <cellStyle name="Normal 6 7 2 2 3 4 2" xfId="10256"/>
    <cellStyle name="Normal 6 7 2 2 3 5" xfId="5283"/>
    <cellStyle name="Normal 6 7 2 2 3 5 2" xfId="10758"/>
    <cellStyle name="Normal 6 7 2 2 3 6" xfId="5785"/>
    <cellStyle name="Normal 6 7 2 2 3 6 2" xfId="11260"/>
    <cellStyle name="Normal 6 7 2 2 3 7" xfId="2803"/>
    <cellStyle name="Normal 6 7 2 2 3 8" xfId="6726"/>
    <cellStyle name="Normal 6 7 2 2 3 9" xfId="8250"/>
    <cellStyle name="Normal 6 7 2 2 4" xfId="1244"/>
    <cellStyle name="Normal 6 7 2 2 4 2" xfId="4059"/>
    <cellStyle name="Normal 6 7 2 2 4 2 2" xfId="9506"/>
    <cellStyle name="Normal 6 7 2 2 4 3" xfId="3049"/>
    <cellStyle name="Normal 6 7 2 2 4 4" xfId="6984"/>
    <cellStyle name="Normal 6 7 2 2 4 5" xfId="8498"/>
    <cellStyle name="Normal 6 7 2 2 4 6" xfId="12118"/>
    <cellStyle name="Normal 6 7 2 2 4 7" xfId="13864"/>
    <cellStyle name="Normal 6 7 2 2 5" xfId="1752"/>
    <cellStyle name="Normal 6 7 2 2 5 2" xfId="3565"/>
    <cellStyle name="Normal 6 7 2 2 5 3" xfId="7492"/>
    <cellStyle name="Normal 6 7 2 2 5 4" xfId="9010"/>
    <cellStyle name="Normal 6 7 2 2 5 5" xfId="12624"/>
    <cellStyle name="Normal 6 7 2 2 5 6" xfId="14370"/>
    <cellStyle name="Normal 6 7 2 2 6" xfId="4553"/>
    <cellStyle name="Normal 6 7 2 2 6 2" xfId="10008"/>
    <cellStyle name="Normal 6 7 2 2 7" xfId="5035"/>
    <cellStyle name="Normal 6 7 2 2 7 2" xfId="10510"/>
    <cellStyle name="Normal 6 7 2 2 8" xfId="5537"/>
    <cellStyle name="Normal 6 7 2 2 8 2" xfId="11012"/>
    <cellStyle name="Normal 6 7 2 2 9" xfId="2569"/>
    <cellStyle name="Normal 6 7 2 3" xfId="785"/>
    <cellStyle name="Normal 6 7 2 3 10" xfId="8049"/>
    <cellStyle name="Normal 6 7 2 3 11" xfId="11659"/>
    <cellStyle name="Normal 6 7 2 3 12" xfId="13405"/>
    <cellStyle name="Normal 6 7 2 3 2" xfId="1033"/>
    <cellStyle name="Normal 6 7 2 3 2 10" xfId="11907"/>
    <cellStyle name="Normal 6 7 2 3 2 11" xfId="13653"/>
    <cellStyle name="Normal 6 7 2 3 2 2" xfId="1539"/>
    <cellStyle name="Normal 6 7 2 3 2 2 2" xfId="4354"/>
    <cellStyle name="Normal 6 7 2 3 2 2 2 2" xfId="9801"/>
    <cellStyle name="Normal 6 7 2 3 2 2 3" xfId="3344"/>
    <cellStyle name="Normal 6 7 2 3 2 2 4" xfId="7279"/>
    <cellStyle name="Normal 6 7 2 3 2 2 5" xfId="8793"/>
    <cellStyle name="Normal 6 7 2 3 2 2 6" xfId="12413"/>
    <cellStyle name="Normal 6 7 2 3 2 2 7" xfId="14159"/>
    <cellStyle name="Normal 6 7 2 3 2 3" xfId="2047"/>
    <cellStyle name="Normal 6 7 2 3 2 3 2" xfId="3860"/>
    <cellStyle name="Normal 6 7 2 3 2 3 3" xfId="7787"/>
    <cellStyle name="Normal 6 7 2 3 2 3 4" xfId="9305"/>
    <cellStyle name="Normal 6 7 2 3 2 3 5" xfId="12919"/>
    <cellStyle name="Normal 6 7 2 3 2 3 6" xfId="14665"/>
    <cellStyle name="Normal 6 7 2 3 2 4" xfId="4832"/>
    <cellStyle name="Normal 6 7 2 3 2 4 2" xfId="10303"/>
    <cellStyle name="Normal 6 7 2 3 2 5" xfId="5330"/>
    <cellStyle name="Normal 6 7 2 3 2 5 2" xfId="10805"/>
    <cellStyle name="Normal 6 7 2 3 2 6" xfId="5832"/>
    <cellStyle name="Normal 6 7 2 3 2 6 2" xfId="11307"/>
    <cellStyle name="Normal 6 7 2 3 2 7" xfId="2850"/>
    <cellStyle name="Normal 6 7 2 3 2 8" xfId="6773"/>
    <cellStyle name="Normal 6 7 2 3 2 9" xfId="8297"/>
    <cellStyle name="Normal 6 7 2 3 3" xfId="1291"/>
    <cellStyle name="Normal 6 7 2 3 3 2" xfId="4106"/>
    <cellStyle name="Normal 6 7 2 3 3 2 2" xfId="9553"/>
    <cellStyle name="Normal 6 7 2 3 3 3" xfId="3096"/>
    <cellStyle name="Normal 6 7 2 3 3 4" xfId="7031"/>
    <cellStyle name="Normal 6 7 2 3 3 5" xfId="8545"/>
    <cellStyle name="Normal 6 7 2 3 3 6" xfId="12165"/>
    <cellStyle name="Normal 6 7 2 3 3 7" xfId="13911"/>
    <cellStyle name="Normal 6 7 2 3 4" xfId="1799"/>
    <cellStyle name="Normal 6 7 2 3 4 2" xfId="3612"/>
    <cellStyle name="Normal 6 7 2 3 4 3" xfId="7539"/>
    <cellStyle name="Normal 6 7 2 3 4 4" xfId="9057"/>
    <cellStyle name="Normal 6 7 2 3 4 5" xfId="12671"/>
    <cellStyle name="Normal 6 7 2 3 4 6" xfId="14417"/>
    <cellStyle name="Normal 6 7 2 3 5" xfId="4596"/>
    <cellStyle name="Normal 6 7 2 3 5 2" xfId="10055"/>
    <cellStyle name="Normal 6 7 2 3 6" xfId="5082"/>
    <cellStyle name="Normal 6 7 2 3 6 2" xfId="10557"/>
    <cellStyle name="Normal 6 7 2 3 7" xfId="5584"/>
    <cellStyle name="Normal 6 7 2 3 7 2" xfId="11059"/>
    <cellStyle name="Normal 6 7 2 3 8" xfId="2612"/>
    <cellStyle name="Normal 6 7 2 3 9" xfId="6525"/>
    <cellStyle name="Normal 6 7 2 4" xfId="909"/>
    <cellStyle name="Normal 6 7 2 4 10" xfId="11783"/>
    <cellStyle name="Normal 6 7 2 4 11" xfId="13529"/>
    <cellStyle name="Normal 6 7 2 4 2" xfId="1415"/>
    <cellStyle name="Normal 6 7 2 4 2 2" xfId="4230"/>
    <cellStyle name="Normal 6 7 2 4 2 2 2" xfId="9677"/>
    <cellStyle name="Normal 6 7 2 4 2 3" xfId="3220"/>
    <cellStyle name="Normal 6 7 2 4 2 4" xfId="7155"/>
    <cellStyle name="Normal 6 7 2 4 2 5" xfId="8669"/>
    <cellStyle name="Normal 6 7 2 4 2 6" xfId="12289"/>
    <cellStyle name="Normal 6 7 2 4 2 7" xfId="14035"/>
    <cellStyle name="Normal 6 7 2 4 3" xfId="1923"/>
    <cellStyle name="Normal 6 7 2 4 3 2" xfId="3736"/>
    <cellStyle name="Normal 6 7 2 4 3 3" xfId="7663"/>
    <cellStyle name="Normal 6 7 2 4 3 4" xfId="9181"/>
    <cellStyle name="Normal 6 7 2 4 3 5" xfId="12795"/>
    <cellStyle name="Normal 6 7 2 4 3 6" xfId="14541"/>
    <cellStyle name="Normal 6 7 2 4 4" xfId="4712"/>
    <cellStyle name="Normal 6 7 2 4 4 2" xfId="10179"/>
    <cellStyle name="Normal 6 7 2 4 5" xfId="5206"/>
    <cellStyle name="Normal 6 7 2 4 5 2" xfId="10681"/>
    <cellStyle name="Normal 6 7 2 4 6" xfId="5708"/>
    <cellStyle name="Normal 6 7 2 4 6 2" xfId="11183"/>
    <cellStyle name="Normal 6 7 2 4 7" xfId="2730"/>
    <cellStyle name="Normal 6 7 2 4 8" xfId="6649"/>
    <cellStyle name="Normal 6 7 2 4 9" xfId="8173"/>
    <cellStyle name="Normal 6 7 2 5" xfId="1167"/>
    <cellStyle name="Normal 6 7 2 5 2" xfId="3984"/>
    <cellStyle name="Normal 6 7 2 5 2 2" xfId="9429"/>
    <cellStyle name="Normal 6 7 2 5 3" xfId="2974"/>
    <cellStyle name="Normal 6 7 2 5 4" xfId="6907"/>
    <cellStyle name="Normal 6 7 2 5 5" xfId="8421"/>
    <cellStyle name="Normal 6 7 2 5 6" xfId="12041"/>
    <cellStyle name="Normal 6 7 2 5 7" xfId="13787"/>
    <cellStyle name="Normal 6 7 2 6" xfId="1675"/>
    <cellStyle name="Normal 6 7 2 6 2" xfId="3488"/>
    <cellStyle name="Normal 6 7 2 6 3" xfId="7415"/>
    <cellStyle name="Normal 6 7 2 6 4" xfId="8933"/>
    <cellStyle name="Normal 6 7 2 6 5" xfId="12547"/>
    <cellStyle name="Normal 6 7 2 6 6" xfId="14293"/>
    <cellStyle name="Normal 6 7 2 7" xfId="4484"/>
    <cellStyle name="Normal 6 7 2 7 2" xfId="9931"/>
    <cellStyle name="Normal 6 7 2 8" xfId="4958"/>
    <cellStyle name="Normal 6 7 2 8 2" xfId="10433"/>
    <cellStyle name="Normal 6 7 2 9" xfId="5460"/>
    <cellStyle name="Normal 6 7 2 9 2" xfId="10935"/>
    <cellStyle name="Normal 6 7 3" xfId="681"/>
    <cellStyle name="Normal 6 7 3 10" xfId="2518"/>
    <cellStyle name="Normal 6 7 3 11" xfId="6421"/>
    <cellStyle name="Normal 6 7 3 12" xfId="7945"/>
    <cellStyle name="Normal 6 7 3 13" xfId="11555"/>
    <cellStyle name="Normal 6 7 3 14" xfId="13301"/>
    <cellStyle name="Normal 6 7 3 2" xfId="739"/>
    <cellStyle name="Normal 6 7 3 2 10" xfId="6479"/>
    <cellStyle name="Normal 6 7 3 2 11" xfId="8003"/>
    <cellStyle name="Normal 6 7 3 2 12" xfId="11613"/>
    <cellStyle name="Normal 6 7 3 2 13" xfId="13359"/>
    <cellStyle name="Normal 6 7 3 2 2" xfId="863"/>
    <cellStyle name="Normal 6 7 3 2 2 10" xfId="8127"/>
    <cellStyle name="Normal 6 7 3 2 2 11" xfId="11737"/>
    <cellStyle name="Normal 6 7 3 2 2 12" xfId="13483"/>
    <cellStyle name="Normal 6 7 3 2 2 2" xfId="1111"/>
    <cellStyle name="Normal 6 7 3 2 2 2 10" xfId="11985"/>
    <cellStyle name="Normal 6 7 3 2 2 2 11" xfId="13731"/>
    <cellStyle name="Normal 6 7 3 2 2 2 2" xfId="1617"/>
    <cellStyle name="Normal 6 7 3 2 2 2 2 2" xfId="4432"/>
    <cellStyle name="Normal 6 7 3 2 2 2 2 2 2" xfId="9879"/>
    <cellStyle name="Normal 6 7 3 2 2 2 2 3" xfId="3422"/>
    <cellStyle name="Normal 6 7 3 2 2 2 2 4" xfId="7357"/>
    <cellStyle name="Normal 6 7 3 2 2 2 2 5" xfId="8871"/>
    <cellStyle name="Normal 6 7 3 2 2 2 2 6" xfId="12491"/>
    <cellStyle name="Normal 6 7 3 2 2 2 2 7" xfId="14237"/>
    <cellStyle name="Normal 6 7 3 2 2 2 3" xfId="2125"/>
    <cellStyle name="Normal 6 7 3 2 2 2 3 2" xfId="3938"/>
    <cellStyle name="Normal 6 7 3 2 2 2 3 3" xfId="7865"/>
    <cellStyle name="Normal 6 7 3 2 2 2 3 4" xfId="9383"/>
    <cellStyle name="Normal 6 7 3 2 2 2 3 5" xfId="12997"/>
    <cellStyle name="Normal 6 7 3 2 2 2 3 6" xfId="14743"/>
    <cellStyle name="Normal 6 7 3 2 2 2 4" xfId="4910"/>
    <cellStyle name="Normal 6 7 3 2 2 2 4 2" xfId="10381"/>
    <cellStyle name="Normal 6 7 3 2 2 2 5" xfId="5408"/>
    <cellStyle name="Normal 6 7 3 2 2 2 5 2" xfId="10883"/>
    <cellStyle name="Normal 6 7 3 2 2 2 6" xfId="5910"/>
    <cellStyle name="Normal 6 7 3 2 2 2 6 2" xfId="11385"/>
    <cellStyle name="Normal 6 7 3 2 2 2 7" xfId="2928"/>
    <cellStyle name="Normal 6 7 3 2 2 2 8" xfId="6851"/>
    <cellStyle name="Normal 6 7 3 2 2 2 9" xfId="8375"/>
    <cellStyle name="Normal 6 7 3 2 2 3" xfId="1369"/>
    <cellStyle name="Normal 6 7 3 2 2 3 2" xfId="4184"/>
    <cellStyle name="Normal 6 7 3 2 2 3 2 2" xfId="9631"/>
    <cellStyle name="Normal 6 7 3 2 2 3 3" xfId="3174"/>
    <cellStyle name="Normal 6 7 3 2 2 3 4" xfId="7109"/>
    <cellStyle name="Normal 6 7 3 2 2 3 5" xfId="8623"/>
    <cellStyle name="Normal 6 7 3 2 2 3 6" xfId="12243"/>
    <cellStyle name="Normal 6 7 3 2 2 3 7" xfId="13989"/>
    <cellStyle name="Normal 6 7 3 2 2 4" xfId="1877"/>
    <cellStyle name="Normal 6 7 3 2 2 4 2" xfId="3690"/>
    <cellStyle name="Normal 6 7 3 2 2 4 3" xfId="7617"/>
    <cellStyle name="Normal 6 7 3 2 2 4 4" xfId="9135"/>
    <cellStyle name="Normal 6 7 3 2 2 4 5" xfId="12749"/>
    <cellStyle name="Normal 6 7 3 2 2 4 6" xfId="14495"/>
    <cellStyle name="Normal 6 7 3 2 2 5" xfId="4670"/>
    <cellStyle name="Normal 6 7 3 2 2 5 2" xfId="10133"/>
    <cellStyle name="Normal 6 7 3 2 2 6" xfId="5160"/>
    <cellStyle name="Normal 6 7 3 2 2 6 2" xfId="10635"/>
    <cellStyle name="Normal 6 7 3 2 2 7" xfId="5662"/>
    <cellStyle name="Normal 6 7 3 2 2 7 2" xfId="11137"/>
    <cellStyle name="Normal 6 7 3 2 2 8" xfId="2686"/>
    <cellStyle name="Normal 6 7 3 2 2 9" xfId="6603"/>
    <cellStyle name="Normal 6 7 3 2 3" xfId="987"/>
    <cellStyle name="Normal 6 7 3 2 3 10" xfId="11861"/>
    <cellStyle name="Normal 6 7 3 2 3 11" xfId="13607"/>
    <cellStyle name="Normal 6 7 3 2 3 2" xfId="1493"/>
    <cellStyle name="Normal 6 7 3 2 3 2 2" xfId="4308"/>
    <cellStyle name="Normal 6 7 3 2 3 2 2 2" xfId="9755"/>
    <cellStyle name="Normal 6 7 3 2 3 2 3" xfId="3298"/>
    <cellStyle name="Normal 6 7 3 2 3 2 4" xfId="7233"/>
    <cellStyle name="Normal 6 7 3 2 3 2 5" xfId="8747"/>
    <cellStyle name="Normal 6 7 3 2 3 2 6" xfId="12367"/>
    <cellStyle name="Normal 6 7 3 2 3 2 7" xfId="14113"/>
    <cellStyle name="Normal 6 7 3 2 3 3" xfId="2001"/>
    <cellStyle name="Normal 6 7 3 2 3 3 2" xfId="3814"/>
    <cellStyle name="Normal 6 7 3 2 3 3 3" xfId="7741"/>
    <cellStyle name="Normal 6 7 3 2 3 3 4" xfId="9259"/>
    <cellStyle name="Normal 6 7 3 2 3 3 5" xfId="12873"/>
    <cellStyle name="Normal 6 7 3 2 3 3 6" xfId="14619"/>
    <cellStyle name="Normal 6 7 3 2 3 4" xfId="4786"/>
    <cellStyle name="Normal 6 7 3 2 3 4 2" xfId="10257"/>
    <cellStyle name="Normal 6 7 3 2 3 5" xfId="5284"/>
    <cellStyle name="Normal 6 7 3 2 3 5 2" xfId="10759"/>
    <cellStyle name="Normal 6 7 3 2 3 6" xfId="5786"/>
    <cellStyle name="Normal 6 7 3 2 3 6 2" xfId="11261"/>
    <cellStyle name="Normal 6 7 3 2 3 7" xfId="2804"/>
    <cellStyle name="Normal 6 7 3 2 3 8" xfId="6727"/>
    <cellStyle name="Normal 6 7 3 2 3 9" xfId="8251"/>
    <cellStyle name="Normal 6 7 3 2 4" xfId="1245"/>
    <cellStyle name="Normal 6 7 3 2 4 2" xfId="4060"/>
    <cellStyle name="Normal 6 7 3 2 4 2 2" xfId="9507"/>
    <cellStyle name="Normal 6 7 3 2 4 3" xfId="3050"/>
    <cellStyle name="Normal 6 7 3 2 4 4" xfId="6985"/>
    <cellStyle name="Normal 6 7 3 2 4 5" xfId="8499"/>
    <cellStyle name="Normal 6 7 3 2 4 6" xfId="12119"/>
    <cellStyle name="Normal 6 7 3 2 4 7" xfId="13865"/>
    <cellStyle name="Normal 6 7 3 2 5" xfId="1753"/>
    <cellStyle name="Normal 6 7 3 2 5 2" xfId="3566"/>
    <cellStyle name="Normal 6 7 3 2 5 3" xfId="7493"/>
    <cellStyle name="Normal 6 7 3 2 5 4" xfId="9011"/>
    <cellStyle name="Normal 6 7 3 2 5 5" xfId="12625"/>
    <cellStyle name="Normal 6 7 3 2 5 6" xfId="14371"/>
    <cellStyle name="Normal 6 7 3 2 6" xfId="4554"/>
    <cellStyle name="Normal 6 7 3 2 6 2" xfId="10009"/>
    <cellStyle name="Normal 6 7 3 2 7" xfId="5036"/>
    <cellStyle name="Normal 6 7 3 2 7 2" xfId="10511"/>
    <cellStyle name="Normal 6 7 3 2 8" xfId="5538"/>
    <cellStyle name="Normal 6 7 3 2 8 2" xfId="11013"/>
    <cellStyle name="Normal 6 7 3 2 9" xfId="2570"/>
    <cellStyle name="Normal 6 7 3 3" xfId="805"/>
    <cellStyle name="Normal 6 7 3 3 10" xfId="8069"/>
    <cellStyle name="Normal 6 7 3 3 11" xfId="11679"/>
    <cellStyle name="Normal 6 7 3 3 12" xfId="13425"/>
    <cellStyle name="Normal 6 7 3 3 2" xfId="1053"/>
    <cellStyle name="Normal 6 7 3 3 2 10" xfId="11927"/>
    <cellStyle name="Normal 6 7 3 3 2 11" xfId="13673"/>
    <cellStyle name="Normal 6 7 3 3 2 2" xfId="1559"/>
    <cellStyle name="Normal 6 7 3 3 2 2 2" xfId="4374"/>
    <cellStyle name="Normal 6 7 3 3 2 2 2 2" xfId="9821"/>
    <cellStyle name="Normal 6 7 3 3 2 2 3" xfId="3364"/>
    <cellStyle name="Normal 6 7 3 3 2 2 4" xfId="7299"/>
    <cellStyle name="Normal 6 7 3 3 2 2 5" xfId="8813"/>
    <cellStyle name="Normal 6 7 3 3 2 2 6" xfId="12433"/>
    <cellStyle name="Normal 6 7 3 3 2 2 7" xfId="14179"/>
    <cellStyle name="Normal 6 7 3 3 2 3" xfId="2067"/>
    <cellStyle name="Normal 6 7 3 3 2 3 2" xfId="3880"/>
    <cellStyle name="Normal 6 7 3 3 2 3 3" xfId="7807"/>
    <cellStyle name="Normal 6 7 3 3 2 3 4" xfId="9325"/>
    <cellStyle name="Normal 6 7 3 3 2 3 5" xfId="12939"/>
    <cellStyle name="Normal 6 7 3 3 2 3 6" xfId="14685"/>
    <cellStyle name="Normal 6 7 3 3 2 4" xfId="4852"/>
    <cellStyle name="Normal 6 7 3 3 2 4 2" xfId="10323"/>
    <cellStyle name="Normal 6 7 3 3 2 5" xfId="5350"/>
    <cellStyle name="Normal 6 7 3 3 2 5 2" xfId="10825"/>
    <cellStyle name="Normal 6 7 3 3 2 6" xfId="5852"/>
    <cellStyle name="Normal 6 7 3 3 2 6 2" xfId="11327"/>
    <cellStyle name="Normal 6 7 3 3 2 7" xfId="2870"/>
    <cellStyle name="Normal 6 7 3 3 2 8" xfId="6793"/>
    <cellStyle name="Normal 6 7 3 3 2 9" xfId="8317"/>
    <cellStyle name="Normal 6 7 3 3 3" xfId="1311"/>
    <cellStyle name="Normal 6 7 3 3 3 2" xfId="4126"/>
    <cellStyle name="Normal 6 7 3 3 3 2 2" xfId="9573"/>
    <cellStyle name="Normal 6 7 3 3 3 3" xfId="3116"/>
    <cellStyle name="Normal 6 7 3 3 3 4" xfId="7051"/>
    <cellStyle name="Normal 6 7 3 3 3 5" xfId="8565"/>
    <cellStyle name="Normal 6 7 3 3 3 6" xfId="12185"/>
    <cellStyle name="Normal 6 7 3 3 3 7" xfId="13931"/>
    <cellStyle name="Normal 6 7 3 3 4" xfId="1819"/>
    <cellStyle name="Normal 6 7 3 3 4 2" xfId="3632"/>
    <cellStyle name="Normal 6 7 3 3 4 3" xfId="7559"/>
    <cellStyle name="Normal 6 7 3 3 4 4" xfId="9077"/>
    <cellStyle name="Normal 6 7 3 3 4 5" xfId="12691"/>
    <cellStyle name="Normal 6 7 3 3 4 6" xfId="14437"/>
    <cellStyle name="Normal 6 7 3 3 5" xfId="4614"/>
    <cellStyle name="Normal 6 7 3 3 5 2" xfId="10075"/>
    <cellStyle name="Normal 6 7 3 3 6" xfId="5102"/>
    <cellStyle name="Normal 6 7 3 3 6 2" xfId="10577"/>
    <cellStyle name="Normal 6 7 3 3 7" xfId="5604"/>
    <cellStyle name="Normal 6 7 3 3 7 2" xfId="11079"/>
    <cellStyle name="Normal 6 7 3 3 8" xfId="2630"/>
    <cellStyle name="Normal 6 7 3 3 9" xfId="6545"/>
    <cellStyle name="Normal 6 7 3 4" xfId="929"/>
    <cellStyle name="Normal 6 7 3 4 10" xfId="11803"/>
    <cellStyle name="Normal 6 7 3 4 11" xfId="13549"/>
    <cellStyle name="Normal 6 7 3 4 2" xfId="1435"/>
    <cellStyle name="Normal 6 7 3 4 2 2" xfId="4250"/>
    <cellStyle name="Normal 6 7 3 4 2 2 2" xfId="9697"/>
    <cellStyle name="Normal 6 7 3 4 2 3" xfId="3240"/>
    <cellStyle name="Normal 6 7 3 4 2 4" xfId="7175"/>
    <cellStyle name="Normal 6 7 3 4 2 5" xfId="8689"/>
    <cellStyle name="Normal 6 7 3 4 2 6" xfId="12309"/>
    <cellStyle name="Normal 6 7 3 4 2 7" xfId="14055"/>
    <cellStyle name="Normal 6 7 3 4 3" xfId="1943"/>
    <cellStyle name="Normal 6 7 3 4 3 2" xfId="3756"/>
    <cellStyle name="Normal 6 7 3 4 3 3" xfId="7683"/>
    <cellStyle name="Normal 6 7 3 4 3 4" xfId="9201"/>
    <cellStyle name="Normal 6 7 3 4 3 5" xfId="12815"/>
    <cellStyle name="Normal 6 7 3 4 3 6" xfId="14561"/>
    <cellStyle name="Normal 6 7 3 4 4" xfId="4730"/>
    <cellStyle name="Normal 6 7 3 4 4 2" xfId="10199"/>
    <cellStyle name="Normal 6 7 3 4 5" xfId="5226"/>
    <cellStyle name="Normal 6 7 3 4 5 2" xfId="10701"/>
    <cellStyle name="Normal 6 7 3 4 6" xfId="5728"/>
    <cellStyle name="Normal 6 7 3 4 6 2" xfId="11203"/>
    <cellStyle name="Normal 6 7 3 4 7" xfId="2748"/>
    <cellStyle name="Normal 6 7 3 4 8" xfId="6669"/>
    <cellStyle name="Normal 6 7 3 4 9" xfId="8193"/>
    <cellStyle name="Normal 6 7 3 5" xfId="1187"/>
    <cellStyle name="Normal 6 7 3 5 2" xfId="4004"/>
    <cellStyle name="Normal 6 7 3 5 2 2" xfId="9449"/>
    <cellStyle name="Normal 6 7 3 5 3" xfId="2994"/>
    <cellStyle name="Normal 6 7 3 5 4" xfId="6927"/>
    <cellStyle name="Normal 6 7 3 5 5" xfId="8441"/>
    <cellStyle name="Normal 6 7 3 5 6" xfId="12061"/>
    <cellStyle name="Normal 6 7 3 5 7" xfId="13807"/>
    <cellStyle name="Normal 6 7 3 6" xfId="1695"/>
    <cellStyle name="Normal 6 7 3 6 2" xfId="3508"/>
    <cellStyle name="Normal 6 7 3 6 3" xfId="7435"/>
    <cellStyle name="Normal 6 7 3 6 4" xfId="8953"/>
    <cellStyle name="Normal 6 7 3 6 5" xfId="12567"/>
    <cellStyle name="Normal 6 7 3 6 6" xfId="14313"/>
    <cellStyle name="Normal 6 7 3 7" xfId="4502"/>
    <cellStyle name="Normal 6 7 3 7 2" xfId="9951"/>
    <cellStyle name="Normal 6 7 3 8" xfId="4978"/>
    <cellStyle name="Normal 6 7 3 8 2" xfId="10453"/>
    <cellStyle name="Normal 6 7 3 9" xfId="5480"/>
    <cellStyle name="Normal 6 7 3 9 2" xfId="10955"/>
    <cellStyle name="Normal 6 7 4" xfId="737"/>
    <cellStyle name="Normal 6 7 4 10" xfId="6477"/>
    <cellStyle name="Normal 6 7 4 11" xfId="8001"/>
    <cellStyle name="Normal 6 7 4 12" xfId="11611"/>
    <cellStyle name="Normal 6 7 4 13" xfId="13357"/>
    <cellStyle name="Normal 6 7 4 2" xfId="861"/>
    <cellStyle name="Normal 6 7 4 2 10" xfId="8125"/>
    <cellStyle name="Normal 6 7 4 2 11" xfId="11735"/>
    <cellStyle name="Normal 6 7 4 2 12" xfId="13481"/>
    <cellStyle name="Normal 6 7 4 2 2" xfId="1109"/>
    <cellStyle name="Normal 6 7 4 2 2 10" xfId="11983"/>
    <cellStyle name="Normal 6 7 4 2 2 11" xfId="13729"/>
    <cellStyle name="Normal 6 7 4 2 2 2" xfId="1615"/>
    <cellStyle name="Normal 6 7 4 2 2 2 2" xfId="4430"/>
    <cellStyle name="Normal 6 7 4 2 2 2 2 2" xfId="9877"/>
    <cellStyle name="Normal 6 7 4 2 2 2 3" xfId="3420"/>
    <cellStyle name="Normal 6 7 4 2 2 2 4" xfId="7355"/>
    <cellStyle name="Normal 6 7 4 2 2 2 5" xfId="8869"/>
    <cellStyle name="Normal 6 7 4 2 2 2 6" xfId="12489"/>
    <cellStyle name="Normal 6 7 4 2 2 2 7" xfId="14235"/>
    <cellStyle name="Normal 6 7 4 2 2 3" xfId="2123"/>
    <cellStyle name="Normal 6 7 4 2 2 3 2" xfId="3936"/>
    <cellStyle name="Normal 6 7 4 2 2 3 3" xfId="7863"/>
    <cellStyle name="Normal 6 7 4 2 2 3 4" xfId="9381"/>
    <cellStyle name="Normal 6 7 4 2 2 3 5" xfId="12995"/>
    <cellStyle name="Normal 6 7 4 2 2 3 6" xfId="14741"/>
    <cellStyle name="Normal 6 7 4 2 2 4" xfId="4908"/>
    <cellStyle name="Normal 6 7 4 2 2 4 2" xfId="10379"/>
    <cellStyle name="Normal 6 7 4 2 2 5" xfId="5406"/>
    <cellStyle name="Normal 6 7 4 2 2 5 2" xfId="10881"/>
    <cellStyle name="Normal 6 7 4 2 2 6" xfId="5908"/>
    <cellStyle name="Normal 6 7 4 2 2 6 2" xfId="11383"/>
    <cellStyle name="Normal 6 7 4 2 2 7" xfId="2926"/>
    <cellStyle name="Normal 6 7 4 2 2 8" xfId="6849"/>
    <cellStyle name="Normal 6 7 4 2 2 9" xfId="8373"/>
    <cellStyle name="Normal 6 7 4 2 3" xfId="1367"/>
    <cellStyle name="Normal 6 7 4 2 3 2" xfId="4182"/>
    <cellStyle name="Normal 6 7 4 2 3 2 2" xfId="9629"/>
    <cellStyle name="Normal 6 7 4 2 3 3" xfId="3172"/>
    <cellStyle name="Normal 6 7 4 2 3 4" xfId="7107"/>
    <cellStyle name="Normal 6 7 4 2 3 5" xfId="8621"/>
    <cellStyle name="Normal 6 7 4 2 3 6" xfId="12241"/>
    <cellStyle name="Normal 6 7 4 2 3 7" xfId="13987"/>
    <cellStyle name="Normal 6 7 4 2 4" xfId="1875"/>
    <cellStyle name="Normal 6 7 4 2 4 2" xfId="3688"/>
    <cellStyle name="Normal 6 7 4 2 4 3" xfId="7615"/>
    <cellStyle name="Normal 6 7 4 2 4 4" xfId="9133"/>
    <cellStyle name="Normal 6 7 4 2 4 5" xfId="12747"/>
    <cellStyle name="Normal 6 7 4 2 4 6" xfId="14493"/>
    <cellStyle name="Normal 6 7 4 2 5" xfId="4668"/>
    <cellStyle name="Normal 6 7 4 2 5 2" xfId="10131"/>
    <cellStyle name="Normal 6 7 4 2 6" xfId="5158"/>
    <cellStyle name="Normal 6 7 4 2 6 2" xfId="10633"/>
    <cellStyle name="Normal 6 7 4 2 7" xfId="5660"/>
    <cellStyle name="Normal 6 7 4 2 7 2" xfId="11135"/>
    <cellStyle name="Normal 6 7 4 2 8" xfId="2684"/>
    <cellStyle name="Normal 6 7 4 2 9" xfId="6601"/>
    <cellStyle name="Normal 6 7 4 3" xfId="985"/>
    <cellStyle name="Normal 6 7 4 3 10" xfId="11859"/>
    <cellStyle name="Normal 6 7 4 3 11" xfId="13605"/>
    <cellStyle name="Normal 6 7 4 3 2" xfId="1491"/>
    <cellStyle name="Normal 6 7 4 3 2 2" xfId="4306"/>
    <cellStyle name="Normal 6 7 4 3 2 2 2" xfId="9753"/>
    <cellStyle name="Normal 6 7 4 3 2 3" xfId="3296"/>
    <cellStyle name="Normal 6 7 4 3 2 4" xfId="7231"/>
    <cellStyle name="Normal 6 7 4 3 2 5" xfId="8745"/>
    <cellStyle name="Normal 6 7 4 3 2 6" xfId="12365"/>
    <cellStyle name="Normal 6 7 4 3 2 7" xfId="14111"/>
    <cellStyle name="Normal 6 7 4 3 3" xfId="1999"/>
    <cellStyle name="Normal 6 7 4 3 3 2" xfId="3812"/>
    <cellStyle name="Normal 6 7 4 3 3 3" xfId="7739"/>
    <cellStyle name="Normal 6 7 4 3 3 4" xfId="9257"/>
    <cellStyle name="Normal 6 7 4 3 3 5" xfId="12871"/>
    <cellStyle name="Normal 6 7 4 3 3 6" xfId="14617"/>
    <cellStyle name="Normal 6 7 4 3 4" xfId="4784"/>
    <cellStyle name="Normal 6 7 4 3 4 2" xfId="10255"/>
    <cellStyle name="Normal 6 7 4 3 5" xfId="5282"/>
    <cellStyle name="Normal 6 7 4 3 5 2" xfId="10757"/>
    <cellStyle name="Normal 6 7 4 3 6" xfId="5784"/>
    <cellStyle name="Normal 6 7 4 3 6 2" xfId="11259"/>
    <cellStyle name="Normal 6 7 4 3 7" xfId="2802"/>
    <cellStyle name="Normal 6 7 4 3 8" xfId="6725"/>
    <cellStyle name="Normal 6 7 4 3 9" xfId="8249"/>
    <cellStyle name="Normal 6 7 4 4" xfId="1243"/>
    <cellStyle name="Normal 6 7 4 4 2" xfId="4058"/>
    <cellStyle name="Normal 6 7 4 4 2 2" xfId="9505"/>
    <cellStyle name="Normal 6 7 4 4 3" xfId="3048"/>
    <cellStyle name="Normal 6 7 4 4 4" xfId="6983"/>
    <cellStyle name="Normal 6 7 4 4 5" xfId="8497"/>
    <cellStyle name="Normal 6 7 4 4 6" xfId="12117"/>
    <cellStyle name="Normal 6 7 4 4 7" xfId="13863"/>
    <cellStyle name="Normal 6 7 4 5" xfId="1751"/>
    <cellStyle name="Normal 6 7 4 5 2" xfId="3564"/>
    <cellStyle name="Normal 6 7 4 5 3" xfId="7491"/>
    <cellStyle name="Normal 6 7 4 5 4" xfId="9009"/>
    <cellStyle name="Normal 6 7 4 5 5" xfId="12623"/>
    <cellStyle name="Normal 6 7 4 5 6" xfId="14369"/>
    <cellStyle name="Normal 6 7 4 6" xfId="4552"/>
    <cellStyle name="Normal 6 7 4 6 2" xfId="10007"/>
    <cellStyle name="Normal 6 7 4 7" xfId="5034"/>
    <cellStyle name="Normal 6 7 4 7 2" xfId="10509"/>
    <cellStyle name="Normal 6 7 4 8" xfId="5536"/>
    <cellStyle name="Normal 6 7 4 8 2" xfId="11011"/>
    <cellStyle name="Normal 6 7 4 9" xfId="2568"/>
    <cellStyle name="Normal 6 7 5" xfId="763"/>
    <cellStyle name="Normal 6 7 5 10" xfId="8027"/>
    <cellStyle name="Normal 6 7 5 11" xfId="11637"/>
    <cellStyle name="Normal 6 7 5 12" xfId="13383"/>
    <cellStyle name="Normal 6 7 5 2" xfId="1011"/>
    <cellStyle name="Normal 6 7 5 2 10" xfId="11885"/>
    <cellStyle name="Normal 6 7 5 2 11" xfId="13631"/>
    <cellStyle name="Normal 6 7 5 2 2" xfId="1517"/>
    <cellStyle name="Normal 6 7 5 2 2 2" xfId="4332"/>
    <cellStyle name="Normal 6 7 5 2 2 2 2" xfId="9779"/>
    <cellStyle name="Normal 6 7 5 2 2 3" xfId="3322"/>
    <cellStyle name="Normal 6 7 5 2 2 4" xfId="7257"/>
    <cellStyle name="Normal 6 7 5 2 2 5" xfId="8771"/>
    <cellStyle name="Normal 6 7 5 2 2 6" xfId="12391"/>
    <cellStyle name="Normal 6 7 5 2 2 7" xfId="14137"/>
    <cellStyle name="Normal 6 7 5 2 3" xfId="2025"/>
    <cellStyle name="Normal 6 7 5 2 3 2" xfId="3838"/>
    <cellStyle name="Normal 6 7 5 2 3 3" xfId="7765"/>
    <cellStyle name="Normal 6 7 5 2 3 4" xfId="9283"/>
    <cellStyle name="Normal 6 7 5 2 3 5" xfId="12897"/>
    <cellStyle name="Normal 6 7 5 2 3 6" xfId="14643"/>
    <cellStyle name="Normal 6 7 5 2 4" xfId="4810"/>
    <cellStyle name="Normal 6 7 5 2 4 2" xfId="10281"/>
    <cellStyle name="Normal 6 7 5 2 5" xfId="5308"/>
    <cellStyle name="Normal 6 7 5 2 5 2" xfId="10783"/>
    <cellStyle name="Normal 6 7 5 2 6" xfId="5810"/>
    <cellStyle name="Normal 6 7 5 2 6 2" xfId="11285"/>
    <cellStyle name="Normal 6 7 5 2 7" xfId="2828"/>
    <cellStyle name="Normal 6 7 5 2 8" xfId="6751"/>
    <cellStyle name="Normal 6 7 5 2 9" xfId="8275"/>
    <cellStyle name="Normal 6 7 5 3" xfId="1269"/>
    <cellStyle name="Normal 6 7 5 3 2" xfId="4084"/>
    <cellStyle name="Normal 6 7 5 3 2 2" xfId="9531"/>
    <cellStyle name="Normal 6 7 5 3 3" xfId="3074"/>
    <cellStyle name="Normal 6 7 5 3 4" xfId="7009"/>
    <cellStyle name="Normal 6 7 5 3 5" xfId="8523"/>
    <cellStyle name="Normal 6 7 5 3 6" xfId="12143"/>
    <cellStyle name="Normal 6 7 5 3 7" xfId="13889"/>
    <cellStyle name="Normal 6 7 5 4" xfId="1777"/>
    <cellStyle name="Normal 6 7 5 4 2" xfId="3590"/>
    <cellStyle name="Normal 6 7 5 4 3" xfId="7517"/>
    <cellStyle name="Normal 6 7 5 4 4" xfId="9035"/>
    <cellStyle name="Normal 6 7 5 4 5" xfId="12649"/>
    <cellStyle name="Normal 6 7 5 4 6" xfId="14395"/>
    <cellStyle name="Normal 6 7 5 5" xfId="4576"/>
    <cellStyle name="Normal 6 7 5 5 2" xfId="10033"/>
    <cellStyle name="Normal 6 7 5 6" xfId="5060"/>
    <cellStyle name="Normal 6 7 5 6 2" xfId="10535"/>
    <cellStyle name="Normal 6 7 5 7" xfId="5562"/>
    <cellStyle name="Normal 6 7 5 7 2" xfId="11037"/>
    <cellStyle name="Normal 6 7 5 8" xfId="2592"/>
    <cellStyle name="Normal 6 7 5 9" xfId="6503"/>
    <cellStyle name="Normal 6 7 6" xfId="887"/>
    <cellStyle name="Normal 6 7 6 10" xfId="11761"/>
    <cellStyle name="Normal 6 7 6 11" xfId="13507"/>
    <cellStyle name="Normal 6 7 6 2" xfId="1393"/>
    <cellStyle name="Normal 6 7 6 2 2" xfId="4208"/>
    <cellStyle name="Normal 6 7 6 2 2 2" xfId="9655"/>
    <cellStyle name="Normal 6 7 6 2 3" xfId="3198"/>
    <cellStyle name="Normal 6 7 6 2 4" xfId="7133"/>
    <cellStyle name="Normal 6 7 6 2 5" xfId="8647"/>
    <cellStyle name="Normal 6 7 6 2 6" xfId="12267"/>
    <cellStyle name="Normal 6 7 6 2 7" xfId="14013"/>
    <cellStyle name="Normal 6 7 6 3" xfId="1901"/>
    <cellStyle name="Normal 6 7 6 3 2" xfId="3714"/>
    <cellStyle name="Normal 6 7 6 3 3" xfId="7641"/>
    <cellStyle name="Normal 6 7 6 3 4" xfId="9159"/>
    <cellStyle name="Normal 6 7 6 3 5" xfId="12773"/>
    <cellStyle name="Normal 6 7 6 3 6" xfId="14519"/>
    <cellStyle name="Normal 6 7 6 4" xfId="4692"/>
    <cellStyle name="Normal 6 7 6 4 2" xfId="10157"/>
    <cellStyle name="Normal 6 7 6 5" xfId="5184"/>
    <cellStyle name="Normal 6 7 6 5 2" xfId="10659"/>
    <cellStyle name="Normal 6 7 6 6" xfId="5686"/>
    <cellStyle name="Normal 6 7 6 6 2" xfId="11161"/>
    <cellStyle name="Normal 6 7 6 7" xfId="2710"/>
    <cellStyle name="Normal 6 7 6 8" xfId="6627"/>
    <cellStyle name="Normal 6 7 6 9" xfId="8151"/>
    <cellStyle name="Normal 6 7 7" xfId="1145"/>
    <cellStyle name="Normal 6 7 7 2" xfId="3962"/>
    <cellStyle name="Normal 6 7 7 2 2" xfId="9407"/>
    <cellStyle name="Normal 6 7 7 3" xfId="2952"/>
    <cellStyle name="Normal 6 7 7 4" xfId="6885"/>
    <cellStyle name="Normal 6 7 7 5" xfId="8399"/>
    <cellStyle name="Normal 6 7 7 6" xfId="12019"/>
    <cellStyle name="Normal 6 7 7 7" xfId="13765"/>
    <cellStyle name="Normal 6 7 8" xfId="1653"/>
    <cellStyle name="Normal 6 7 8 2" xfId="3466"/>
    <cellStyle name="Normal 6 7 8 3" xfId="7393"/>
    <cellStyle name="Normal 6 7 8 4" xfId="8911"/>
    <cellStyle name="Normal 6 7 8 5" xfId="12525"/>
    <cellStyle name="Normal 6 7 8 6" xfId="14271"/>
    <cellStyle name="Normal 6 7 9" xfId="4462"/>
    <cellStyle name="Normal 6 7 9 2" xfId="9909"/>
    <cellStyle name="Normal 6 8" xfId="633"/>
    <cellStyle name="Normal 6 8 10" xfId="4940"/>
    <cellStyle name="Normal 6 8 10 2" xfId="10413"/>
    <cellStyle name="Normal 6 8 11" xfId="5440"/>
    <cellStyle name="Normal 6 8 11 2" xfId="10915"/>
    <cellStyle name="Normal 6 8 12" xfId="2482"/>
    <cellStyle name="Normal 6 8 13" xfId="6378"/>
    <cellStyle name="Normal 6 8 14" xfId="7905"/>
    <cellStyle name="Normal 6 8 15" xfId="11515"/>
    <cellStyle name="Normal 6 8 16" xfId="13261"/>
    <cellStyle name="Normal 6 8 2" xfId="663"/>
    <cellStyle name="Normal 6 8 2 10" xfId="2502"/>
    <cellStyle name="Normal 6 8 2 11" xfId="6403"/>
    <cellStyle name="Normal 6 8 2 12" xfId="7927"/>
    <cellStyle name="Normal 6 8 2 13" xfId="11537"/>
    <cellStyle name="Normal 6 8 2 14" xfId="13283"/>
    <cellStyle name="Normal 6 8 2 2" xfId="741"/>
    <cellStyle name="Normal 6 8 2 2 10" xfId="6481"/>
    <cellStyle name="Normal 6 8 2 2 11" xfId="8005"/>
    <cellStyle name="Normal 6 8 2 2 12" xfId="11615"/>
    <cellStyle name="Normal 6 8 2 2 13" xfId="13361"/>
    <cellStyle name="Normal 6 8 2 2 2" xfId="865"/>
    <cellStyle name="Normal 6 8 2 2 2 10" xfId="8129"/>
    <cellStyle name="Normal 6 8 2 2 2 11" xfId="11739"/>
    <cellStyle name="Normal 6 8 2 2 2 12" xfId="13485"/>
    <cellStyle name="Normal 6 8 2 2 2 2" xfId="1113"/>
    <cellStyle name="Normal 6 8 2 2 2 2 10" xfId="11987"/>
    <cellStyle name="Normal 6 8 2 2 2 2 11" xfId="13733"/>
    <cellStyle name="Normal 6 8 2 2 2 2 2" xfId="1619"/>
    <cellStyle name="Normal 6 8 2 2 2 2 2 2" xfId="4434"/>
    <cellStyle name="Normal 6 8 2 2 2 2 2 2 2" xfId="9881"/>
    <cellStyle name="Normal 6 8 2 2 2 2 2 3" xfId="3424"/>
    <cellStyle name="Normal 6 8 2 2 2 2 2 4" xfId="7359"/>
    <cellStyle name="Normal 6 8 2 2 2 2 2 5" xfId="8873"/>
    <cellStyle name="Normal 6 8 2 2 2 2 2 6" xfId="12493"/>
    <cellStyle name="Normal 6 8 2 2 2 2 2 7" xfId="14239"/>
    <cellStyle name="Normal 6 8 2 2 2 2 3" xfId="2127"/>
    <cellStyle name="Normal 6 8 2 2 2 2 3 2" xfId="3940"/>
    <cellStyle name="Normal 6 8 2 2 2 2 3 3" xfId="7867"/>
    <cellStyle name="Normal 6 8 2 2 2 2 3 4" xfId="9385"/>
    <cellStyle name="Normal 6 8 2 2 2 2 3 5" xfId="12999"/>
    <cellStyle name="Normal 6 8 2 2 2 2 3 6" xfId="14745"/>
    <cellStyle name="Normal 6 8 2 2 2 2 4" xfId="4912"/>
    <cellStyle name="Normal 6 8 2 2 2 2 4 2" xfId="10383"/>
    <cellStyle name="Normal 6 8 2 2 2 2 5" xfId="5410"/>
    <cellStyle name="Normal 6 8 2 2 2 2 5 2" xfId="10885"/>
    <cellStyle name="Normal 6 8 2 2 2 2 6" xfId="5912"/>
    <cellStyle name="Normal 6 8 2 2 2 2 6 2" xfId="11387"/>
    <cellStyle name="Normal 6 8 2 2 2 2 7" xfId="2930"/>
    <cellStyle name="Normal 6 8 2 2 2 2 8" xfId="6853"/>
    <cellStyle name="Normal 6 8 2 2 2 2 9" xfId="8377"/>
    <cellStyle name="Normal 6 8 2 2 2 3" xfId="1371"/>
    <cellStyle name="Normal 6 8 2 2 2 3 2" xfId="4186"/>
    <cellStyle name="Normal 6 8 2 2 2 3 2 2" xfId="9633"/>
    <cellStyle name="Normal 6 8 2 2 2 3 3" xfId="3176"/>
    <cellStyle name="Normal 6 8 2 2 2 3 4" xfId="7111"/>
    <cellStyle name="Normal 6 8 2 2 2 3 5" xfId="8625"/>
    <cellStyle name="Normal 6 8 2 2 2 3 6" xfId="12245"/>
    <cellStyle name="Normal 6 8 2 2 2 3 7" xfId="13991"/>
    <cellStyle name="Normal 6 8 2 2 2 4" xfId="1879"/>
    <cellStyle name="Normal 6 8 2 2 2 4 2" xfId="3692"/>
    <cellStyle name="Normal 6 8 2 2 2 4 3" xfId="7619"/>
    <cellStyle name="Normal 6 8 2 2 2 4 4" xfId="9137"/>
    <cellStyle name="Normal 6 8 2 2 2 4 5" xfId="12751"/>
    <cellStyle name="Normal 6 8 2 2 2 4 6" xfId="14497"/>
    <cellStyle name="Normal 6 8 2 2 2 5" xfId="4672"/>
    <cellStyle name="Normal 6 8 2 2 2 5 2" xfId="10135"/>
    <cellStyle name="Normal 6 8 2 2 2 6" xfId="5162"/>
    <cellStyle name="Normal 6 8 2 2 2 6 2" xfId="10637"/>
    <cellStyle name="Normal 6 8 2 2 2 7" xfId="5664"/>
    <cellStyle name="Normal 6 8 2 2 2 7 2" xfId="11139"/>
    <cellStyle name="Normal 6 8 2 2 2 8" xfId="2688"/>
    <cellStyle name="Normal 6 8 2 2 2 9" xfId="6605"/>
    <cellStyle name="Normal 6 8 2 2 3" xfId="989"/>
    <cellStyle name="Normal 6 8 2 2 3 10" xfId="11863"/>
    <cellStyle name="Normal 6 8 2 2 3 11" xfId="13609"/>
    <cellStyle name="Normal 6 8 2 2 3 2" xfId="1495"/>
    <cellStyle name="Normal 6 8 2 2 3 2 2" xfId="4310"/>
    <cellStyle name="Normal 6 8 2 2 3 2 2 2" xfId="9757"/>
    <cellStyle name="Normal 6 8 2 2 3 2 3" xfId="3300"/>
    <cellStyle name="Normal 6 8 2 2 3 2 4" xfId="7235"/>
    <cellStyle name="Normal 6 8 2 2 3 2 5" xfId="8749"/>
    <cellStyle name="Normal 6 8 2 2 3 2 6" xfId="12369"/>
    <cellStyle name="Normal 6 8 2 2 3 2 7" xfId="14115"/>
    <cellStyle name="Normal 6 8 2 2 3 3" xfId="2003"/>
    <cellStyle name="Normal 6 8 2 2 3 3 2" xfId="3816"/>
    <cellStyle name="Normal 6 8 2 2 3 3 3" xfId="7743"/>
    <cellStyle name="Normal 6 8 2 2 3 3 4" xfId="9261"/>
    <cellStyle name="Normal 6 8 2 2 3 3 5" xfId="12875"/>
    <cellStyle name="Normal 6 8 2 2 3 3 6" xfId="14621"/>
    <cellStyle name="Normal 6 8 2 2 3 4" xfId="4788"/>
    <cellStyle name="Normal 6 8 2 2 3 4 2" xfId="10259"/>
    <cellStyle name="Normal 6 8 2 2 3 5" xfId="5286"/>
    <cellStyle name="Normal 6 8 2 2 3 5 2" xfId="10761"/>
    <cellStyle name="Normal 6 8 2 2 3 6" xfId="5788"/>
    <cellStyle name="Normal 6 8 2 2 3 6 2" xfId="11263"/>
    <cellStyle name="Normal 6 8 2 2 3 7" xfId="2806"/>
    <cellStyle name="Normal 6 8 2 2 3 8" xfId="6729"/>
    <cellStyle name="Normal 6 8 2 2 3 9" xfId="8253"/>
    <cellStyle name="Normal 6 8 2 2 4" xfId="1247"/>
    <cellStyle name="Normal 6 8 2 2 4 2" xfId="4062"/>
    <cellStyle name="Normal 6 8 2 2 4 2 2" xfId="9509"/>
    <cellStyle name="Normal 6 8 2 2 4 3" xfId="3052"/>
    <cellStyle name="Normal 6 8 2 2 4 4" xfId="6987"/>
    <cellStyle name="Normal 6 8 2 2 4 5" xfId="8501"/>
    <cellStyle name="Normal 6 8 2 2 4 6" xfId="12121"/>
    <cellStyle name="Normal 6 8 2 2 4 7" xfId="13867"/>
    <cellStyle name="Normal 6 8 2 2 5" xfId="1755"/>
    <cellStyle name="Normal 6 8 2 2 5 2" xfId="3568"/>
    <cellStyle name="Normal 6 8 2 2 5 3" xfId="7495"/>
    <cellStyle name="Normal 6 8 2 2 5 4" xfId="9013"/>
    <cellStyle name="Normal 6 8 2 2 5 5" xfId="12627"/>
    <cellStyle name="Normal 6 8 2 2 5 6" xfId="14373"/>
    <cellStyle name="Normal 6 8 2 2 6" xfId="4556"/>
    <cellStyle name="Normal 6 8 2 2 6 2" xfId="10011"/>
    <cellStyle name="Normal 6 8 2 2 7" xfId="5038"/>
    <cellStyle name="Normal 6 8 2 2 7 2" xfId="10513"/>
    <cellStyle name="Normal 6 8 2 2 8" xfId="5540"/>
    <cellStyle name="Normal 6 8 2 2 8 2" xfId="11015"/>
    <cellStyle name="Normal 6 8 2 2 9" xfId="2572"/>
    <cellStyle name="Normal 6 8 2 3" xfId="787"/>
    <cellStyle name="Normal 6 8 2 3 10" xfId="8051"/>
    <cellStyle name="Normal 6 8 2 3 11" xfId="11661"/>
    <cellStyle name="Normal 6 8 2 3 12" xfId="13407"/>
    <cellStyle name="Normal 6 8 2 3 2" xfId="1035"/>
    <cellStyle name="Normal 6 8 2 3 2 10" xfId="11909"/>
    <cellStyle name="Normal 6 8 2 3 2 11" xfId="13655"/>
    <cellStyle name="Normal 6 8 2 3 2 2" xfId="1541"/>
    <cellStyle name="Normal 6 8 2 3 2 2 2" xfId="4356"/>
    <cellStyle name="Normal 6 8 2 3 2 2 2 2" xfId="9803"/>
    <cellStyle name="Normal 6 8 2 3 2 2 3" xfId="3346"/>
    <cellStyle name="Normal 6 8 2 3 2 2 4" xfId="7281"/>
    <cellStyle name="Normal 6 8 2 3 2 2 5" xfId="8795"/>
    <cellStyle name="Normal 6 8 2 3 2 2 6" xfId="12415"/>
    <cellStyle name="Normal 6 8 2 3 2 2 7" xfId="14161"/>
    <cellStyle name="Normal 6 8 2 3 2 3" xfId="2049"/>
    <cellStyle name="Normal 6 8 2 3 2 3 2" xfId="3862"/>
    <cellStyle name="Normal 6 8 2 3 2 3 3" xfId="7789"/>
    <cellStyle name="Normal 6 8 2 3 2 3 4" xfId="9307"/>
    <cellStyle name="Normal 6 8 2 3 2 3 5" xfId="12921"/>
    <cellStyle name="Normal 6 8 2 3 2 3 6" xfId="14667"/>
    <cellStyle name="Normal 6 8 2 3 2 4" xfId="4834"/>
    <cellStyle name="Normal 6 8 2 3 2 4 2" xfId="10305"/>
    <cellStyle name="Normal 6 8 2 3 2 5" xfId="5332"/>
    <cellStyle name="Normal 6 8 2 3 2 5 2" xfId="10807"/>
    <cellStyle name="Normal 6 8 2 3 2 6" xfId="5834"/>
    <cellStyle name="Normal 6 8 2 3 2 6 2" xfId="11309"/>
    <cellStyle name="Normal 6 8 2 3 2 7" xfId="2852"/>
    <cellStyle name="Normal 6 8 2 3 2 8" xfId="6775"/>
    <cellStyle name="Normal 6 8 2 3 2 9" xfId="8299"/>
    <cellStyle name="Normal 6 8 2 3 3" xfId="1293"/>
    <cellStyle name="Normal 6 8 2 3 3 2" xfId="4108"/>
    <cellStyle name="Normal 6 8 2 3 3 2 2" xfId="9555"/>
    <cellStyle name="Normal 6 8 2 3 3 3" xfId="3098"/>
    <cellStyle name="Normal 6 8 2 3 3 4" xfId="7033"/>
    <cellStyle name="Normal 6 8 2 3 3 5" xfId="8547"/>
    <cellStyle name="Normal 6 8 2 3 3 6" xfId="12167"/>
    <cellStyle name="Normal 6 8 2 3 3 7" xfId="13913"/>
    <cellStyle name="Normal 6 8 2 3 4" xfId="1801"/>
    <cellStyle name="Normal 6 8 2 3 4 2" xfId="3614"/>
    <cellStyle name="Normal 6 8 2 3 4 3" xfId="7541"/>
    <cellStyle name="Normal 6 8 2 3 4 4" xfId="9059"/>
    <cellStyle name="Normal 6 8 2 3 4 5" xfId="12673"/>
    <cellStyle name="Normal 6 8 2 3 4 6" xfId="14419"/>
    <cellStyle name="Normal 6 8 2 3 5" xfId="4598"/>
    <cellStyle name="Normal 6 8 2 3 5 2" xfId="10057"/>
    <cellStyle name="Normal 6 8 2 3 6" xfId="5084"/>
    <cellStyle name="Normal 6 8 2 3 6 2" xfId="10559"/>
    <cellStyle name="Normal 6 8 2 3 7" xfId="5586"/>
    <cellStyle name="Normal 6 8 2 3 7 2" xfId="11061"/>
    <cellStyle name="Normal 6 8 2 3 8" xfId="2614"/>
    <cellStyle name="Normal 6 8 2 3 9" xfId="6527"/>
    <cellStyle name="Normal 6 8 2 4" xfId="911"/>
    <cellStyle name="Normal 6 8 2 4 10" xfId="11785"/>
    <cellStyle name="Normal 6 8 2 4 11" xfId="13531"/>
    <cellStyle name="Normal 6 8 2 4 2" xfId="1417"/>
    <cellStyle name="Normal 6 8 2 4 2 2" xfId="4232"/>
    <cellStyle name="Normal 6 8 2 4 2 2 2" xfId="9679"/>
    <cellStyle name="Normal 6 8 2 4 2 3" xfId="3222"/>
    <cellStyle name="Normal 6 8 2 4 2 4" xfId="7157"/>
    <cellStyle name="Normal 6 8 2 4 2 5" xfId="8671"/>
    <cellStyle name="Normal 6 8 2 4 2 6" xfId="12291"/>
    <cellStyle name="Normal 6 8 2 4 2 7" xfId="14037"/>
    <cellStyle name="Normal 6 8 2 4 3" xfId="1925"/>
    <cellStyle name="Normal 6 8 2 4 3 2" xfId="3738"/>
    <cellStyle name="Normal 6 8 2 4 3 3" xfId="7665"/>
    <cellStyle name="Normal 6 8 2 4 3 4" xfId="9183"/>
    <cellStyle name="Normal 6 8 2 4 3 5" xfId="12797"/>
    <cellStyle name="Normal 6 8 2 4 3 6" xfId="14543"/>
    <cellStyle name="Normal 6 8 2 4 4" xfId="4714"/>
    <cellStyle name="Normal 6 8 2 4 4 2" xfId="10181"/>
    <cellStyle name="Normal 6 8 2 4 5" xfId="5208"/>
    <cellStyle name="Normal 6 8 2 4 5 2" xfId="10683"/>
    <cellStyle name="Normal 6 8 2 4 6" xfId="5710"/>
    <cellStyle name="Normal 6 8 2 4 6 2" xfId="11185"/>
    <cellStyle name="Normal 6 8 2 4 7" xfId="2732"/>
    <cellStyle name="Normal 6 8 2 4 8" xfId="6651"/>
    <cellStyle name="Normal 6 8 2 4 9" xfId="8175"/>
    <cellStyle name="Normal 6 8 2 5" xfId="1169"/>
    <cellStyle name="Normal 6 8 2 5 2" xfId="3986"/>
    <cellStyle name="Normal 6 8 2 5 2 2" xfId="9431"/>
    <cellStyle name="Normal 6 8 2 5 3" xfId="2976"/>
    <cellStyle name="Normal 6 8 2 5 4" xfId="6909"/>
    <cellStyle name="Normal 6 8 2 5 5" xfId="8423"/>
    <cellStyle name="Normal 6 8 2 5 6" xfId="12043"/>
    <cellStyle name="Normal 6 8 2 5 7" xfId="13789"/>
    <cellStyle name="Normal 6 8 2 6" xfId="1677"/>
    <cellStyle name="Normal 6 8 2 6 2" xfId="3490"/>
    <cellStyle name="Normal 6 8 2 6 3" xfId="7417"/>
    <cellStyle name="Normal 6 8 2 6 4" xfId="8935"/>
    <cellStyle name="Normal 6 8 2 6 5" xfId="12549"/>
    <cellStyle name="Normal 6 8 2 6 6" xfId="14295"/>
    <cellStyle name="Normal 6 8 2 7" xfId="4486"/>
    <cellStyle name="Normal 6 8 2 7 2" xfId="9933"/>
    <cellStyle name="Normal 6 8 2 8" xfId="4960"/>
    <cellStyle name="Normal 6 8 2 8 2" xfId="10435"/>
    <cellStyle name="Normal 6 8 2 9" xfId="5462"/>
    <cellStyle name="Normal 6 8 2 9 2" xfId="10937"/>
    <cellStyle name="Normal 6 8 3" xfId="683"/>
    <cellStyle name="Normal 6 8 3 10" xfId="2520"/>
    <cellStyle name="Normal 6 8 3 11" xfId="6423"/>
    <cellStyle name="Normal 6 8 3 12" xfId="7947"/>
    <cellStyle name="Normal 6 8 3 13" xfId="11557"/>
    <cellStyle name="Normal 6 8 3 14" xfId="13303"/>
    <cellStyle name="Normal 6 8 3 2" xfId="742"/>
    <cellStyle name="Normal 6 8 3 2 10" xfId="6482"/>
    <cellStyle name="Normal 6 8 3 2 11" xfId="8006"/>
    <cellStyle name="Normal 6 8 3 2 12" xfId="11616"/>
    <cellStyle name="Normal 6 8 3 2 13" xfId="13362"/>
    <cellStyle name="Normal 6 8 3 2 2" xfId="866"/>
    <cellStyle name="Normal 6 8 3 2 2 10" xfId="8130"/>
    <cellStyle name="Normal 6 8 3 2 2 11" xfId="11740"/>
    <cellStyle name="Normal 6 8 3 2 2 12" xfId="13486"/>
    <cellStyle name="Normal 6 8 3 2 2 2" xfId="1114"/>
    <cellStyle name="Normal 6 8 3 2 2 2 10" xfId="11988"/>
    <cellStyle name="Normal 6 8 3 2 2 2 11" xfId="13734"/>
    <cellStyle name="Normal 6 8 3 2 2 2 2" xfId="1620"/>
    <cellStyle name="Normal 6 8 3 2 2 2 2 2" xfId="4435"/>
    <cellStyle name="Normal 6 8 3 2 2 2 2 2 2" xfId="9882"/>
    <cellStyle name="Normal 6 8 3 2 2 2 2 3" xfId="3425"/>
    <cellStyle name="Normal 6 8 3 2 2 2 2 4" xfId="7360"/>
    <cellStyle name="Normal 6 8 3 2 2 2 2 5" xfId="8874"/>
    <cellStyle name="Normal 6 8 3 2 2 2 2 6" xfId="12494"/>
    <cellStyle name="Normal 6 8 3 2 2 2 2 7" xfId="14240"/>
    <cellStyle name="Normal 6 8 3 2 2 2 3" xfId="2128"/>
    <cellStyle name="Normal 6 8 3 2 2 2 3 2" xfId="3941"/>
    <cellStyle name="Normal 6 8 3 2 2 2 3 3" xfId="7868"/>
    <cellStyle name="Normal 6 8 3 2 2 2 3 4" xfId="9386"/>
    <cellStyle name="Normal 6 8 3 2 2 2 3 5" xfId="13000"/>
    <cellStyle name="Normal 6 8 3 2 2 2 3 6" xfId="14746"/>
    <cellStyle name="Normal 6 8 3 2 2 2 4" xfId="4913"/>
    <cellStyle name="Normal 6 8 3 2 2 2 4 2" xfId="10384"/>
    <cellStyle name="Normal 6 8 3 2 2 2 5" xfId="5411"/>
    <cellStyle name="Normal 6 8 3 2 2 2 5 2" xfId="10886"/>
    <cellStyle name="Normal 6 8 3 2 2 2 6" xfId="5913"/>
    <cellStyle name="Normal 6 8 3 2 2 2 6 2" xfId="11388"/>
    <cellStyle name="Normal 6 8 3 2 2 2 7" xfId="2931"/>
    <cellStyle name="Normal 6 8 3 2 2 2 8" xfId="6854"/>
    <cellStyle name="Normal 6 8 3 2 2 2 9" xfId="8378"/>
    <cellStyle name="Normal 6 8 3 2 2 3" xfId="1372"/>
    <cellStyle name="Normal 6 8 3 2 2 3 2" xfId="4187"/>
    <cellStyle name="Normal 6 8 3 2 2 3 2 2" xfId="9634"/>
    <cellStyle name="Normal 6 8 3 2 2 3 3" xfId="3177"/>
    <cellStyle name="Normal 6 8 3 2 2 3 4" xfId="7112"/>
    <cellStyle name="Normal 6 8 3 2 2 3 5" xfId="8626"/>
    <cellStyle name="Normal 6 8 3 2 2 3 6" xfId="12246"/>
    <cellStyle name="Normal 6 8 3 2 2 3 7" xfId="13992"/>
    <cellStyle name="Normal 6 8 3 2 2 4" xfId="1880"/>
    <cellStyle name="Normal 6 8 3 2 2 4 2" xfId="3693"/>
    <cellStyle name="Normal 6 8 3 2 2 4 3" xfId="7620"/>
    <cellStyle name="Normal 6 8 3 2 2 4 4" xfId="9138"/>
    <cellStyle name="Normal 6 8 3 2 2 4 5" xfId="12752"/>
    <cellStyle name="Normal 6 8 3 2 2 4 6" xfId="14498"/>
    <cellStyle name="Normal 6 8 3 2 2 5" xfId="4673"/>
    <cellStyle name="Normal 6 8 3 2 2 5 2" xfId="10136"/>
    <cellStyle name="Normal 6 8 3 2 2 6" xfId="5163"/>
    <cellStyle name="Normal 6 8 3 2 2 6 2" xfId="10638"/>
    <cellStyle name="Normal 6 8 3 2 2 7" xfId="5665"/>
    <cellStyle name="Normal 6 8 3 2 2 7 2" xfId="11140"/>
    <cellStyle name="Normal 6 8 3 2 2 8" xfId="2689"/>
    <cellStyle name="Normal 6 8 3 2 2 9" xfId="6606"/>
    <cellStyle name="Normal 6 8 3 2 3" xfId="990"/>
    <cellStyle name="Normal 6 8 3 2 3 10" xfId="11864"/>
    <cellStyle name="Normal 6 8 3 2 3 11" xfId="13610"/>
    <cellStyle name="Normal 6 8 3 2 3 2" xfId="1496"/>
    <cellStyle name="Normal 6 8 3 2 3 2 2" xfId="4311"/>
    <cellStyle name="Normal 6 8 3 2 3 2 2 2" xfId="9758"/>
    <cellStyle name="Normal 6 8 3 2 3 2 3" xfId="3301"/>
    <cellStyle name="Normal 6 8 3 2 3 2 4" xfId="7236"/>
    <cellStyle name="Normal 6 8 3 2 3 2 5" xfId="8750"/>
    <cellStyle name="Normal 6 8 3 2 3 2 6" xfId="12370"/>
    <cellStyle name="Normal 6 8 3 2 3 2 7" xfId="14116"/>
    <cellStyle name="Normal 6 8 3 2 3 3" xfId="2004"/>
    <cellStyle name="Normal 6 8 3 2 3 3 2" xfId="3817"/>
    <cellStyle name="Normal 6 8 3 2 3 3 3" xfId="7744"/>
    <cellStyle name="Normal 6 8 3 2 3 3 4" xfId="9262"/>
    <cellStyle name="Normal 6 8 3 2 3 3 5" xfId="12876"/>
    <cellStyle name="Normal 6 8 3 2 3 3 6" xfId="14622"/>
    <cellStyle name="Normal 6 8 3 2 3 4" xfId="4789"/>
    <cellStyle name="Normal 6 8 3 2 3 4 2" xfId="10260"/>
    <cellStyle name="Normal 6 8 3 2 3 5" xfId="5287"/>
    <cellStyle name="Normal 6 8 3 2 3 5 2" xfId="10762"/>
    <cellStyle name="Normal 6 8 3 2 3 6" xfId="5789"/>
    <cellStyle name="Normal 6 8 3 2 3 6 2" xfId="11264"/>
    <cellStyle name="Normal 6 8 3 2 3 7" xfId="2807"/>
    <cellStyle name="Normal 6 8 3 2 3 8" xfId="6730"/>
    <cellStyle name="Normal 6 8 3 2 3 9" xfId="8254"/>
    <cellStyle name="Normal 6 8 3 2 4" xfId="1248"/>
    <cellStyle name="Normal 6 8 3 2 4 2" xfId="4063"/>
    <cellStyle name="Normal 6 8 3 2 4 2 2" xfId="9510"/>
    <cellStyle name="Normal 6 8 3 2 4 3" xfId="3053"/>
    <cellStyle name="Normal 6 8 3 2 4 4" xfId="6988"/>
    <cellStyle name="Normal 6 8 3 2 4 5" xfId="8502"/>
    <cellStyle name="Normal 6 8 3 2 4 6" xfId="12122"/>
    <cellStyle name="Normal 6 8 3 2 4 7" xfId="13868"/>
    <cellStyle name="Normal 6 8 3 2 5" xfId="1756"/>
    <cellStyle name="Normal 6 8 3 2 5 2" xfId="3569"/>
    <cellStyle name="Normal 6 8 3 2 5 3" xfId="7496"/>
    <cellStyle name="Normal 6 8 3 2 5 4" xfId="9014"/>
    <cellStyle name="Normal 6 8 3 2 5 5" xfId="12628"/>
    <cellStyle name="Normal 6 8 3 2 5 6" xfId="14374"/>
    <cellStyle name="Normal 6 8 3 2 6" xfId="4557"/>
    <cellStyle name="Normal 6 8 3 2 6 2" xfId="10012"/>
    <cellStyle name="Normal 6 8 3 2 7" xfId="5039"/>
    <cellStyle name="Normal 6 8 3 2 7 2" xfId="10514"/>
    <cellStyle name="Normal 6 8 3 2 8" xfId="5541"/>
    <cellStyle name="Normal 6 8 3 2 8 2" xfId="11016"/>
    <cellStyle name="Normal 6 8 3 2 9" xfId="2573"/>
    <cellStyle name="Normal 6 8 3 3" xfId="807"/>
    <cellStyle name="Normal 6 8 3 3 10" xfId="8071"/>
    <cellStyle name="Normal 6 8 3 3 11" xfId="11681"/>
    <cellStyle name="Normal 6 8 3 3 12" xfId="13427"/>
    <cellStyle name="Normal 6 8 3 3 2" xfId="1055"/>
    <cellStyle name="Normal 6 8 3 3 2 10" xfId="11929"/>
    <cellStyle name="Normal 6 8 3 3 2 11" xfId="13675"/>
    <cellStyle name="Normal 6 8 3 3 2 2" xfId="1561"/>
    <cellStyle name="Normal 6 8 3 3 2 2 2" xfId="4376"/>
    <cellStyle name="Normal 6 8 3 3 2 2 2 2" xfId="9823"/>
    <cellStyle name="Normal 6 8 3 3 2 2 3" xfId="3366"/>
    <cellStyle name="Normal 6 8 3 3 2 2 4" xfId="7301"/>
    <cellStyle name="Normal 6 8 3 3 2 2 5" xfId="8815"/>
    <cellStyle name="Normal 6 8 3 3 2 2 6" xfId="12435"/>
    <cellStyle name="Normal 6 8 3 3 2 2 7" xfId="14181"/>
    <cellStyle name="Normal 6 8 3 3 2 3" xfId="2069"/>
    <cellStyle name="Normal 6 8 3 3 2 3 2" xfId="3882"/>
    <cellStyle name="Normal 6 8 3 3 2 3 3" xfId="7809"/>
    <cellStyle name="Normal 6 8 3 3 2 3 4" xfId="9327"/>
    <cellStyle name="Normal 6 8 3 3 2 3 5" xfId="12941"/>
    <cellStyle name="Normal 6 8 3 3 2 3 6" xfId="14687"/>
    <cellStyle name="Normal 6 8 3 3 2 4" xfId="4854"/>
    <cellStyle name="Normal 6 8 3 3 2 4 2" xfId="10325"/>
    <cellStyle name="Normal 6 8 3 3 2 5" xfId="5352"/>
    <cellStyle name="Normal 6 8 3 3 2 5 2" xfId="10827"/>
    <cellStyle name="Normal 6 8 3 3 2 6" xfId="5854"/>
    <cellStyle name="Normal 6 8 3 3 2 6 2" xfId="11329"/>
    <cellStyle name="Normal 6 8 3 3 2 7" xfId="2872"/>
    <cellStyle name="Normal 6 8 3 3 2 8" xfId="6795"/>
    <cellStyle name="Normal 6 8 3 3 2 9" xfId="8319"/>
    <cellStyle name="Normal 6 8 3 3 3" xfId="1313"/>
    <cellStyle name="Normal 6 8 3 3 3 2" xfId="4128"/>
    <cellStyle name="Normal 6 8 3 3 3 2 2" xfId="9575"/>
    <cellStyle name="Normal 6 8 3 3 3 3" xfId="3118"/>
    <cellStyle name="Normal 6 8 3 3 3 4" xfId="7053"/>
    <cellStyle name="Normal 6 8 3 3 3 5" xfId="8567"/>
    <cellStyle name="Normal 6 8 3 3 3 6" xfId="12187"/>
    <cellStyle name="Normal 6 8 3 3 3 7" xfId="13933"/>
    <cellStyle name="Normal 6 8 3 3 4" xfId="1821"/>
    <cellStyle name="Normal 6 8 3 3 4 2" xfId="3634"/>
    <cellStyle name="Normal 6 8 3 3 4 3" xfId="7561"/>
    <cellStyle name="Normal 6 8 3 3 4 4" xfId="9079"/>
    <cellStyle name="Normal 6 8 3 3 4 5" xfId="12693"/>
    <cellStyle name="Normal 6 8 3 3 4 6" xfId="14439"/>
    <cellStyle name="Normal 6 8 3 3 5" xfId="4616"/>
    <cellStyle name="Normal 6 8 3 3 5 2" xfId="10077"/>
    <cellStyle name="Normal 6 8 3 3 6" xfId="5104"/>
    <cellStyle name="Normal 6 8 3 3 6 2" xfId="10579"/>
    <cellStyle name="Normal 6 8 3 3 7" xfId="5606"/>
    <cellStyle name="Normal 6 8 3 3 7 2" xfId="11081"/>
    <cellStyle name="Normal 6 8 3 3 8" xfId="2632"/>
    <cellStyle name="Normal 6 8 3 3 9" xfId="6547"/>
    <cellStyle name="Normal 6 8 3 4" xfId="931"/>
    <cellStyle name="Normal 6 8 3 4 10" xfId="11805"/>
    <cellStyle name="Normal 6 8 3 4 11" xfId="13551"/>
    <cellStyle name="Normal 6 8 3 4 2" xfId="1437"/>
    <cellStyle name="Normal 6 8 3 4 2 2" xfId="4252"/>
    <cellStyle name="Normal 6 8 3 4 2 2 2" xfId="9699"/>
    <cellStyle name="Normal 6 8 3 4 2 3" xfId="3242"/>
    <cellStyle name="Normal 6 8 3 4 2 4" xfId="7177"/>
    <cellStyle name="Normal 6 8 3 4 2 5" xfId="8691"/>
    <cellStyle name="Normal 6 8 3 4 2 6" xfId="12311"/>
    <cellStyle name="Normal 6 8 3 4 2 7" xfId="14057"/>
    <cellStyle name="Normal 6 8 3 4 3" xfId="1945"/>
    <cellStyle name="Normal 6 8 3 4 3 2" xfId="3758"/>
    <cellStyle name="Normal 6 8 3 4 3 3" xfId="7685"/>
    <cellStyle name="Normal 6 8 3 4 3 4" xfId="9203"/>
    <cellStyle name="Normal 6 8 3 4 3 5" xfId="12817"/>
    <cellStyle name="Normal 6 8 3 4 3 6" xfId="14563"/>
    <cellStyle name="Normal 6 8 3 4 4" xfId="4732"/>
    <cellStyle name="Normal 6 8 3 4 4 2" xfId="10201"/>
    <cellStyle name="Normal 6 8 3 4 5" xfId="5228"/>
    <cellStyle name="Normal 6 8 3 4 5 2" xfId="10703"/>
    <cellStyle name="Normal 6 8 3 4 6" xfId="5730"/>
    <cellStyle name="Normal 6 8 3 4 6 2" xfId="11205"/>
    <cellStyle name="Normal 6 8 3 4 7" xfId="2750"/>
    <cellStyle name="Normal 6 8 3 4 8" xfId="6671"/>
    <cellStyle name="Normal 6 8 3 4 9" xfId="8195"/>
    <cellStyle name="Normal 6 8 3 5" xfId="1189"/>
    <cellStyle name="Normal 6 8 3 5 2" xfId="4006"/>
    <cellStyle name="Normal 6 8 3 5 2 2" xfId="9451"/>
    <cellStyle name="Normal 6 8 3 5 3" xfId="2996"/>
    <cellStyle name="Normal 6 8 3 5 4" xfId="6929"/>
    <cellStyle name="Normal 6 8 3 5 5" xfId="8443"/>
    <cellStyle name="Normal 6 8 3 5 6" xfId="12063"/>
    <cellStyle name="Normal 6 8 3 5 7" xfId="13809"/>
    <cellStyle name="Normal 6 8 3 6" xfId="1697"/>
    <cellStyle name="Normal 6 8 3 6 2" xfId="3510"/>
    <cellStyle name="Normal 6 8 3 6 3" xfId="7437"/>
    <cellStyle name="Normal 6 8 3 6 4" xfId="8955"/>
    <cellStyle name="Normal 6 8 3 6 5" xfId="12569"/>
    <cellStyle name="Normal 6 8 3 6 6" xfId="14315"/>
    <cellStyle name="Normal 6 8 3 7" xfId="4504"/>
    <cellStyle name="Normal 6 8 3 7 2" xfId="9953"/>
    <cellStyle name="Normal 6 8 3 8" xfId="4980"/>
    <cellStyle name="Normal 6 8 3 8 2" xfId="10455"/>
    <cellStyle name="Normal 6 8 3 9" xfId="5482"/>
    <cellStyle name="Normal 6 8 3 9 2" xfId="10957"/>
    <cellStyle name="Normal 6 8 4" xfId="740"/>
    <cellStyle name="Normal 6 8 4 10" xfId="6480"/>
    <cellStyle name="Normal 6 8 4 11" xfId="8004"/>
    <cellStyle name="Normal 6 8 4 12" xfId="11614"/>
    <cellStyle name="Normal 6 8 4 13" xfId="13360"/>
    <cellStyle name="Normal 6 8 4 2" xfId="864"/>
    <cellStyle name="Normal 6 8 4 2 10" xfId="8128"/>
    <cellStyle name="Normal 6 8 4 2 11" xfId="11738"/>
    <cellStyle name="Normal 6 8 4 2 12" xfId="13484"/>
    <cellStyle name="Normal 6 8 4 2 2" xfId="1112"/>
    <cellStyle name="Normal 6 8 4 2 2 10" xfId="11986"/>
    <cellStyle name="Normal 6 8 4 2 2 11" xfId="13732"/>
    <cellStyle name="Normal 6 8 4 2 2 2" xfId="1618"/>
    <cellStyle name="Normal 6 8 4 2 2 2 2" xfId="4433"/>
    <cellStyle name="Normal 6 8 4 2 2 2 2 2" xfId="9880"/>
    <cellStyle name="Normal 6 8 4 2 2 2 3" xfId="3423"/>
    <cellStyle name="Normal 6 8 4 2 2 2 4" xfId="7358"/>
    <cellStyle name="Normal 6 8 4 2 2 2 5" xfId="8872"/>
    <cellStyle name="Normal 6 8 4 2 2 2 6" xfId="12492"/>
    <cellStyle name="Normal 6 8 4 2 2 2 7" xfId="14238"/>
    <cellStyle name="Normal 6 8 4 2 2 3" xfId="2126"/>
    <cellStyle name="Normal 6 8 4 2 2 3 2" xfId="3939"/>
    <cellStyle name="Normal 6 8 4 2 2 3 3" xfId="7866"/>
    <cellStyle name="Normal 6 8 4 2 2 3 4" xfId="9384"/>
    <cellStyle name="Normal 6 8 4 2 2 3 5" xfId="12998"/>
    <cellStyle name="Normal 6 8 4 2 2 3 6" xfId="14744"/>
    <cellStyle name="Normal 6 8 4 2 2 4" xfId="4911"/>
    <cellStyle name="Normal 6 8 4 2 2 4 2" xfId="10382"/>
    <cellStyle name="Normal 6 8 4 2 2 5" xfId="5409"/>
    <cellStyle name="Normal 6 8 4 2 2 5 2" xfId="10884"/>
    <cellStyle name="Normal 6 8 4 2 2 6" xfId="5911"/>
    <cellStyle name="Normal 6 8 4 2 2 6 2" xfId="11386"/>
    <cellStyle name="Normal 6 8 4 2 2 7" xfId="2929"/>
    <cellStyle name="Normal 6 8 4 2 2 8" xfId="6852"/>
    <cellStyle name="Normal 6 8 4 2 2 9" xfId="8376"/>
    <cellStyle name="Normal 6 8 4 2 3" xfId="1370"/>
    <cellStyle name="Normal 6 8 4 2 3 2" xfId="4185"/>
    <cellStyle name="Normal 6 8 4 2 3 2 2" xfId="9632"/>
    <cellStyle name="Normal 6 8 4 2 3 3" xfId="3175"/>
    <cellStyle name="Normal 6 8 4 2 3 4" xfId="7110"/>
    <cellStyle name="Normal 6 8 4 2 3 5" xfId="8624"/>
    <cellStyle name="Normal 6 8 4 2 3 6" xfId="12244"/>
    <cellStyle name="Normal 6 8 4 2 3 7" xfId="13990"/>
    <cellStyle name="Normal 6 8 4 2 4" xfId="1878"/>
    <cellStyle name="Normal 6 8 4 2 4 2" xfId="3691"/>
    <cellStyle name="Normal 6 8 4 2 4 3" xfId="7618"/>
    <cellStyle name="Normal 6 8 4 2 4 4" xfId="9136"/>
    <cellStyle name="Normal 6 8 4 2 4 5" xfId="12750"/>
    <cellStyle name="Normal 6 8 4 2 4 6" xfId="14496"/>
    <cellStyle name="Normal 6 8 4 2 5" xfId="4671"/>
    <cellStyle name="Normal 6 8 4 2 5 2" xfId="10134"/>
    <cellStyle name="Normal 6 8 4 2 6" xfId="5161"/>
    <cellStyle name="Normal 6 8 4 2 6 2" xfId="10636"/>
    <cellStyle name="Normal 6 8 4 2 7" xfId="5663"/>
    <cellStyle name="Normal 6 8 4 2 7 2" xfId="11138"/>
    <cellStyle name="Normal 6 8 4 2 8" xfId="2687"/>
    <cellStyle name="Normal 6 8 4 2 9" xfId="6604"/>
    <cellStyle name="Normal 6 8 4 3" xfId="988"/>
    <cellStyle name="Normal 6 8 4 3 10" xfId="11862"/>
    <cellStyle name="Normal 6 8 4 3 11" xfId="13608"/>
    <cellStyle name="Normal 6 8 4 3 2" xfId="1494"/>
    <cellStyle name="Normal 6 8 4 3 2 2" xfId="4309"/>
    <cellStyle name="Normal 6 8 4 3 2 2 2" xfId="9756"/>
    <cellStyle name="Normal 6 8 4 3 2 3" xfId="3299"/>
    <cellStyle name="Normal 6 8 4 3 2 4" xfId="7234"/>
    <cellStyle name="Normal 6 8 4 3 2 5" xfId="8748"/>
    <cellStyle name="Normal 6 8 4 3 2 6" xfId="12368"/>
    <cellStyle name="Normal 6 8 4 3 2 7" xfId="14114"/>
    <cellStyle name="Normal 6 8 4 3 3" xfId="2002"/>
    <cellStyle name="Normal 6 8 4 3 3 2" xfId="3815"/>
    <cellStyle name="Normal 6 8 4 3 3 3" xfId="7742"/>
    <cellStyle name="Normal 6 8 4 3 3 4" xfId="9260"/>
    <cellStyle name="Normal 6 8 4 3 3 5" xfId="12874"/>
    <cellStyle name="Normal 6 8 4 3 3 6" xfId="14620"/>
    <cellStyle name="Normal 6 8 4 3 4" xfId="4787"/>
    <cellStyle name="Normal 6 8 4 3 4 2" xfId="10258"/>
    <cellStyle name="Normal 6 8 4 3 5" xfId="5285"/>
    <cellStyle name="Normal 6 8 4 3 5 2" xfId="10760"/>
    <cellStyle name="Normal 6 8 4 3 6" xfId="5787"/>
    <cellStyle name="Normal 6 8 4 3 6 2" xfId="11262"/>
    <cellStyle name="Normal 6 8 4 3 7" xfId="2805"/>
    <cellStyle name="Normal 6 8 4 3 8" xfId="6728"/>
    <cellStyle name="Normal 6 8 4 3 9" xfId="8252"/>
    <cellStyle name="Normal 6 8 4 4" xfId="1246"/>
    <cellStyle name="Normal 6 8 4 4 2" xfId="4061"/>
    <cellStyle name="Normal 6 8 4 4 2 2" xfId="9508"/>
    <cellStyle name="Normal 6 8 4 4 3" xfId="3051"/>
    <cellStyle name="Normal 6 8 4 4 4" xfId="6986"/>
    <cellStyle name="Normal 6 8 4 4 5" xfId="8500"/>
    <cellStyle name="Normal 6 8 4 4 6" xfId="12120"/>
    <cellStyle name="Normal 6 8 4 4 7" xfId="13866"/>
    <cellStyle name="Normal 6 8 4 5" xfId="1754"/>
    <cellStyle name="Normal 6 8 4 5 2" xfId="3567"/>
    <cellStyle name="Normal 6 8 4 5 3" xfId="7494"/>
    <cellStyle name="Normal 6 8 4 5 4" xfId="9012"/>
    <cellStyle name="Normal 6 8 4 5 5" xfId="12626"/>
    <cellStyle name="Normal 6 8 4 5 6" xfId="14372"/>
    <cellStyle name="Normal 6 8 4 6" xfId="4555"/>
    <cellStyle name="Normal 6 8 4 6 2" xfId="10010"/>
    <cellStyle name="Normal 6 8 4 7" xfId="5037"/>
    <cellStyle name="Normal 6 8 4 7 2" xfId="10512"/>
    <cellStyle name="Normal 6 8 4 8" xfId="5539"/>
    <cellStyle name="Normal 6 8 4 8 2" xfId="11014"/>
    <cellStyle name="Normal 6 8 4 9" xfId="2571"/>
    <cellStyle name="Normal 6 8 5" xfId="765"/>
    <cellStyle name="Normal 6 8 5 10" xfId="8029"/>
    <cellStyle name="Normal 6 8 5 11" xfId="11639"/>
    <cellStyle name="Normal 6 8 5 12" xfId="13385"/>
    <cellStyle name="Normal 6 8 5 2" xfId="1013"/>
    <cellStyle name="Normal 6 8 5 2 10" xfId="11887"/>
    <cellStyle name="Normal 6 8 5 2 11" xfId="13633"/>
    <cellStyle name="Normal 6 8 5 2 2" xfId="1519"/>
    <cellStyle name="Normal 6 8 5 2 2 2" xfId="4334"/>
    <cellStyle name="Normal 6 8 5 2 2 2 2" xfId="9781"/>
    <cellStyle name="Normal 6 8 5 2 2 3" xfId="3324"/>
    <cellStyle name="Normal 6 8 5 2 2 4" xfId="7259"/>
    <cellStyle name="Normal 6 8 5 2 2 5" xfId="8773"/>
    <cellStyle name="Normal 6 8 5 2 2 6" xfId="12393"/>
    <cellStyle name="Normal 6 8 5 2 2 7" xfId="14139"/>
    <cellStyle name="Normal 6 8 5 2 3" xfId="2027"/>
    <cellStyle name="Normal 6 8 5 2 3 2" xfId="3840"/>
    <cellStyle name="Normal 6 8 5 2 3 3" xfId="7767"/>
    <cellStyle name="Normal 6 8 5 2 3 4" xfId="9285"/>
    <cellStyle name="Normal 6 8 5 2 3 5" xfId="12899"/>
    <cellStyle name="Normal 6 8 5 2 3 6" xfId="14645"/>
    <cellStyle name="Normal 6 8 5 2 4" xfId="4812"/>
    <cellStyle name="Normal 6 8 5 2 4 2" xfId="10283"/>
    <cellStyle name="Normal 6 8 5 2 5" xfId="5310"/>
    <cellStyle name="Normal 6 8 5 2 5 2" xfId="10785"/>
    <cellStyle name="Normal 6 8 5 2 6" xfId="5812"/>
    <cellStyle name="Normal 6 8 5 2 6 2" xfId="11287"/>
    <cellStyle name="Normal 6 8 5 2 7" xfId="2830"/>
    <cellStyle name="Normal 6 8 5 2 8" xfId="6753"/>
    <cellStyle name="Normal 6 8 5 2 9" xfId="8277"/>
    <cellStyle name="Normal 6 8 5 3" xfId="1271"/>
    <cellStyle name="Normal 6 8 5 3 2" xfId="4086"/>
    <cellStyle name="Normal 6 8 5 3 2 2" xfId="9533"/>
    <cellStyle name="Normal 6 8 5 3 3" xfId="3076"/>
    <cellStyle name="Normal 6 8 5 3 4" xfId="7011"/>
    <cellStyle name="Normal 6 8 5 3 5" xfId="8525"/>
    <cellStyle name="Normal 6 8 5 3 6" xfId="12145"/>
    <cellStyle name="Normal 6 8 5 3 7" xfId="13891"/>
    <cellStyle name="Normal 6 8 5 4" xfId="1779"/>
    <cellStyle name="Normal 6 8 5 4 2" xfId="3592"/>
    <cellStyle name="Normal 6 8 5 4 3" xfId="7519"/>
    <cellStyle name="Normal 6 8 5 4 4" xfId="9037"/>
    <cellStyle name="Normal 6 8 5 4 5" xfId="12651"/>
    <cellStyle name="Normal 6 8 5 4 6" xfId="14397"/>
    <cellStyle name="Normal 6 8 5 5" xfId="4578"/>
    <cellStyle name="Normal 6 8 5 5 2" xfId="10035"/>
    <cellStyle name="Normal 6 8 5 6" xfId="5062"/>
    <cellStyle name="Normal 6 8 5 6 2" xfId="10537"/>
    <cellStyle name="Normal 6 8 5 7" xfId="5564"/>
    <cellStyle name="Normal 6 8 5 7 2" xfId="11039"/>
    <cellStyle name="Normal 6 8 5 8" xfId="2594"/>
    <cellStyle name="Normal 6 8 5 9" xfId="6505"/>
    <cellStyle name="Normal 6 8 6" xfId="889"/>
    <cellStyle name="Normal 6 8 6 10" xfId="11763"/>
    <cellStyle name="Normal 6 8 6 11" xfId="13509"/>
    <cellStyle name="Normal 6 8 6 2" xfId="1395"/>
    <cellStyle name="Normal 6 8 6 2 2" xfId="4210"/>
    <cellStyle name="Normal 6 8 6 2 2 2" xfId="9657"/>
    <cellStyle name="Normal 6 8 6 2 3" xfId="3200"/>
    <cellStyle name="Normal 6 8 6 2 4" xfId="7135"/>
    <cellStyle name="Normal 6 8 6 2 5" xfId="8649"/>
    <cellStyle name="Normal 6 8 6 2 6" xfId="12269"/>
    <cellStyle name="Normal 6 8 6 2 7" xfId="14015"/>
    <cellStyle name="Normal 6 8 6 3" xfId="1903"/>
    <cellStyle name="Normal 6 8 6 3 2" xfId="3716"/>
    <cellStyle name="Normal 6 8 6 3 3" xfId="7643"/>
    <cellStyle name="Normal 6 8 6 3 4" xfId="9161"/>
    <cellStyle name="Normal 6 8 6 3 5" xfId="12775"/>
    <cellStyle name="Normal 6 8 6 3 6" xfId="14521"/>
    <cellStyle name="Normal 6 8 6 4" xfId="4694"/>
    <cellStyle name="Normal 6 8 6 4 2" xfId="10159"/>
    <cellStyle name="Normal 6 8 6 5" xfId="5186"/>
    <cellStyle name="Normal 6 8 6 5 2" xfId="10661"/>
    <cellStyle name="Normal 6 8 6 6" xfId="5688"/>
    <cellStyle name="Normal 6 8 6 6 2" xfId="11163"/>
    <cellStyle name="Normal 6 8 6 7" xfId="2712"/>
    <cellStyle name="Normal 6 8 6 8" xfId="6629"/>
    <cellStyle name="Normal 6 8 6 9" xfId="8153"/>
    <cellStyle name="Normal 6 8 7" xfId="1147"/>
    <cellStyle name="Normal 6 8 7 2" xfId="3964"/>
    <cellStyle name="Normal 6 8 7 2 2" xfId="9409"/>
    <cellStyle name="Normal 6 8 7 3" xfId="2954"/>
    <cellStyle name="Normal 6 8 7 4" xfId="6887"/>
    <cellStyle name="Normal 6 8 7 5" xfId="8401"/>
    <cellStyle name="Normal 6 8 7 6" xfId="12021"/>
    <cellStyle name="Normal 6 8 7 7" xfId="13767"/>
    <cellStyle name="Normal 6 8 8" xfId="1655"/>
    <cellStyle name="Normal 6 8 8 2" xfId="3468"/>
    <cellStyle name="Normal 6 8 8 3" xfId="7395"/>
    <cellStyle name="Normal 6 8 8 4" xfId="8913"/>
    <cellStyle name="Normal 6 8 8 5" xfId="12527"/>
    <cellStyle name="Normal 6 8 8 6" xfId="14273"/>
    <cellStyle name="Normal 6 8 9" xfId="4464"/>
    <cellStyle name="Normal 6 8 9 2" xfId="9911"/>
    <cellStyle name="Normal 6 9" xfId="647"/>
    <cellStyle name="Normal 7" xfId="128"/>
    <cellStyle name="Normal 7 2" xfId="129"/>
    <cellStyle name="Normal 7 2 2" xfId="511"/>
    <cellStyle name="Normal 7 3" xfId="6253"/>
    <cellStyle name="Normal 8" xfId="130"/>
    <cellStyle name="Normal 8 2" xfId="512"/>
    <cellStyle name="Normal 8 2 2" xfId="2356"/>
    <cellStyle name="Normal 8 2 2 2" xfId="6124"/>
    <cellStyle name="Normal 8 2 2 3" xfId="13104"/>
    <cellStyle name="Normal 8 2 3" xfId="2407"/>
    <cellStyle name="Normal 8 2 3 2" xfId="6175"/>
    <cellStyle name="Normal 8 2 3 3" xfId="13155"/>
    <cellStyle name="Normal 8 2 4" xfId="2463"/>
    <cellStyle name="Normal 8 2 4 2" xfId="6231"/>
    <cellStyle name="Normal 8 2 4 3" xfId="13211"/>
    <cellStyle name="Normal 8 2 5" xfId="2304"/>
    <cellStyle name="Normal 8 2 5 2" xfId="6346"/>
    <cellStyle name="Normal 8 2 6" xfId="6073"/>
    <cellStyle name="Normal 8 2 7" xfId="11455"/>
    <cellStyle name="Normal 8 2 8" xfId="13053"/>
    <cellStyle name="Normal 8 3" xfId="2327"/>
    <cellStyle name="Normal 8 3 2" xfId="6096"/>
    <cellStyle name="Normal 8 3 3" xfId="11427"/>
    <cellStyle name="Normal 8 3 4" xfId="13076"/>
    <cellStyle name="Normal 8 4" xfId="2379"/>
    <cellStyle name="Normal 8 4 2" xfId="6147"/>
    <cellStyle name="Normal 8 4 3" xfId="13127"/>
    <cellStyle name="Normal 8 5" xfId="2435"/>
    <cellStyle name="Normal 8 5 2" xfId="6203"/>
    <cellStyle name="Normal 8 5 3" xfId="13183"/>
    <cellStyle name="Normal 8 6" xfId="2189"/>
    <cellStyle name="Normal 8 6 2" xfId="6254"/>
    <cellStyle name="Normal 8 7" xfId="6045"/>
    <cellStyle name="Normal 8 8" xfId="13025"/>
    <cellStyle name="Normal 9" xfId="131"/>
    <cellStyle name="Normal 9 2" xfId="513"/>
    <cellStyle name="Normal 9 2 2" xfId="2331"/>
    <cellStyle name="Normal 9 2 2 2" xfId="6347"/>
    <cellStyle name="Normal 9 2 3" xfId="6099"/>
    <cellStyle name="Normal 9 2 4" xfId="11430"/>
    <cellStyle name="Normal 9 2 5" xfId="13079"/>
    <cellStyle name="Normal 9 3" xfId="2382"/>
    <cellStyle name="Normal 9 3 2" xfId="6150"/>
    <cellStyle name="Normal 9 3 3" xfId="13130"/>
    <cellStyle name="Normal 9 4" xfId="2438"/>
    <cellStyle name="Normal 9 4 2" xfId="6206"/>
    <cellStyle name="Normal 9 4 3" xfId="13186"/>
    <cellStyle name="Normal 9 5" xfId="2193"/>
    <cellStyle name="Normal 9 5 2" xfId="6255"/>
    <cellStyle name="Normal 9 6" xfId="6048"/>
    <cellStyle name="Normal 9 7" xfId="13028"/>
    <cellStyle name="Normal_2009 LGS-TOD Rate Design" xfId="6"/>
    <cellStyle name="Normal_Off Peak Excess" xfId="186"/>
    <cellStyle name="Note 10" xfId="514"/>
    <cellStyle name="Note 11" xfId="515"/>
    <cellStyle name="Note 2" xfId="132"/>
    <cellStyle name="Note 2 2" xfId="133"/>
    <cellStyle name="Note 2 2 2" xfId="517"/>
    <cellStyle name="Note 2 2 2 2" xfId="2285"/>
    <cellStyle name="Note 2 2 2 2 2" xfId="6349"/>
    <cellStyle name="Note 2 3" xfId="516"/>
    <cellStyle name="Note 2 3 2" xfId="2237"/>
    <cellStyle name="Note 2 3 2 2" xfId="6348"/>
    <cellStyle name="Note 2_Allocators" xfId="518"/>
    <cellStyle name="Note 3" xfId="134"/>
    <cellStyle name="Note 3 2" xfId="135"/>
    <cellStyle name="Note 3 2 2" xfId="520"/>
    <cellStyle name="Note 3 2 2 2" xfId="2286"/>
    <cellStyle name="Note 3 2 2 2 2" xfId="6350"/>
    <cellStyle name="Note 3 3" xfId="521"/>
    <cellStyle name="Note 3 3 2" xfId="2238"/>
    <cellStyle name="Note 3 3 2 2" xfId="6351"/>
    <cellStyle name="Note 3 4" xfId="519"/>
    <cellStyle name="Note 3_Allocators" xfId="522"/>
    <cellStyle name="Note 4" xfId="136"/>
    <cellStyle name="Note 4 2" xfId="137"/>
    <cellStyle name="Note 4 2 2" xfId="524"/>
    <cellStyle name="Note 4 2 2 2" xfId="2287"/>
    <cellStyle name="Note 4 2 2 2 2" xfId="6353"/>
    <cellStyle name="Note 4 3" xfId="523"/>
    <cellStyle name="Note 4 3 2" xfId="2239"/>
    <cellStyle name="Note 4 3 2 2" xfId="6352"/>
    <cellStyle name="Note 4_Allocators" xfId="525"/>
    <cellStyle name="Note 5" xfId="138"/>
    <cellStyle name="Note 5 2" xfId="526"/>
    <cellStyle name="Note 5 2 2" xfId="2236"/>
    <cellStyle name="Note 5 2 2 2" xfId="6354"/>
    <cellStyle name="Note 5 3" xfId="5990"/>
    <cellStyle name="Note 6" xfId="139"/>
    <cellStyle name="Note 6 2" xfId="528"/>
    <cellStyle name="Note 6 2 2" xfId="2357"/>
    <cellStyle name="Note 6 2 2 2" xfId="6125"/>
    <cellStyle name="Note 6 2 2 3" xfId="11456"/>
    <cellStyle name="Note 6 2 2 4" xfId="13105"/>
    <cellStyle name="Note 6 2 3" xfId="2408"/>
    <cellStyle name="Note 6 2 3 2" xfId="6176"/>
    <cellStyle name="Note 6 2 3 3" xfId="13156"/>
    <cellStyle name="Note 6 2 4" xfId="2464"/>
    <cellStyle name="Note 6 2 4 2" xfId="6232"/>
    <cellStyle name="Note 6 2 4 3" xfId="13212"/>
    <cellStyle name="Note 6 2 5" xfId="2305"/>
    <cellStyle name="Note 6 2 5 2" xfId="6356"/>
    <cellStyle name="Note 6 2 6" xfId="6074"/>
    <cellStyle name="Note 6 2 7" xfId="13054"/>
    <cellStyle name="Note 6 3" xfId="527"/>
    <cellStyle name="Note 6 3 2" xfId="2328"/>
    <cellStyle name="Note 6 3 2 2" xfId="6355"/>
    <cellStyle name="Note 6 3 3" xfId="6097"/>
    <cellStyle name="Note 6 3 4" xfId="11428"/>
    <cellStyle name="Note 6 3 5" xfId="13077"/>
    <cellStyle name="Note 6 4" xfId="2380"/>
    <cellStyle name="Note 6 4 2" xfId="6148"/>
    <cellStyle name="Note 6 4 3" xfId="13128"/>
    <cellStyle name="Note 6 5" xfId="2436"/>
    <cellStyle name="Note 6 5 2" xfId="6204"/>
    <cellStyle name="Note 6 5 3" xfId="13184"/>
    <cellStyle name="Note 6 6" xfId="2190"/>
    <cellStyle name="Note 6 6 2" xfId="6256"/>
    <cellStyle name="Note 6 6 3" xfId="13225"/>
    <cellStyle name="Note 6 7" xfId="6046"/>
    <cellStyle name="Note 6 8" xfId="11479"/>
    <cellStyle name="Note 6 9" xfId="13026"/>
    <cellStyle name="Note 6_Allocators" xfId="529"/>
    <cellStyle name="Note 7" xfId="530"/>
    <cellStyle name="Note 7 2" xfId="531"/>
    <cellStyle name="Note 7 2 2" xfId="2332"/>
    <cellStyle name="Note 7 2 2 2" xfId="6358"/>
    <cellStyle name="Note 7 2 3" xfId="6100"/>
    <cellStyle name="Note 7 2 4" xfId="13080"/>
    <cellStyle name="Note 7 3" xfId="2383"/>
    <cellStyle name="Note 7 3 2" xfId="6151"/>
    <cellStyle name="Note 7 3 3" xfId="11431"/>
    <cellStyle name="Note 7 3 4" xfId="13131"/>
    <cellStyle name="Note 7 4" xfId="2439"/>
    <cellStyle name="Note 7 4 2" xfId="6207"/>
    <cellStyle name="Note 7 4 3" xfId="13187"/>
    <cellStyle name="Note 7 5" xfId="2194"/>
    <cellStyle name="Note 7 5 2" xfId="6357"/>
    <cellStyle name="Note 7 6" xfId="6049"/>
    <cellStyle name="Note 7 7" xfId="13029"/>
    <cellStyle name="Note 8" xfId="532"/>
    <cellStyle name="Note 8 2" xfId="2411"/>
    <cellStyle name="Note 8 2 2" xfId="6359"/>
    <cellStyle name="Note 8 3" xfId="6179"/>
    <cellStyle name="Note 8 4" xfId="13159"/>
    <cellStyle name="Note 9" xfId="533"/>
    <cellStyle name="nPlosion" xfId="534"/>
    <cellStyle name="nvision" xfId="535"/>
    <cellStyle name="Output" xfId="2144" builtinId="21" customBuiltin="1"/>
    <cellStyle name="Output 2" xfId="140"/>
    <cellStyle name="Output 3" xfId="536"/>
    <cellStyle name="Output 4" xfId="537"/>
    <cellStyle name="Output 5" xfId="538"/>
    <cellStyle name="Output 6" xfId="539"/>
    <cellStyle name="Output 7" xfId="5934"/>
    <cellStyle name="Percent" xfId="3" builtinId="5"/>
    <cellStyle name="Percent 10" xfId="540"/>
    <cellStyle name="Percent 11" xfId="541"/>
    <cellStyle name="Percent 12" xfId="542"/>
    <cellStyle name="Percent 13" xfId="543"/>
    <cellStyle name="Percent 13 10" xfId="4928"/>
    <cellStyle name="Percent 13 10 2" xfId="10399"/>
    <cellStyle name="Percent 13 11" xfId="5426"/>
    <cellStyle name="Percent 13 11 2" xfId="10901"/>
    <cellStyle name="Percent 13 12" xfId="2470"/>
    <cellStyle name="Percent 13 13" xfId="6360"/>
    <cellStyle name="Percent 13 14" xfId="7891"/>
    <cellStyle name="Percent 13 15" xfId="11501"/>
    <cellStyle name="Percent 13 16" xfId="13247"/>
    <cellStyle name="Percent 13 2" xfId="648"/>
    <cellStyle name="Percent 13 2 10" xfId="2490"/>
    <cellStyle name="Percent 13 2 11" xfId="6388"/>
    <cellStyle name="Percent 13 2 12" xfId="7913"/>
    <cellStyle name="Percent 13 2 13" xfId="11523"/>
    <cellStyle name="Percent 13 2 14" xfId="13269"/>
    <cellStyle name="Percent 13 2 2" xfId="744"/>
    <cellStyle name="Percent 13 2 2 10" xfId="6484"/>
    <cellStyle name="Percent 13 2 2 11" xfId="8008"/>
    <cellStyle name="Percent 13 2 2 12" xfId="11618"/>
    <cellStyle name="Percent 13 2 2 13" xfId="13364"/>
    <cellStyle name="Percent 13 2 2 2" xfId="868"/>
    <cellStyle name="Percent 13 2 2 2 10" xfId="8132"/>
    <cellStyle name="Percent 13 2 2 2 11" xfId="11742"/>
    <cellStyle name="Percent 13 2 2 2 12" xfId="13488"/>
    <cellStyle name="Percent 13 2 2 2 2" xfId="1116"/>
    <cellStyle name="Percent 13 2 2 2 2 10" xfId="11990"/>
    <cellStyle name="Percent 13 2 2 2 2 11" xfId="13736"/>
    <cellStyle name="Percent 13 2 2 2 2 2" xfId="1622"/>
    <cellStyle name="Percent 13 2 2 2 2 2 2" xfId="4437"/>
    <cellStyle name="Percent 13 2 2 2 2 2 2 2" xfId="9884"/>
    <cellStyle name="Percent 13 2 2 2 2 2 3" xfId="3427"/>
    <cellStyle name="Percent 13 2 2 2 2 2 4" xfId="7362"/>
    <cellStyle name="Percent 13 2 2 2 2 2 5" xfId="8876"/>
    <cellStyle name="Percent 13 2 2 2 2 2 6" xfId="12496"/>
    <cellStyle name="Percent 13 2 2 2 2 2 7" xfId="14242"/>
    <cellStyle name="Percent 13 2 2 2 2 3" xfId="2130"/>
    <cellStyle name="Percent 13 2 2 2 2 3 2" xfId="3943"/>
    <cellStyle name="Percent 13 2 2 2 2 3 3" xfId="7870"/>
    <cellStyle name="Percent 13 2 2 2 2 3 4" xfId="9388"/>
    <cellStyle name="Percent 13 2 2 2 2 3 5" xfId="13002"/>
    <cellStyle name="Percent 13 2 2 2 2 3 6" xfId="14748"/>
    <cellStyle name="Percent 13 2 2 2 2 4" xfId="4915"/>
    <cellStyle name="Percent 13 2 2 2 2 4 2" xfId="10386"/>
    <cellStyle name="Percent 13 2 2 2 2 5" xfId="5413"/>
    <cellStyle name="Percent 13 2 2 2 2 5 2" xfId="10888"/>
    <cellStyle name="Percent 13 2 2 2 2 6" xfId="5915"/>
    <cellStyle name="Percent 13 2 2 2 2 6 2" xfId="11390"/>
    <cellStyle name="Percent 13 2 2 2 2 7" xfId="2933"/>
    <cellStyle name="Percent 13 2 2 2 2 8" xfId="6856"/>
    <cellStyle name="Percent 13 2 2 2 2 9" xfId="8380"/>
    <cellStyle name="Percent 13 2 2 2 3" xfId="1374"/>
    <cellStyle name="Percent 13 2 2 2 3 2" xfId="4189"/>
    <cellStyle name="Percent 13 2 2 2 3 2 2" xfId="9636"/>
    <cellStyle name="Percent 13 2 2 2 3 3" xfId="3179"/>
    <cellStyle name="Percent 13 2 2 2 3 4" xfId="7114"/>
    <cellStyle name="Percent 13 2 2 2 3 5" xfId="8628"/>
    <cellStyle name="Percent 13 2 2 2 3 6" xfId="12248"/>
    <cellStyle name="Percent 13 2 2 2 3 7" xfId="13994"/>
    <cellStyle name="Percent 13 2 2 2 4" xfId="1882"/>
    <cellStyle name="Percent 13 2 2 2 4 2" xfId="3695"/>
    <cellStyle name="Percent 13 2 2 2 4 3" xfId="7622"/>
    <cellStyle name="Percent 13 2 2 2 4 4" xfId="9140"/>
    <cellStyle name="Percent 13 2 2 2 4 5" xfId="12754"/>
    <cellStyle name="Percent 13 2 2 2 4 6" xfId="14500"/>
    <cellStyle name="Percent 13 2 2 2 5" xfId="4675"/>
    <cellStyle name="Percent 13 2 2 2 5 2" xfId="10138"/>
    <cellStyle name="Percent 13 2 2 2 6" xfId="5165"/>
    <cellStyle name="Percent 13 2 2 2 6 2" xfId="10640"/>
    <cellStyle name="Percent 13 2 2 2 7" xfId="5667"/>
    <cellStyle name="Percent 13 2 2 2 7 2" xfId="11142"/>
    <cellStyle name="Percent 13 2 2 2 8" xfId="2691"/>
    <cellStyle name="Percent 13 2 2 2 9" xfId="6608"/>
    <cellStyle name="Percent 13 2 2 3" xfId="992"/>
    <cellStyle name="Percent 13 2 2 3 10" xfId="11866"/>
    <cellStyle name="Percent 13 2 2 3 11" xfId="13612"/>
    <cellStyle name="Percent 13 2 2 3 2" xfId="1498"/>
    <cellStyle name="Percent 13 2 2 3 2 2" xfId="4313"/>
    <cellStyle name="Percent 13 2 2 3 2 2 2" xfId="9760"/>
    <cellStyle name="Percent 13 2 2 3 2 3" xfId="3303"/>
    <cellStyle name="Percent 13 2 2 3 2 4" xfId="7238"/>
    <cellStyle name="Percent 13 2 2 3 2 5" xfId="8752"/>
    <cellStyle name="Percent 13 2 2 3 2 6" xfId="12372"/>
    <cellStyle name="Percent 13 2 2 3 2 7" xfId="14118"/>
    <cellStyle name="Percent 13 2 2 3 3" xfId="2006"/>
    <cellStyle name="Percent 13 2 2 3 3 2" xfId="3819"/>
    <cellStyle name="Percent 13 2 2 3 3 3" xfId="7746"/>
    <cellStyle name="Percent 13 2 2 3 3 4" xfId="9264"/>
    <cellStyle name="Percent 13 2 2 3 3 5" xfId="12878"/>
    <cellStyle name="Percent 13 2 2 3 3 6" xfId="14624"/>
    <cellStyle name="Percent 13 2 2 3 4" xfId="4791"/>
    <cellStyle name="Percent 13 2 2 3 4 2" xfId="10262"/>
    <cellStyle name="Percent 13 2 2 3 5" xfId="5289"/>
    <cellStyle name="Percent 13 2 2 3 5 2" xfId="10764"/>
    <cellStyle name="Percent 13 2 2 3 6" xfId="5791"/>
    <cellStyle name="Percent 13 2 2 3 6 2" xfId="11266"/>
    <cellStyle name="Percent 13 2 2 3 7" xfId="2809"/>
    <cellStyle name="Percent 13 2 2 3 8" xfId="6732"/>
    <cellStyle name="Percent 13 2 2 3 9" xfId="8256"/>
    <cellStyle name="Percent 13 2 2 4" xfId="1250"/>
    <cellStyle name="Percent 13 2 2 4 2" xfId="4065"/>
    <cellStyle name="Percent 13 2 2 4 2 2" xfId="9512"/>
    <cellStyle name="Percent 13 2 2 4 3" xfId="3055"/>
    <cellStyle name="Percent 13 2 2 4 4" xfId="6990"/>
    <cellStyle name="Percent 13 2 2 4 5" xfId="8504"/>
    <cellStyle name="Percent 13 2 2 4 6" xfId="12124"/>
    <cellStyle name="Percent 13 2 2 4 7" xfId="13870"/>
    <cellStyle name="Percent 13 2 2 5" xfId="1758"/>
    <cellStyle name="Percent 13 2 2 5 2" xfId="3571"/>
    <cellStyle name="Percent 13 2 2 5 3" xfId="7498"/>
    <cellStyle name="Percent 13 2 2 5 4" xfId="9016"/>
    <cellStyle name="Percent 13 2 2 5 5" xfId="12630"/>
    <cellStyle name="Percent 13 2 2 5 6" xfId="14376"/>
    <cellStyle name="Percent 13 2 2 6" xfId="4559"/>
    <cellStyle name="Percent 13 2 2 6 2" xfId="10014"/>
    <cellStyle name="Percent 13 2 2 7" xfId="5041"/>
    <cellStyle name="Percent 13 2 2 7 2" xfId="10516"/>
    <cellStyle name="Percent 13 2 2 8" xfId="5543"/>
    <cellStyle name="Percent 13 2 2 8 2" xfId="11018"/>
    <cellStyle name="Percent 13 2 2 9" xfId="2575"/>
    <cellStyle name="Percent 13 2 3" xfId="773"/>
    <cellStyle name="Percent 13 2 3 10" xfId="8037"/>
    <cellStyle name="Percent 13 2 3 11" xfId="11647"/>
    <cellStyle name="Percent 13 2 3 12" xfId="13393"/>
    <cellStyle name="Percent 13 2 3 2" xfId="1021"/>
    <cellStyle name="Percent 13 2 3 2 10" xfId="11895"/>
    <cellStyle name="Percent 13 2 3 2 11" xfId="13641"/>
    <cellStyle name="Percent 13 2 3 2 2" xfId="1527"/>
    <cellStyle name="Percent 13 2 3 2 2 2" xfId="4342"/>
    <cellStyle name="Percent 13 2 3 2 2 2 2" xfId="9789"/>
    <cellStyle name="Percent 13 2 3 2 2 3" xfId="3332"/>
    <cellStyle name="Percent 13 2 3 2 2 4" xfId="7267"/>
    <cellStyle name="Percent 13 2 3 2 2 5" xfId="8781"/>
    <cellStyle name="Percent 13 2 3 2 2 6" xfId="12401"/>
    <cellStyle name="Percent 13 2 3 2 2 7" xfId="14147"/>
    <cellStyle name="Percent 13 2 3 2 3" xfId="2035"/>
    <cellStyle name="Percent 13 2 3 2 3 2" xfId="3848"/>
    <cellStyle name="Percent 13 2 3 2 3 3" xfId="7775"/>
    <cellStyle name="Percent 13 2 3 2 3 4" xfId="9293"/>
    <cellStyle name="Percent 13 2 3 2 3 5" xfId="12907"/>
    <cellStyle name="Percent 13 2 3 2 3 6" xfId="14653"/>
    <cellStyle name="Percent 13 2 3 2 4" xfId="4820"/>
    <cellStyle name="Percent 13 2 3 2 4 2" xfId="10291"/>
    <cellStyle name="Percent 13 2 3 2 5" xfId="5318"/>
    <cellStyle name="Percent 13 2 3 2 5 2" xfId="10793"/>
    <cellStyle name="Percent 13 2 3 2 6" xfId="5820"/>
    <cellStyle name="Percent 13 2 3 2 6 2" xfId="11295"/>
    <cellStyle name="Percent 13 2 3 2 7" xfId="2838"/>
    <cellStyle name="Percent 13 2 3 2 8" xfId="6761"/>
    <cellStyle name="Percent 13 2 3 2 9" xfId="8285"/>
    <cellStyle name="Percent 13 2 3 3" xfId="1279"/>
    <cellStyle name="Percent 13 2 3 3 2" xfId="4094"/>
    <cellStyle name="Percent 13 2 3 3 2 2" xfId="9541"/>
    <cellStyle name="Percent 13 2 3 3 3" xfId="3084"/>
    <cellStyle name="Percent 13 2 3 3 4" xfId="7019"/>
    <cellStyle name="Percent 13 2 3 3 5" xfId="8533"/>
    <cellStyle name="Percent 13 2 3 3 6" xfId="12153"/>
    <cellStyle name="Percent 13 2 3 3 7" xfId="13899"/>
    <cellStyle name="Percent 13 2 3 4" xfId="1787"/>
    <cellStyle name="Percent 13 2 3 4 2" xfId="3600"/>
    <cellStyle name="Percent 13 2 3 4 3" xfId="7527"/>
    <cellStyle name="Percent 13 2 3 4 4" xfId="9045"/>
    <cellStyle name="Percent 13 2 3 4 5" xfId="12659"/>
    <cellStyle name="Percent 13 2 3 4 6" xfId="14405"/>
    <cellStyle name="Percent 13 2 3 5" xfId="4586"/>
    <cellStyle name="Percent 13 2 3 5 2" xfId="10043"/>
    <cellStyle name="Percent 13 2 3 6" xfId="5070"/>
    <cellStyle name="Percent 13 2 3 6 2" xfId="10545"/>
    <cellStyle name="Percent 13 2 3 7" xfId="5572"/>
    <cellStyle name="Percent 13 2 3 7 2" xfId="11047"/>
    <cellStyle name="Percent 13 2 3 8" xfId="2602"/>
    <cellStyle name="Percent 13 2 3 9" xfId="6513"/>
    <cellStyle name="Percent 13 2 4" xfId="897"/>
    <cellStyle name="Percent 13 2 4 10" xfId="11771"/>
    <cellStyle name="Percent 13 2 4 11" xfId="13517"/>
    <cellStyle name="Percent 13 2 4 2" xfId="1403"/>
    <cellStyle name="Percent 13 2 4 2 2" xfId="4218"/>
    <cellStyle name="Percent 13 2 4 2 2 2" xfId="9665"/>
    <cellStyle name="Percent 13 2 4 2 3" xfId="3208"/>
    <cellStyle name="Percent 13 2 4 2 4" xfId="7143"/>
    <cellStyle name="Percent 13 2 4 2 5" xfId="8657"/>
    <cellStyle name="Percent 13 2 4 2 6" xfId="12277"/>
    <cellStyle name="Percent 13 2 4 2 7" xfId="14023"/>
    <cellStyle name="Percent 13 2 4 3" xfId="1911"/>
    <cellStyle name="Percent 13 2 4 3 2" xfId="3724"/>
    <cellStyle name="Percent 13 2 4 3 3" xfId="7651"/>
    <cellStyle name="Percent 13 2 4 3 4" xfId="9169"/>
    <cellStyle name="Percent 13 2 4 3 5" xfId="12783"/>
    <cellStyle name="Percent 13 2 4 3 6" xfId="14529"/>
    <cellStyle name="Percent 13 2 4 4" xfId="4702"/>
    <cellStyle name="Percent 13 2 4 4 2" xfId="10167"/>
    <cellStyle name="Percent 13 2 4 5" xfId="5194"/>
    <cellStyle name="Percent 13 2 4 5 2" xfId="10669"/>
    <cellStyle name="Percent 13 2 4 6" xfId="5696"/>
    <cellStyle name="Percent 13 2 4 6 2" xfId="11171"/>
    <cellStyle name="Percent 13 2 4 7" xfId="2720"/>
    <cellStyle name="Percent 13 2 4 8" xfId="6637"/>
    <cellStyle name="Percent 13 2 4 9" xfId="8161"/>
    <cellStyle name="Percent 13 2 5" xfId="1155"/>
    <cellStyle name="Percent 13 2 5 2" xfId="3972"/>
    <cellStyle name="Percent 13 2 5 2 2" xfId="9417"/>
    <cellStyle name="Percent 13 2 5 3" xfId="2962"/>
    <cellStyle name="Percent 13 2 5 4" xfId="6895"/>
    <cellStyle name="Percent 13 2 5 5" xfId="8409"/>
    <cellStyle name="Percent 13 2 5 6" xfId="12029"/>
    <cellStyle name="Percent 13 2 5 7" xfId="13775"/>
    <cellStyle name="Percent 13 2 6" xfId="1663"/>
    <cellStyle name="Percent 13 2 6 2" xfId="3476"/>
    <cellStyle name="Percent 13 2 6 3" xfId="7403"/>
    <cellStyle name="Percent 13 2 6 4" xfId="8921"/>
    <cellStyle name="Percent 13 2 6 5" xfId="12535"/>
    <cellStyle name="Percent 13 2 6 6" xfId="14281"/>
    <cellStyle name="Percent 13 2 7" xfId="4472"/>
    <cellStyle name="Percent 13 2 7 2" xfId="9919"/>
    <cellStyle name="Percent 13 2 8" xfId="4948"/>
    <cellStyle name="Percent 13 2 8 2" xfId="10421"/>
    <cellStyle name="Percent 13 2 9" xfId="5448"/>
    <cellStyle name="Percent 13 2 9 2" xfId="10923"/>
    <cellStyle name="Percent 13 3" xfId="669"/>
    <cellStyle name="Percent 13 3 10" xfId="2508"/>
    <cellStyle name="Percent 13 3 11" xfId="6409"/>
    <cellStyle name="Percent 13 3 12" xfId="7933"/>
    <cellStyle name="Percent 13 3 13" xfId="11543"/>
    <cellStyle name="Percent 13 3 14" xfId="13289"/>
    <cellStyle name="Percent 13 3 2" xfId="745"/>
    <cellStyle name="Percent 13 3 2 10" xfId="6485"/>
    <cellStyle name="Percent 13 3 2 11" xfId="8009"/>
    <cellStyle name="Percent 13 3 2 12" xfId="11619"/>
    <cellStyle name="Percent 13 3 2 13" xfId="13365"/>
    <cellStyle name="Percent 13 3 2 2" xfId="869"/>
    <cellStyle name="Percent 13 3 2 2 10" xfId="8133"/>
    <cellStyle name="Percent 13 3 2 2 11" xfId="11743"/>
    <cellStyle name="Percent 13 3 2 2 12" xfId="13489"/>
    <cellStyle name="Percent 13 3 2 2 2" xfId="1117"/>
    <cellStyle name="Percent 13 3 2 2 2 10" xfId="11991"/>
    <cellStyle name="Percent 13 3 2 2 2 11" xfId="13737"/>
    <cellStyle name="Percent 13 3 2 2 2 2" xfId="1623"/>
    <cellStyle name="Percent 13 3 2 2 2 2 2" xfId="4438"/>
    <cellStyle name="Percent 13 3 2 2 2 2 2 2" xfId="9885"/>
    <cellStyle name="Percent 13 3 2 2 2 2 3" xfId="3428"/>
    <cellStyle name="Percent 13 3 2 2 2 2 4" xfId="7363"/>
    <cellStyle name="Percent 13 3 2 2 2 2 5" xfId="8877"/>
    <cellStyle name="Percent 13 3 2 2 2 2 6" xfId="12497"/>
    <cellStyle name="Percent 13 3 2 2 2 2 7" xfId="14243"/>
    <cellStyle name="Percent 13 3 2 2 2 3" xfId="2131"/>
    <cellStyle name="Percent 13 3 2 2 2 3 2" xfId="3944"/>
    <cellStyle name="Percent 13 3 2 2 2 3 3" xfId="7871"/>
    <cellStyle name="Percent 13 3 2 2 2 3 4" xfId="9389"/>
    <cellStyle name="Percent 13 3 2 2 2 3 5" xfId="13003"/>
    <cellStyle name="Percent 13 3 2 2 2 3 6" xfId="14749"/>
    <cellStyle name="Percent 13 3 2 2 2 4" xfId="4916"/>
    <cellStyle name="Percent 13 3 2 2 2 4 2" xfId="10387"/>
    <cellStyle name="Percent 13 3 2 2 2 5" xfId="5414"/>
    <cellStyle name="Percent 13 3 2 2 2 5 2" xfId="10889"/>
    <cellStyle name="Percent 13 3 2 2 2 6" xfId="5916"/>
    <cellStyle name="Percent 13 3 2 2 2 6 2" xfId="11391"/>
    <cellStyle name="Percent 13 3 2 2 2 7" xfId="2934"/>
    <cellStyle name="Percent 13 3 2 2 2 8" xfId="6857"/>
    <cellStyle name="Percent 13 3 2 2 2 9" xfId="8381"/>
    <cellStyle name="Percent 13 3 2 2 3" xfId="1375"/>
    <cellStyle name="Percent 13 3 2 2 3 2" xfId="4190"/>
    <cellStyle name="Percent 13 3 2 2 3 2 2" xfId="9637"/>
    <cellStyle name="Percent 13 3 2 2 3 3" xfId="3180"/>
    <cellStyle name="Percent 13 3 2 2 3 4" xfId="7115"/>
    <cellStyle name="Percent 13 3 2 2 3 5" xfId="8629"/>
    <cellStyle name="Percent 13 3 2 2 3 6" xfId="12249"/>
    <cellStyle name="Percent 13 3 2 2 3 7" xfId="13995"/>
    <cellStyle name="Percent 13 3 2 2 4" xfId="1883"/>
    <cellStyle name="Percent 13 3 2 2 4 2" xfId="3696"/>
    <cellStyle name="Percent 13 3 2 2 4 3" xfId="7623"/>
    <cellStyle name="Percent 13 3 2 2 4 4" xfId="9141"/>
    <cellStyle name="Percent 13 3 2 2 4 5" xfId="12755"/>
    <cellStyle name="Percent 13 3 2 2 4 6" xfId="14501"/>
    <cellStyle name="Percent 13 3 2 2 5" xfId="4676"/>
    <cellStyle name="Percent 13 3 2 2 5 2" xfId="10139"/>
    <cellStyle name="Percent 13 3 2 2 6" xfId="5166"/>
    <cellStyle name="Percent 13 3 2 2 6 2" xfId="10641"/>
    <cellStyle name="Percent 13 3 2 2 7" xfId="5668"/>
    <cellStyle name="Percent 13 3 2 2 7 2" xfId="11143"/>
    <cellStyle name="Percent 13 3 2 2 8" xfId="2692"/>
    <cellStyle name="Percent 13 3 2 2 9" xfId="6609"/>
    <cellStyle name="Percent 13 3 2 3" xfId="993"/>
    <cellStyle name="Percent 13 3 2 3 10" xfId="11867"/>
    <cellStyle name="Percent 13 3 2 3 11" xfId="13613"/>
    <cellStyle name="Percent 13 3 2 3 2" xfId="1499"/>
    <cellStyle name="Percent 13 3 2 3 2 2" xfId="4314"/>
    <cellStyle name="Percent 13 3 2 3 2 2 2" xfId="9761"/>
    <cellStyle name="Percent 13 3 2 3 2 3" xfId="3304"/>
    <cellStyle name="Percent 13 3 2 3 2 4" xfId="7239"/>
    <cellStyle name="Percent 13 3 2 3 2 5" xfId="8753"/>
    <cellStyle name="Percent 13 3 2 3 2 6" xfId="12373"/>
    <cellStyle name="Percent 13 3 2 3 2 7" xfId="14119"/>
    <cellStyle name="Percent 13 3 2 3 3" xfId="2007"/>
    <cellStyle name="Percent 13 3 2 3 3 2" xfId="3820"/>
    <cellStyle name="Percent 13 3 2 3 3 3" xfId="7747"/>
    <cellStyle name="Percent 13 3 2 3 3 4" xfId="9265"/>
    <cellStyle name="Percent 13 3 2 3 3 5" xfId="12879"/>
    <cellStyle name="Percent 13 3 2 3 3 6" xfId="14625"/>
    <cellStyle name="Percent 13 3 2 3 4" xfId="4792"/>
    <cellStyle name="Percent 13 3 2 3 4 2" xfId="10263"/>
    <cellStyle name="Percent 13 3 2 3 5" xfId="5290"/>
    <cellStyle name="Percent 13 3 2 3 5 2" xfId="10765"/>
    <cellStyle name="Percent 13 3 2 3 6" xfId="5792"/>
    <cellStyle name="Percent 13 3 2 3 6 2" xfId="11267"/>
    <cellStyle name="Percent 13 3 2 3 7" xfId="2810"/>
    <cellStyle name="Percent 13 3 2 3 8" xfId="6733"/>
    <cellStyle name="Percent 13 3 2 3 9" xfId="8257"/>
    <cellStyle name="Percent 13 3 2 4" xfId="1251"/>
    <cellStyle name="Percent 13 3 2 4 2" xfId="4066"/>
    <cellStyle name="Percent 13 3 2 4 2 2" xfId="9513"/>
    <cellStyle name="Percent 13 3 2 4 3" xfId="3056"/>
    <cellStyle name="Percent 13 3 2 4 4" xfId="6991"/>
    <cellStyle name="Percent 13 3 2 4 5" xfId="8505"/>
    <cellStyle name="Percent 13 3 2 4 6" xfId="12125"/>
    <cellStyle name="Percent 13 3 2 4 7" xfId="13871"/>
    <cellStyle name="Percent 13 3 2 5" xfId="1759"/>
    <cellStyle name="Percent 13 3 2 5 2" xfId="3572"/>
    <cellStyle name="Percent 13 3 2 5 3" xfId="7499"/>
    <cellStyle name="Percent 13 3 2 5 4" xfId="9017"/>
    <cellStyle name="Percent 13 3 2 5 5" xfId="12631"/>
    <cellStyle name="Percent 13 3 2 5 6" xfId="14377"/>
    <cellStyle name="Percent 13 3 2 6" xfId="4560"/>
    <cellStyle name="Percent 13 3 2 6 2" xfId="10015"/>
    <cellStyle name="Percent 13 3 2 7" xfId="5042"/>
    <cellStyle name="Percent 13 3 2 7 2" xfId="10517"/>
    <cellStyle name="Percent 13 3 2 8" xfId="5544"/>
    <cellStyle name="Percent 13 3 2 8 2" xfId="11019"/>
    <cellStyle name="Percent 13 3 2 9" xfId="2576"/>
    <cellStyle name="Percent 13 3 3" xfId="793"/>
    <cellStyle name="Percent 13 3 3 10" xfId="8057"/>
    <cellStyle name="Percent 13 3 3 11" xfId="11667"/>
    <cellStyle name="Percent 13 3 3 12" xfId="13413"/>
    <cellStyle name="Percent 13 3 3 2" xfId="1041"/>
    <cellStyle name="Percent 13 3 3 2 10" xfId="11915"/>
    <cellStyle name="Percent 13 3 3 2 11" xfId="13661"/>
    <cellStyle name="Percent 13 3 3 2 2" xfId="1547"/>
    <cellStyle name="Percent 13 3 3 2 2 2" xfId="4362"/>
    <cellStyle name="Percent 13 3 3 2 2 2 2" xfId="9809"/>
    <cellStyle name="Percent 13 3 3 2 2 3" xfId="3352"/>
    <cellStyle name="Percent 13 3 3 2 2 4" xfId="7287"/>
    <cellStyle name="Percent 13 3 3 2 2 5" xfId="8801"/>
    <cellStyle name="Percent 13 3 3 2 2 6" xfId="12421"/>
    <cellStyle name="Percent 13 3 3 2 2 7" xfId="14167"/>
    <cellStyle name="Percent 13 3 3 2 3" xfId="2055"/>
    <cellStyle name="Percent 13 3 3 2 3 2" xfId="3868"/>
    <cellStyle name="Percent 13 3 3 2 3 3" xfId="7795"/>
    <cellStyle name="Percent 13 3 3 2 3 4" xfId="9313"/>
    <cellStyle name="Percent 13 3 3 2 3 5" xfId="12927"/>
    <cellStyle name="Percent 13 3 3 2 3 6" xfId="14673"/>
    <cellStyle name="Percent 13 3 3 2 4" xfId="4840"/>
    <cellStyle name="Percent 13 3 3 2 4 2" xfId="10311"/>
    <cellStyle name="Percent 13 3 3 2 5" xfId="5338"/>
    <cellStyle name="Percent 13 3 3 2 5 2" xfId="10813"/>
    <cellStyle name="Percent 13 3 3 2 6" xfId="5840"/>
    <cellStyle name="Percent 13 3 3 2 6 2" xfId="11315"/>
    <cellStyle name="Percent 13 3 3 2 7" xfId="2858"/>
    <cellStyle name="Percent 13 3 3 2 8" xfId="6781"/>
    <cellStyle name="Percent 13 3 3 2 9" xfId="8305"/>
    <cellStyle name="Percent 13 3 3 3" xfId="1299"/>
    <cellStyle name="Percent 13 3 3 3 2" xfId="4114"/>
    <cellStyle name="Percent 13 3 3 3 2 2" xfId="9561"/>
    <cellStyle name="Percent 13 3 3 3 3" xfId="3104"/>
    <cellStyle name="Percent 13 3 3 3 4" xfId="7039"/>
    <cellStyle name="Percent 13 3 3 3 5" xfId="8553"/>
    <cellStyle name="Percent 13 3 3 3 6" xfId="12173"/>
    <cellStyle name="Percent 13 3 3 3 7" xfId="13919"/>
    <cellStyle name="Percent 13 3 3 4" xfId="1807"/>
    <cellStyle name="Percent 13 3 3 4 2" xfId="3620"/>
    <cellStyle name="Percent 13 3 3 4 3" xfId="7547"/>
    <cellStyle name="Percent 13 3 3 4 4" xfId="9065"/>
    <cellStyle name="Percent 13 3 3 4 5" xfId="12679"/>
    <cellStyle name="Percent 13 3 3 4 6" xfId="14425"/>
    <cellStyle name="Percent 13 3 3 5" xfId="4604"/>
    <cellStyle name="Percent 13 3 3 5 2" xfId="10063"/>
    <cellStyle name="Percent 13 3 3 6" xfId="5090"/>
    <cellStyle name="Percent 13 3 3 6 2" xfId="10565"/>
    <cellStyle name="Percent 13 3 3 7" xfId="5592"/>
    <cellStyle name="Percent 13 3 3 7 2" xfId="11067"/>
    <cellStyle name="Percent 13 3 3 8" xfId="2620"/>
    <cellStyle name="Percent 13 3 3 9" xfId="6533"/>
    <cellStyle name="Percent 13 3 4" xfId="917"/>
    <cellStyle name="Percent 13 3 4 10" xfId="11791"/>
    <cellStyle name="Percent 13 3 4 11" xfId="13537"/>
    <cellStyle name="Percent 13 3 4 2" xfId="1423"/>
    <cellStyle name="Percent 13 3 4 2 2" xfId="4238"/>
    <cellStyle name="Percent 13 3 4 2 2 2" xfId="9685"/>
    <cellStyle name="Percent 13 3 4 2 3" xfId="3228"/>
    <cellStyle name="Percent 13 3 4 2 4" xfId="7163"/>
    <cellStyle name="Percent 13 3 4 2 5" xfId="8677"/>
    <cellStyle name="Percent 13 3 4 2 6" xfId="12297"/>
    <cellStyle name="Percent 13 3 4 2 7" xfId="14043"/>
    <cellStyle name="Percent 13 3 4 3" xfId="1931"/>
    <cellStyle name="Percent 13 3 4 3 2" xfId="3744"/>
    <cellStyle name="Percent 13 3 4 3 3" xfId="7671"/>
    <cellStyle name="Percent 13 3 4 3 4" xfId="9189"/>
    <cellStyle name="Percent 13 3 4 3 5" xfId="12803"/>
    <cellStyle name="Percent 13 3 4 3 6" xfId="14549"/>
    <cellStyle name="Percent 13 3 4 4" xfId="4720"/>
    <cellStyle name="Percent 13 3 4 4 2" xfId="10187"/>
    <cellStyle name="Percent 13 3 4 5" xfId="5214"/>
    <cellStyle name="Percent 13 3 4 5 2" xfId="10689"/>
    <cellStyle name="Percent 13 3 4 6" xfId="5716"/>
    <cellStyle name="Percent 13 3 4 6 2" xfId="11191"/>
    <cellStyle name="Percent 13 3 4 7" xfId="2738"/>
    <cellStyle name="Percent 13 3 4 8" xfId="6657"/>
    <cellStyle name="Percent 13 3 4 9" xfId="8181"/>
    <cellStyle name="Percent 13 3 5" xfId="1175"/>
    <cellStyle name="Percent 13 3 5 2" xfId="3992"/>
    <cellStyle name="Percent 13 3 5 2 2" xfId="9437"/>
    <cellStyle name="Percent 13 3 5 3" xfId="2982"/>
    <cellStyle name="Percent 13 3 5 4" xfId="6915"/>
    <cellStyle name="Percent 13 3 5 5" xfId="8429"/>
    <cellStyle name="Percent 13 3 5 6" xfId="12049"/>
    <cellStyle name="Percent 13 3 5 7" xfId="13795"/>
    <cellStyle name="Percent 13 3 6" xfId="1683"/>
    <cellStyle name="Percent 13 3 6 2" xfId="3496"/>
    <cellStyle name="Percent 13 3 6 3" xfId="7423"/>
    <cellStyle name="Percent 13 3 6 4" xfId="8941"/>
    <cellStyle name="Percent 13 3 6 5" xfId="12555"/>
    <cellStyle name="Percent 13 3 6 6" xfId="14301"/>
    <cellStyle name="Percent 13 3 7" xfId="4492"/>
    <cellStyle name="Percent 13 3 7 2" xfId="9939"/>
    <cellStyle name="Percent 13 3 8" xfId="4966"/>
    <cellStyle name="Percent 13 3 8 2" xfId="10441"/>
    <cellStyle name="Percent 13 3 9" xfId="5468"/>
    <cellStyle name="Percent 13 3 9 2" xfId="10943"/>
    <cellStyle name="Percent 13 4" xfId="743"/>
    <cellStyle name="Percent 13 4 10" xfId="6483"/>
    <cellStyle name="Percent 13 4 11" xfId="8007"/>
    <cellStyle name="Percent 13 4 12" xfId="11617"/>
    <cellStyle name="Percent 13 4 13" xfId="13363"/>
    <cellStyle name="Percent 13 4 2" xfId="867"/>
    <cellStyle name="Percent 13 4 2 10" xfId="8131"/>
    <cellStyle name="Percent 13 4 2 11" xfId="11741"/>
    <cellStyle name="Percent 13 4 2 12" xfId="13487"/>
    <cellStyle name="Percent 13 4 2 2" xfId="1115"/>
    <cellStyle name="Percent 13 4 2 2 10" xfId="11989"/>
    <cellStyle name="Percent 13 4 2 2 11" xfId="13735"/>
    <cellStyle name="Percent 13 4 2 2 2" xfId="1621"/>
    <cellStyle name="Percent 13 4 2 2 2 2" xfId="4436"/>
    <cellStyle name="Percent 13 4 2 2 2 2 2" xfId="9883"/>
    <cellStyle name="Percent 13 4 2 2 2 3" xfId="3426"/>
    <cellStyle name="Percent 13 4 2 2 2 4" xfId="7361"/>
    <cellStyle name="Percent 13 4 2 2 2 5" xfId="8875"/>
    <cellStyle name="Percent 13 4 2 2 2 6" xfId="12495"/>
    <cellStyle name="Percent 13 4 2 2 2 7" xfId="14241"/>
    <cellStyle name="Percent 13 4 2 2 3" xfId="2129"/>
    <cellStyle name="Percent 13 4 2 2 3 2" xfId="3942"/>
    <cellStyle name="Percent 13 4 2 2 3 3" xfId="7869"/>
    <cellStyle name="Percent 13 4 2 2 3 4" xfId="9387"/>
    <cellStyle name="Percent 13 4 2 2 3 5" xfId="13001"/>
    <cellStyle name="Percent 13 4 2 2 3 6" xfId="14747"/>
    <cellStyle name="Percent 13 4 2 2 4" xfId="4914"/>
    <cellStyle name="Percent 13 4 2 2 4 2" xfId="10385"/>
    <cellStyle name="Percent 13 4 2 2 5" xfId="5412"/>
    <cellStyle name="Percent 13 4 2 2 5 2" xfId="10887"/>
    <cellStyle name="Percent 13 4 2 2 6" xfId="5914"/>
    <cellStyle name="Percent 13 4 2 2 6 2" xfId="11389"/>
    <cellStyle name="Percent 13 4 2 2 7" xfId="2932"/>
    <cellStyle name="Percent 13 4 2 2 8" xfId="6855"/>
    <cellStyle name="Percent 13 4 2 2 9" xfId="8379"/>
    <cellStyle name="Percent 13 4 2 3" xfId="1373"/>
    <cellStyle name="Percent 13 4 2 3 2" xfId="4188"/>
    <cellStyle name="Percent 13 4 2 3 2 2" xfId="9635"/>
    <cellStyle name="Percent 13 4 2 3 3" xfId="3178"/>
    <cellStyle name="Percent 13 4 2 3 4" xfId="7113"/>
    <cellStyle name="Percent 13 4 2 3 5" xfId="8627"/>
    <cellStyle name="Percent 13 4 2 3 6" xfId="12247"/>
    <cellStyle name="Percent 13 4 2 3 7" xfId="13993"/>
    <cellStyle name="Percent 13 4 2 4" xfId="1881"/>
    <cellStyle name="Percent 13 4 2 4 2" xfId="3694"/>
    <cellStyle name="Percent 13 4 2 4 3" xfId="7621"/>
    <cellStyle name="Percent 13 4 2 4 4" xfId="9139"/>
    <cellStyle name="Percent 13 4 2 4 5" xfId="12753"/>
    <cellStyle name="Percent 13 4 2 4 6" xfId="14499"/>
    <cellStyle name="Percent 13 4 2 5" xfId="4674"/>
    <cellStyle name="Percent 13 4 2 5 2" xfId="10137"/>
    <cellStyle name="Percent 13 4 2 6" xfId="5164"/>
    <cellStyle name="Percent 13 4 2 6 2" xfId="10639"/>
    <cellStyle name="Percent 13 4 2 7" xfId="5666"/>
    <cellStyle name="Percent 13 4 2 7 2" xfId="11141"/>
    <cellStyle name="Percent 13 4 2 8" xfId="2690"/>
    <cellStyle name="Percent 13 4 2 9" xfId="6607"/>
    <cellStyle name="Percent 13 4 3" xfId="991"/>
    <cellStyle name="Percent 13 4 3 10" xfId="11865"/>
    <cellStyle name="Percent 13 4 3 11" xfId="13611"/>
    <cellStyle name="Percent 13 4 3 2" xfId="1497"/>
    <cellStyle name="Percent 13 4 3 2 2" xfId="4312"/>
    <cellStyle name="Percent 13 4 3 2 2 2" xfId="9759"/>
    <cellStyle name="Percent 13 4 3 2 3" xfId="3302"/>
    <cellStyle name="Percent 13 4 3 2 4" xfId="7237"/>
    <cellStyle name="Percent 13 4 3 2 5" xfId="8751"/>
    <cellStyle name="Percent 13 4 3 2 6" xfId="12371"/>
    <cellStyle name="Percent 13 4 3 2 7" xfId="14117"/>
    <cellStyle name="Percent 13 4 3 3" xfId="2005"/>
    <cellStyle name="Percent 13 4 3 3 2" xfId="3818"/>
    <cellStyle name="Percent 13 4 3 3 3" xfId="7745"/>
    <cellStyle name="Percent 13 4 3 3 4" xfId="9263"/>
    <cellStyle name="Percent 13 4 3 3 5" xfId="12877"/>
    <cellStyle name="Percent 13 4 3 3 6" xfId="14623"/>
    <cellStyle name="Percent 13 4 3 4" xfId="4790"/>
    <cellStyle name="Percent 13 4 3 4 2" xfId="10261"/>
    <cellStyle name="Percent 13 4 3 5" xfId="5288"/>
    <cellStyle name="Percent 13 4 3 5 2" xfId="10763"/>
    <cellStyle name="Percent 13 4 3 6" xfId="5790"/>
    <cellStyle name="Percent 13 4 3 6 2" xfId="11265"/>
    <cellStyle name="Percent 13 4 3 7" xfId="2808"/>
    <cellStyle name="Percent 13 4 3 8" xfId="6731"/>
    <cellStyle name="Percent 13 4 3 9" xfId="8255"/>
    <cellStyle name="Percent 13 4 4" xfId="1249"/>
    <cellStyle name="Percent 13 4 4 2" xfId="4064"/>
    <cellStyle name="Percent 13 4 4 2 2" xfId="9511"/>
    <cellStyle name="Percent 13 4 4 3" xfId="3054"/>
    <cellStyle name="Percent 13 4 4 4" xfId="6989"/>
    <cellStyle name="Percent 13 4 4 5" xfId="8503"/>
    <cellStyle name="Percent 13 4 4 6" xfId="12123"/>
    <cellStyle name="Percent 13 4 4 7" xfId="13869"/>
    <cellStyle name="Percent 13 4 5" xfId="1757"/>
    <cellStyle name="Percent 13 4 5 2" xfId="3570"/>
    <cellStyle name="Percent 13 4 5 3" xfId="7497"/>
    <cellStyle name="Percent 13 4 5 4" xfId="9015"/>
    <cellStyle name="Percent 13 4 5 5" xfId="12629"/>
    <cellStyle name="Percent 13 4 5 6" xfId="14375"/>
    <cellStyle name="Percent 13 4 6" xfId="4558"/>
    <cellStyle name="Percent 13 4 6 2" xfId="10013"/>
    <cellStyle name="Percent 13 4 7" xfId="5040"/>
    <cellStyle name="Percent 13 4 7 2" xfId="10515"/>
    <cellStyle name="Percent 13 4 8" xfId="5542"/>
    <cellStyle name="Percent 13 4 8 2" xfId="11017"/>
    <cellStyle name="Percent 13 4 9" xfId="2574"/>
    <cellStyle name="Percent 13 5" xfId="751"/>
    <cellStyle name="Percent 13 5 10" xfId="8015"/>
    <cellStyle name="Percent 13 5 11" xfId="11625"/>
    <cellStyle name="Percent 13 5 12" xfId="13371"/>
    <cellStyle name="Percent 13 5 2" xfId="999"/>
    <cellStyle name="Percent 13 5 2 10" xfId="11873"/>
    <cellStyle name="Percent 13 5 2 11" xfId="13619"/>
    <cellStyle name="Percent 13 5 2 2" xfId="1505"/>
    <cellStyle name="Percent 13 5 2 2 2" xfId="4320"/>
    <cellStyle name="Percent 13 5 2 2 2 2" xfId="9767"/>
    <cellStyle name="Percent 13 5 2 2 3" xfId="3310"/>
    <cellStyle name="Percent 13 5 2 2 4" xfId="7245"/>
    <cellStyle name="Percent 13 5 2 2 5" xfId="8759"/>
    <cellStyle name="Percent 13 5 2 2 6" xfId="12379"/>
    <cellStyle name="Percent 13 5 2 2 7" xfId="14125"/>
    <cellStyle name="Percent 13 5 2 3" xfId="2013"/>
    <cellStyle name="Percent 13 5 2 3 2" xfId="3826"/>
    <cellStyle name="Percent 13 5 2 3 3" xfId="7753"/>
    <cellStyle name="Percent 13 5 2 3 4" xfId="9271"/>
    <cellStyle name="Percent 13 5 2 3 5" xfId="12885"/>
    <cellStyle name="Percent 13 5 2 3 6" xfId="14631"/>
    <cellStyle name="Percent 13 5 2 4" xfId="4798"/>
    <cellStyle name="Percent 13 5 2 4 2" xfId="10269"/>
    <cellStyle name="Percent 13 5 2 5" xfId="5296"/>
    <cellStyle name="Percent 13 5 2 5 2" xfId="10771"/>
    <cellStyle name="Percent 13 5 2 6" xfId="5798"/>
    <cellStyle name="Percent 13 5 2 6 2" xfId="11273"/>
    <cellStyle name="Percent 13 5 2 7" xfId="2816"/>
    <cellStyle name="Percent 13 5 2 8" xfId="6739"/>
    <cellStyle name="Percent 13 5 2 9" xfId="8263"/>
    <cellStyle name="Percent 13 5 3" xfId="1257"/>
    <cellStyle name="Percent 13 5 3 2" xfId="4072"/>
    <cellStyle name="Percent 13 5 3 2 2" xfId="9519"/>
    <cellStyle name="Percent 13 5 3 3" xfId="3062"/>
    <cellStyle name="Percent 13 5 3 4" xfId="6997"/>
    <cellStyle name="Percent 13 5 3 5" xfId="8511"/>
    <cellStyle name="Percent 13 5 3 6" xfId="12131"/>
    <cellStyle name="Percent 13 5 3 7" xfId="13877"/>
    <cellStyle name="Percent 13 5 4" xfId="1765"/>
    <cellStyle name="Percent 13 5 4 2" xfId="3578"/>
    <cellStyle name="Percent 13 5 4 3" xfId="7505"/>
    <cellStyle name="Percent 13 5 4 4" xfId="9023"/>
    <cellStyle name="Percent 13 5 4 5" xfId="12637"/>
    <cellStyle name="Percent 13 5 4 6" xfId="14383"/>
    <cellStyle name="Percent 13 5 5" xfId="4566"/>
    <cellStyle name="Percent 13 5 5 2" xfId="10021"/>
    <cellStyle name="Percent 13 5 6" xfId="5048"/>
    <cellStyle name="Percent 13 5 6 2" xfId="10523"/>
    <cellStyle name="Percent 13 5 7" xfId="5550"/>
    <cellStyle name="Percent 13 5 7 2" xfId="11025"/>
    <cellStyle name="Percent 13 5 8" xfId="2582"/>
    <cellStyle name="Percent 13 5 9" xfId="6491"/>
    <cellStyle name="Percent 13 6" xfId="875"/>
    <cellStyle name="Percent 13 6 10" xfId="11749"/>
    <cellStyle name="Percent 13 6 11" xfId="13495"/>
    <cellStyle name="Percent 13 6 2" xfId="1381"/>
    <cellStyle name="Percent 13 6 2 2" xfId="4196"/>
    <cellStyle name="Percent 13 6 2 2 2" xfId="9643"/>
    <cellStyle name="Percent 13 6 2 3" xfId="3186"/>
    <cellStyle name="Percent 13 6 2 4" xfId="7121"/>
    <cellStyle name="Percent 13 6 2 5" xfId="8635"/>
    <cellStyle name="Percent 13 6 2 6" xfId="12255"/>
    <cellStyle name="Percent 13 6 2 7" xfId="14001"/>
    <cellStyle name="Percent 13 6 3" xfId="1889"/>
    <cellStyle name="Percent 13 6 3 2" xfId="3702"/>
    <cellStyle name="Percent 13 6 3 3" xfId="7629"/>
    <cellStyle name="Percent 13 6 3 4" xfId="9147"/>
    <cellStyle name="Percent 13 6 3 5" xfId="12761"/>
    <cellStyle name="Percent 13 6 3 6" xfId="14507"/>
    <cellStyle name="Percent 13 6 4" xfId="4682"/>
    <cellStyle name="Percent 13 6 4 2" xfId="10145"/>
    <cellStyle name="Percent 13 6 5" xfId="5172"/>
    <cellStyle name="Percent 13 6 5 2" xfId="10647"/>
    <cellStyle name="Percent 13 6 6" xfId="5674"/>
    <cellStyle name="Percent 13 6 6 2" xfId="11149"/>
    <cellStyle name="Percent 13 6 7" xfId="2698"/>
    <cellStyle name="Percent 13 6 8" xfId="6615"/>
    <cellStyle name="Percent 13 6 9" xfId="8139"/>
    <cellStyle name="Percent 13 7" xfId="1133"/>
    <cellStyle name="Percent 13 7 2" xfId="3950"/>
    <cellStyle name="Percent 13 7 2 2" xfId="9395"/>
    <cellStyle name="Percent 13 7 3" xfId="2940"/>
    <cellStyle name="Percent 13 7 4" xfId="6873"/>
    <cellStyle name="Percent 13 7 5" xfId="8387"/>
    <cellStyle name="Percent 13 7 6" xfId="12007"/>
    <cellStyle name="Percent 13 7 7" xfId="13753"/>
    <cellStyle name="Percent 13 8" xfId="1640"/>
    <cellStyle name="Percent 13 8 2" xfId="3454"/>
    <cellStyle name="Percent 13 8 3" xfId="7380"/>
    <cellStyle name="Percent 13 8 4" xfId="8899"/>
    <cellStyle name="Percent 13 8 5" xfId="12513"/>
    <cellStyle name="Percent 13 8 6" xfId="14259"/>
    <cellStyle name="Percent 13 9" xfId="4450"/>
    <cellStyle name="Percent 13 9 2" xfId="9897"/>
    <cellStyle name="Percent 2" xfId="8"/>
    <cellStyle name="Percent 2 2" xfId="141"/>
    <cellStyle name="Percent 2 2 2" xfId="142"/>
    <cellStyle name="Percent 2 2 2 2" xfId="143"/>
    <cellStyle name="Percent 2 2 2 2 2" xfId="2288"/>
    <cellStyle name="Percent 2 2 2 3" xfId="2241"/>
    <cellStyle name="Percent 2 2 3" xfId="144"/>
    <cellStyle name="Percent 2 2 3 2" xfId="145"/>
    <cellStyle name="Percent 2 2 3 2 2" xfId="2289"/>
    <cellStyle name="Percent 2 2 3 3" xfId="2242"/>
    <cellStyle name="Percent 2 2 4" xfId="146"/>
    <cellStyle name="Percent 2 2 4 2" xfId="147"/>
    <cellStyle name="Percent 2 2 4 2 2" xfId="2290"/>
    <cellStyle name="Percent 2 2 4 3" xfId="2243"/>
    <cellStyle name="Percent 2 2 5" xfId="2240"/>
    <cellStyle name="Percent 2 3" xfId="148"/>
    <cellStyle name="Percent 2 3 2" xfId="149"/>
    <cellStyle name="Percent 2 3 2 2" xfId="150"/>
    <cellStyle name="Percent 2 3 2 2 2" xfId="2291"/>
    <cellStyle name="Percent 2 3 2 3" xfId="2245"/>
    <cellStyle name="Percent 2 3 3" xfId="151"/>
    <cellStyle name="Percent 2 3 3 2" xfId="152"/>
    <cellStyle name="Percent 2 3 3 2 2" xfId="2292"/>
    <cellStyle name="Percent 2 3 3 3" xfId="2246"/>
    <cellStyle name="Percent 2 3 4" xfId="153"/>
    <cellStyle name="Percent 2 3 4 2" xfId="154"/>
    <cellStyle name="Percent 2 3 4 2 2" xfId="2293"/>
    <cellStyle name="Percent 2 3 4 3" xfId="2247"/>
    <cellStyle name="Percent 2 3 5" xfId="2244"/>
    <cellStyle name="Percent 2 4" xfId="155"/>
    <cellStyle name="Percent 2 4 2" xfId="156"/>
    <cellStyle name="Percent 2 4 2 2" xfId="2294"/>
    <cellStyle name="Percent 2 4 3" xfId="2248"/>
    <cellStyle name="Percent 2 5" xfId="157"/>
    <cellStyle name="Percent 2 5 2" xfId="158"/>
    <cellStyle name="Percent 2 5 2 2" xfId="2295"/>
    <cellStyle name="Percent 2 5 3" xfId="2249"/>
    <cellStyle name="Percent 2 6" xfId="159"/>
    <cellStyle name="Percent 2 6 2" xfId="160"/>
    <cellStyle name="Percent 2 6 2 2" xfId="2296"/>
    <cellStyle name="Percent 2 6 3" xfId="2250"/>
    <cellStyle name="Percent 2 7" xfId="161"/>
    <cellStyle name="Percent 2 7 2" xfId="3437"/>
    <cellStyle name="Percent 2 8" xfId="6238"/>
    <cellStyle name="Percent 2 8 2" xfId="13215"/>
    <cellStyle name="Percent 2 9" xfId="11469"/>
    <cellStyle name="Percent 3" xfId="162"/>
    <cellStyle name="Percent 3 2" xfId="163"/>
    <cellStyle name="Percent 3 2 2" xfId="164"/>
    <cellStyle name="Percent 3 2 2 2" xfId="2297"/>
    <cellStyle name="Percent 3 2 3" xfId="2252"/>
    <cellStyle name="Percent 3 3" xfId="165"/>
    <cellStyle name="Percent 3 3 2" xfId="166"/>
    <cellStyle name="Percent 3 3 2 2" xfId="2298"/>
    <cellStyle name="Percent 3 3 3" xfId="2253"/>
    <cellStyle name="Percent 3 4" xfId="167"/>
    <cellStyle name="Percent 3 4 2" xfId="168"/>
    <cellStyle name="Percent 3 4 2 2" xfId="2299"/>
    <cellStyle name="Percent 3 4 3" xfId="620"/>
    <cellStyle name="Percent 3 4 3 2" xfId="2254"/>
    <cellStyle name="Percent 3 4 3 2 2" xfId="6365"/>
    <cellStyle name="Percent 3 5" xfId="169"/>
    <cellStyle name="Percent 3 5 2" xfId="649"/>
    <cellStyle name="Percent 3 5 2 2" xfId="2262"/>
    <cellStyle name="Percent 3 5 2 2 2" xfId="6389"/>
    <cellStyle name="Percent 3 5 3" xfId="3443"/>
    <cellStyle name="Percent 3 6" xfId="218"/>
    <cellStyle name="Percent 3 6 2" xfId="2251"/>
    <cellStyle name="Percent 3 6 2 2" xfId="6280"/>
    <cellStyle name="Percent 3 7" xfId="6013"/>
    <cellStyle name="Percent 3 7 2" xfId="11458"/>
    <cellStyle name="Percent 4" xfId="170"/>
    <cellStyle name="Percent 4 2" xfId="545"/>
    <cellStyle name="Percent 4 3" xfId="546"/>
    <cellStyle name="Percent 4 4" xfId="547"/>
    <cellStyle name="Percent 4 5" xfId="544"/>
    <cellStyle name="Percent 5" xfId="171"/>
    <cellStyle name="Percent 5 2" xfId="548"/>
    <cellStyle name="Percent 6" xfId="172"/>
    <cellStyle name="Percent 6 2" xfId="549"/>
    <cellStyle name="Percent 6 2 2" xfId="2347"/>
    <cellStyle name="Percent 6 2 2 2" xfId="6361"/>
    <cellStyle name="Percent 6 2 3" xfId="6115"/>
    <cellStyle name="Percent 6 2 4" xfId="13095"/>
    <cellStyle name="Percent 6 3" xfId="2398"/>
    <cellStyle name="Percent 6 3 2" xfId="6166"/>
    <cellStyle name="Percent 6 3 3" xfId="11446"/>
    <cellStyle name="Percent 6 3 4" xfId="13146"/>
    <cellStyle name="Percent 6 4" xfId="2454"/>
    <cellStyle name="Percent 6 4 2" xfId="6222"/>
    <cellStyle name="Percent 6 4 3" xfId="13202"/>
    <cellStyle name="Percent 6 5" xfId="2209"/>
    <cellStyle name="Percent 6 5 2" xfId="6257"/>
    <cellStyle name="Percent 6 6" xfId="6064"/>
    <cellStyle name="Percent 6 7" xfId="13044"/>
    <cellStyle name="Percent 7" xfId="191"/>
    <cellStyle name="Percent 7 2" xfId="550"/>
    <cellStyle name="Percent 7 3" xfId="2426"/>
    <cellStyle name="Percent 7 3 2" xfId="6260"/>
    <cellStyle name="Percent 7 4" xfId="6194"/>
    <cellStyle name="Percent 7 5" xfId="13174"/>
    <cellStyle name="Percent 8" xfId="195"/>
    <cellStyle name="Percent 8 2" xfId="551"/>
    <cellStyle name="Percent 8 3" xfId="6264"/>
    <cellStyle name="Percent 8 4" xfId="11483"/>
    <cellStyle name="Percent 8 5" xfId="13229"/>
    <cellStyle name="Percent 9" xfId="552"/>
    <cellStyle name="PSChar" xfId="173"/>
    <cellStyle name="PSChar 2" xfId="174"/>
    <cellStyle name="PSChar 2 2" xfId="219"/>
    <cellStyle name="PSChar 2 3" xfId="553"/>
    <cellStyle name="PSChar 3" xfId="175"/>
    <cellStyle name="PSChar 3 2" xfId="555"/>
    <cellStyle name="PSChar 3 3" xfId="554"/>
    <cellStyle name="PSChar 4" xfId="556"/>
    <cellStyle name="PSChar 5" xfId="557"/>
    <cellStyle name="PSChar 6" xfId="558"/>
    <cellStyle name="PSDate" xfId="176"/>
    <cellStyle name="PSDate 2" xfId="220"/>
    <cellStyle name="PSDate 2 2" xfId="559"/>
    <cellStyle name="PSDate 2 3" xfId="560"/>
    <cellStyle name="PSDate 3" xfId="561"/>
    <cellStyle name="PSDate 3 2" xfId="562"/>
    <cellStyle name="PSDate 4" xfId="563"/>
    <cellStyle name="PSDate 5" xfId="564"/>
    <cellStyle name="PSDate 6" xfId="565"/>
    <cellStyle name="PSDec" xfId="177"/>
    <cellStyle name="PSDec 2" xfId="178"/>
    <cellStyle name="PSDec 2 2" xfId="221"/>
    <cellStyle name="PSDec 2 3" xfId="566"/>
    <cellStyle name="PSDec 3" xfId="207"/>
    <cellStyle name="PSDec 3 2" xfId="567"/>
    <cellStyle name="PSDec 4" xfId="568"/>
    <cellStyle name="PSDec 5" xfId="569"/>
    <cellStyle name="PSDec 6" xfId="570"/>
    <cellStyle name="PSHeading" xfId="179"/>
    <cellStyle name="PSHeading 10" xfId="571"/>
    <cellStyle name="PSHeading 11" xfId="572"/>
    <cellStyle name="PSHeading 2" xfId="180"/>
    <cellStyle name="PSHeading 2 2" xfId="573"/>
    <cellStyle name="PSHeading 2 3" xfId="574"/>
    <cellStyle name="PSHeading 2_108 Summary" xfId="575"/>
    <cellStyle name="PSHeading 3" xfId="576"/>
    <cellStyle name="PSHeading 3 2" xfId="577"/>
    <cellStyle name="PSHeading 3_108 Summary" xfId="578"/>
    <cellStyle name="PSHeading 4" xfId="579"/>
    <cellStyle name="PSHeading 5" xfId="580"/>
    <cellStyle name="PSHeading 6" xfId="581"/>
    <cellStyle name="PSHeading 7" xfId="582"/>
    <cellStyle name="PSHeading 8" xfId="583"/>
    <cellStyle name="PSHeading 9" xfId="584"/>
    <cellStyle name="PSHeading_101 check" xfId="585"/>
    <cellStyle name="PSInt" xfId="181"/>
    <cellStyle name="PSInt 2" xfId="208"/>
    <cellStyle name="PSInt 2 2" xfId="586"/>
    <cellStyle name="PSInt 2 3" xfId="587"/>
    <cellStyle name="PSInt 3" xfId="588"/>
    <cellStyle name="PSInt 3 2" xfId="589"/>
    <cellStyle name="PSInt 4" xfId="590"/>
    <cellStyle name="PSInt 5" xfId="591"/>
    <cellStyle name="PSInt 6" xfId="592"/>
    <cellStyle name="PSSpacer" xfId="182"/>
    <cellStyle name="PSSpacer 2" xfId="222"/>
    <cellStyle name="PSSpacer 2 2" xfId="593"/>
    <cellStyle name="PSSpacer 2 3" xfId="594"/>
    <cellStyle name="PSSpacer 3" xfId="595"/>
    <cellStyle name="PSSpacer 3 2" xfId="596"/>
    <cellStyle name="PSSpacer 4" xfId="597"/>
    <cellStyle name="PSSpacer 5" xfId="598"/>
    <cellStyle name="PSSpacer 6" xfId="599"/>
    <cellStyle name="Title" xfId="2135" builtinId="15" customBuiltin="1"/>
    <cellStyle name="Title 2" xfId="183"/>
    <cellStyle name="Title 2 2" xfId="600"/>
    <cellStyle name="Title 2 2 2" xfId="5993"/>
    <cellStyle name="Title 3" xfId="601"/>
    <cellStyle name="Title 4" xfId="602"/>
    <cellStyle name="Title 5" xfId="603"/>
    <cellStyle name="Title 6" xfId="5925"/>
    <cellStyle name="Total" xfId="2150" builtinId="25" customBuiltin="1"/>
    <cellStyle name="Total 2" xfId="184"/>
    <cellStyle name="Total 2 2" xfId="604"/>
    <cellStyle name="Total 2 2 2" xfId="5994"/>
    <cellStyle name="Total 3" xfId="605"/>
    <cellStyle name="Total 4" xfId="606"/>
    <cellStyle name="Total 5" xfId="607"/>
    <cellStyle name="Total 6" xfId="608"/>
    <cellStyle name="Total 7" xfId="609"/>
    <cellStyle name="Total 8" xfId="610"/>
    <cellStyle name="Total 9" xfId="5940"/>
    <cellStyle name="Warning Text" xfId="2148" builtinId="11" customBuiltin="1"/>
    <cellStyle name="Warning Text 2" xfId="185"/>
    <cellStyle name="Warning Text 3" xfId="611"/>
    <cellStyle name="Warning Text 4" xfId="612"/>
    <cellStyle name="Warning Text 5" xfId="613"/>
    <cellStyle name="Warning Text 6" xfId="614"/>
    <cellStyle name="Warning Text 7" xfId="5938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Kentucky Power Functional Cost of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92-434D-A3B4-77132FD9E6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92-434D-A3B4-77132FD9E6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92-434D-A3B4-77132FD9E6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 AEV-1'!$B$54:$B$56</c:f>
              <c:strCache>
                <c:ptCount val="3"/>
                <c:pt idx="0">
                  <c:v>Generation 59%</c:v>
                </c:pt>
                <c:pt idx="1">
                  <c:v>Transmission 17%</c:v>
                </c:pt>
                <c:pt idx="2">
                  <c:v>Distribution 24%</c:v>
                </c:pt>
              </c:strCache>
            </c:strRef>
          </c:cat>
          <c:val>
            <c:numRef>
              <c:f>'EX AEV-1'!$C$54:$C$56</c:f>
              <c:numCache>
                <c:formatCode>0%</c:formatCode>
                <c:ptCount val="3"/>
                <c:pt idx="0">
                  <c:v>0.5887139821230809</c:v>
                </c:pt>
                <c:pt idx="1">
                  <c:v>0.16799241077661209</c:v>
                </c:pt>
                <c:pt idx="2">
                  <c:v>0.24329360710030687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B-4492-A2A9-C2AF8AFC0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657224</xdr:colOff>
      <xdr:row>58</xdr:row>
      <xdr:rowOff>11641</xdr:rowOff>
    </xdr:from>
    <xdr:to>
      <xdr:col>7</xdr:col>
      <xdr:colOff>800099</xdr:colOff>
      <xdr:row>72</xdr:row>
      <xdr:rowOff>83608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27</xdr:row>
          <xdr:rowOff>9525</xdr:rowOff>
        </xdr:from>
        <xdr:to>
          <xdr:col>4</xdr:col>
          <xdr:colOff>257175</xdr:colOff>
          <xdr:row>31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36</xdr:row>
          <xdr:rowOff>142875</xdr:rowOff>
        </xdr:from>
        <xdr:to>
          <xdr:col>5</xdr:col>
          <xdr:colOff>695325</xdr:colOff>
          <xdr:row>41</xdr:row>
          <xdr:rowOff>114300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57150</xdr:rowOff>
        </xdr:from>
        <xdr:to>
          <xdr:col>3</xdr:col>
          <xdr:colOff>285750</xdr:colOff>
          <xdr:row>45</xdr:row>
          <xdr:rowOff>114300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46</xdr:row>
          <xdr:rowOff>66675</xdr:rowOff>
        </xdr:from>
        <xdr:to>
          <xdr:col>3</xdr:col>
          <xdr:colOff>466725</xdr:colOff>
          <xdr:row>49</xdr:row>
          <xdr:rowOff>28575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50</xdr:row>
          <xdr:rowOff>38100</xdr:rowOff>
        </xdr:from>
        <xdr:to>
          <xdr:col>3</xdr:col>
          <xdr:colOff>152400</xdr:colOff>
          <xdr:row>52</xdr:row>
          <xdr:rowOff>9525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53</xdr:row>
          <xdr:rowOff>9525</xdr:rowOff>
        </xdr:from>
        <xdr:to>
          <xdr:col>3</xdr:col>
          <xdr:colOff>238125</xdr:colOff>
          <xdr:row>55</xdr:row>
          <xdr:rowOff>114300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56</xdr:row>
          <xdr:rowOff>152400</xdr:rowOff>
        </xdr:from>
        <xdr:to>
          <xdr:col>3</xdr:col>
          <xdr:colOff>295275</xdr:colOff>
          <xdr:row>58</xdr:row>
          <xdr:rowOff>95250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59</xdr:row>
          <xdr:rowOff>123825</xdr:rowOff>
        </xdr:from>
        <xdr:to>
          <xdr:col>2</xdr:col>
          <xdr:colOff>38100</xdr:colOff>
          <xdr:row>62</xdr:row>
          <xdr:rowOff>28575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213</xdr:row>
          <xdr:rowOff>95250</xdr:rowOff>
        </xdr:from>
        <xdr:to>
          <xdr:col>6</xdr:col>
          <xdr:colOff>542925</xdr:colOff>
          <xdr:row>216</xdr:row>
          <xdr:rowOff>66675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72</xdr:row>
          <xdr:rowOff>133350</xdr:rowOff>
        </xdr:from>
        <xdr:to>
          <xdr:col>5</xdr:col>
          <xdr:colOff>1209675</xdr:colOff>
          <xdr:row>79</xdr:row>
          <xdr:rowOff>19050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23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zoomScaleNormal="100" workbookViewId="0">
      <selection activeCell="D21" sqref="D21"/>
    </sheetView>
  </sheetViews>
  <sheetFormatPr defaultColWidth="9" defaultRowHeight="15" outlineLevelCol="1"/>
  <cols>
    <col min="1" max="1" width="9.25" style="121" customWidth="1"/>
    <col min="2" max="2" width="15.25" style="121" customWidth="1"/>
    <col min="3" max="4" width="14.875" style="121" bestFit="1" customWidth="1"/>
    <col min="5" max="5" width="13.875" style="121" hidden="1" customWidth="1" outlineLevel="1"/>
    <col min="6" max="7" width="13.25" style="121" hidden="1" customWidth="1" outlineLevel="1"/>
    <col min="8" max="8" width="13.25" style="121" customWidth="1" collapsed="1"/>
    <col min="9" max="9" width="13.875" style="121" hidden="1" customWidth="1" outlineLevel="1"/>
    <col min="10" max="12" width="13.25" style="121" hidden="1" customWidth="1" outlineLevel="1"/>
    <col min="13" max="13" width="13.25" style="121" customWidth="1" collapsed="1"/>
    <col min="14" max="14" width="13.375" style="121" hidden="1" customWidth="1" outlineLevel="1"/>
    <col min="15" max="17" width="13.25" style="121" hidden="1" customWidth="1" outlineLevel="1"/>
    <col min="18" max="18" width="13.25" style="121" customWidth="1" collapsed="1"/>
    <col min="19" max="20" width="13.25" style="121" hidden="1" customWidth="1" outlineLevel="1"/>
    <col min="21" max="21" width="13.25" style="121" customWidth="1" collapsed="1"/>
    <col min="22" max="24" width="13.375" style="121" bestFit="1" customWidth="1"/>
    <col min="25" max="25" width="4.5" style="121" customWidth="1"/>
    <col min="26" max="16384" width="9" style="121"/>
  </cols>
  <sheetData>
    <row r="1" spans="1:25" ht="15.75">
      <c r="A1" s="192"/>
      <c r="B1" s="193" t="s">
        <v>1047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</row>
    <row r="2" spans="1:25" ht="15.75">
      <c r="A2" s="192"/>
      <c r="B2" s="193" t="s">
        <v>725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</row>
    <row r="3" spans="1:25" ht="15.75">
      <c r="A3" s="192"/>
      <c r="B3" s="193" t="s">
        <v>726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</row>
    <row r="4" spans="1:25" ht="15.75">
      <c r="A4" s="192"/>
      <c r="B4" s="192"/>
      <c r="C4" s="655" t="s">
        <v>9</v>
      </c>
      <c r="D4" s="656"/>
      <c r="E4" s="656"/>
      <c r="F4" s="656"/>
      <c r="G4" s="656"/>
      <c r="H4" s="655" t="s">
        <v>9</v>
      </c>
      <c r="I4" s="656"/>
      <c r="J4" s="656"/>
      <c r="K4" s="656"/>
      <c r="L4" s="656"/>
      <c r="M4" s="655" t="s">
        <v>9</v>
      </c>
      <c r="N4" s="655"/>
      <c r="O4" s="656"/>
      <c r="P4" s="656"/>
      <c r="Q4" s="656"/>
      <c r="R4" s="655" t="s">
        <v>9</v>
      </c>
      <c r="S4" s="656"/>
      <c r="T4" s="656"/>
      <c r="U4" s="655" t="s">
        <v>9</v>
      </c>
      <c r="V4" s="655"/>
      <c r="W4" s="655"/>
      <c r="X4" s="656"/>
    </row>
    <row r="5" spans="1:25" ht="15.75">
      <c r="A5" s="192"/>
      <c r="B5" s="192"/>
      <c r="C5" s="657" t="s">
        <v>723</v>
      </c>
      <c r="D5" s="657" t="s">
        <v>70</v>
      </c>
      <c r="E5" s="657" t="s">
        <v>925</v>
      </c>
      <c r="F5" s="657" t="s">
        <v>926</v>
      </c>
      <c r="G5" s="657" t="s">
        <v>927</v>
      </c>
      <c r="H5" s="657" t="s">
        <v>928</v>
      </c>
      <c r="I5" s="657" t="s">
        <v>722</v>
      </c>
      <c r="J5" s="657" t="s">
        <v>721</v>
      </c>
      <c r="K5" s="657" t="s">
        <v>720</v>
      </c>
      <c r="L5" s="657" t="s">
        <v>719</v>
      </c>
      <c r="M5" s="657" t="s">
        <v>699</v>
      </c>
      <c r="N5" s="657" t="s">
        <v>825</v>
      </c>
      <c r="O5" s="657" t="s">
        <v>826</v>
      </c>
      <c r="P5" s="657" t="s">
        <v>827</v>
      </c>
      <c r="Q5" s="657" t="s">
        <v>828</v>
      </c>
      <c r="R5" s="657" t="s">
        <v>740</v>
      </c>
      <c r="S5" s="657" t="s">
        <v>823</v>
      </c>
      <c r="T5" s="657" t="s">
        <v>824</v>
      </c>
      <c r="U5" s="657" t="s">
        <v>741</v>
      </c>
      <c r="V5" s="657" t="s">
        <v>718</v>
      </c>
      <c r="W5" s="657" t="s">
        <v>700</v>
      </c>
      <c r="X5" s="657" t="s">
        <v>701</v>
      </c>
    </row>
    <row r="6" spans="1:25" ht="15.75">
      <c r="A6" s="192"/>
      <c r="B6" s="194" t="s">
        <v>724</v>
      </c>
      <c r="C6" s="658"/>
      <c r="D6" s="658"/>
      <c r="E6" s="658"/>
      <c r="F6" s="658"/>
      <c r="G6" s="658"/>
      <c r="H6" s="658"/>
      <c r="I6" s="658"/>
      <c r="J6" s="658"/>
      <c r="K6" s="658"/>
      <c r="L6" s="658"/>
      <c r="M6" s="658"/>
      <c r="N6" s="658"/>
      <c r="O6" s="658"/>
      <c r="P6" s="658"/>
      <c r="Q6" s="658"/>
      <c r="R6" s="658"/>
      <c r="S6" s="658"/>
      <c r="T6" s="658"/>
      <c r="U6" s="658"/>
      <c r="V6" s="658"/>
      <c r="W6" s="658"/>
      <c r="X6" s="658"/>
    </row>
    <row r="7" spans="1:25" ht="7.5" customHeight="1">
      <c r="A7" s="192"/>
      <c r="B7" s="192"/>
      <c r="C7" s="192"/>
      <c r="D7" s="195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</row>
    <row r="8" spans="1:25" ht="15.75">
      <c r="A8" s="196" t="s">
        <v>641</v>
      </c>
      <c r="B8" s="192" t="s">
        <v>6</v>
      </c>
      <c r="C8" s="155">
        <f>SUM(D8:G8,I8:L8,N8:Q8,S8:T8,V8:X8)</f>
        <v>256316014.41190758</v>
      </c>
      <c r="D8" s="159">
        <f>D32+D33+D34</f>
        <v>116564708.115146</v>
      </c>
      <c r="E8" s="159">
        <f>E32+E33+E34</f>
        <v>37175315.940352246</v>
      </c>
      <c r="F8" s="159">
        <f>F32+F33+F34</f>
        <v>488951.79784906667</v>
      </c>
      <c r="G8" s="159">
        <f>G32+G33+G34</f>
        <v>63869.468334851525</v>
      </c>
      <c r="H8" s="159">
        <f>SUM(E8:G8)</f>
        <v>37728137.206536166</v>
      </c>
      <c r="I8" s="159">
        <f>I32+I33+I34</f>
        <v>21158195.5644169</v>
      </c>
      <c r="J8" s="159">
        <f>J32+J33+J34</f>
        <v>3500968.8329387582</v>
      </c>
      <c r="K8" s="159">
        <f>K32+K33+K34</f>
        <v>723583.65684590675</v>
      </c>
      <c r="L8" s="159">
        <f>L32+L33+L34</f>
        <v>30178.240437387791</v>
      </c>
      <c r="M8" s="159">
        <f>SUM(I8:L8)</f>
        <v>25412926.294638954</v>
      </c>
      <c r="N8" s="159">
        <f>N32+N33+N34</f>
        <v>1002527.5487656491</v>
      </c>
      <c r="O8" s="159">
        <f>O32+O33+O34</f>
        <v>12244793.362506371</v>
      </c>
      <c r="P8" s="159">
        <f>P32+P33+P34</f>
        <v>48007430.840564422</v>
      </c>
      <c r="Q8" s="159">
        <f>Q32+Q33+Q34</f>
        <v>8449291.1068082526</v>
      </c>
      <c r="R8" s="159">
        <f>SUM(N8:Q8)</f>
        <v>69704042.858644694</v>
      </c>
      <c r="S8" s="159">
        <f>S32+S33+S34</f>
        <v>6140110.7297066785</v>
      </c>
      <c r="T8" s="159">
        <f>T32+T33+T34</f>
        <v>123433.70590002298</v>
      </c>
      <c r="U8" s="159">
        <f>SUM(S8:T8)</f>
        <v>6263544.4356067013</v>
      </c>
      <c r="V8" s="159">
        <f>V32+V33+V34</f>
        <v>88291.502391422691</v>
      </c>
      <c r="W8" s="159">
        <f>W32+W33+W34</f>
        <v>454839.86379307893</v>
      </c>
      <c r="X8" s="159">
        <f>X32+X33+X34</f>
        <v>99524.135150608767</v>
      </c>
    </row>
    <row r="9" spans="1:25" ht="15.75">
      <c r="A9" s="196" t="s">
        <v>639</v>
      </c>
      <c r="B9" s="192" t="s">
        <v>7</v>
      </c>
      <c r="C9" s="155">
        <f>SUM(D9:G9,I9:L9,N9:Q9,S9:T9,V9:X9)</f>
        <v>156851435.52185184</v>
      </c>
      <c r="D9" s="159">
        <f>D37</f>
        <v>65087601.979829386</v>
      </c>
      <c r="E9" s="159">
        <f>E37</f>
        <v>18864651.763203476</v>
      </c>
      <c r="F9" s="159">
        <f>F37</f>
        <v>257957.81567282529</v>
      </c>
      <c r="G9" s="159">
        <f>G37</f>
        <v>47025.057933629541</v>
      </c>
      <c r="H9" s="159">
        <f>SUM(E9:G9)</f>
        <v>19169634.63680993</v>
      </c>
      <c r="I9" s="159">
        <f>I37</f>
        <v>11987392.637570286</v>
      </c>
      <c r="J9" s="159">
        <f>J37</f>
        <v>1854845.1036918117</v>
      </c>
      <c r="K9" s="159">
        <f>K37</f>
        <v>396722.27871403954</v>
      </c>
      <c r="L9" s="159">
        <f>L37</f>
        <v>17737.541772342138</v>
      </c>
      <c r="M9" s="159">
        <f t="shared" ref="M9:M12" si="0">SUM(I9:L9)</f>
        <v>14256697.561748479</v>
      </c>
      <c r="N9" s="159">
        <f>N37</f>
        <v>653111.07695489808</v>
      </c>
      <c r="O9" s="159">
        <f>O37</f>
        <v>8574467.2928437721</v>
      </c>
      <c r="P9" s="159">
        <f>P37</f>
        <v>37256827.195408434</v>
      </c>
      <c r="Q9" s="159">
        <f>Q37</f>
        <v>6692587.6869555842</v>
      </c>
      <c r="R9" s="159">
        <f>SUM(N9:Q9)</f>
        <v>53176993.252162687</v>
      </c>
      <c r="S9" s="159">
        <f>S37</f>
        <v>3362025.0889983373</v>
      </c>
      <c r="T9" s="159">
        <f>T37</f>
        <v>68434.829186109069</v>
      </c>
      <c r="U9" s="159">
        <f t="shared" ref="U9:U12" si="1">SUM(S9:T9)</f>
        <v>3430459.9181844462</v>
      </c>
      <c r="V9" s="159">
        <f>V37</f>
        <v>61149.741899861663</v>
      </c>
      <c r="W9" s="159">
        <f>W37</f>
        <v>1379768.4798724493</v>
      </c>
      <c r="X9" s="159">
        <f>X37</f>
        <v>289129.95134460717</v>
      </c>
    </row>
    <row r="10" spans="1:25" ht="15.75">
      <c r="A10" s="196" t="s">
        <v>717</v>
      </c>
      <c r="B10" s="192" t="s">
        <v>707</v>
      </c>
      <c r="C10" s="155">
        <f>SUM(D10:G10,I10:L10,N10:Q10,S10:T10,V10:X10)</f>
        <v>74599754.377224401</v>
      </c>
      <c r="D10" s="159">
        <f t="shared" ref="D10:I11" si="2">D35</f>
        <v>42886747.338956222</v>
      </c>
      <c r="E10" s="159">
        <f t="shared" si="2"/>
        <v>14601646.616607543</v>
      </c>
      <c r="F10" s="159">
        <f t="shared" si="2"/>
        <v>192110.15325288053</v>
      </c>
      <c r="G10" s="159">
        <f t="shared" si="2"/>
        <v>0</v>
      </c>
      <c r="H10" s="159">
        <f>SUM(E10:G10)</f>
        <v>14793756.769860424</v>
      </c>
      <c r="I10" s="159">
        <f t="shared" si="2"/>
        <v>8101385.6047757491</v>
      </c>
      <c r="J10" s="159">
        <f t="shared" ref="J10:L11" si="3">J35</f>
        <v>1364902.1991232364</v>
      </c>
      <c r="K10" s="159">
        <f t="shared" si="3"/>
        <v>0</v>
      </c>
      <c r="L10" s="159">
        <f t="shared" si="3"/>
        <v>0</v>
      </c>
      <c r="M10" s="159">
        <f t="shared" si="0"/>
        <v>9466287.8038989864</v>
      </c>
      <c r="N10" s="159">
        <f t="shared" ref="N10:Q11" si="4">N35</f>
        <v>363710.66063671582</v>
      </c>
      <c r="O10" s="159">
        <f t="shared" si="4"/>
        <v>4647702.690877879</v>
      </c>
      <c r="P10" s="159">
        <f t="shared" si="4"/>
        <v>0</v>
      </c>
      <c r="Q10" s="159">
        <f t="shared" si="4"/>
        <v>0</v>
      </c>
      <c r="R10" s="159">
        <f>SUM(N10:Q10)</f>
        <v>5011413.3515145946</v>
      </c>
      <c r="S10" s="159">
        <f t="shared" ref="S10:T11" si="5">S35</f>
        <v>2359746.1661305064</v>
      </c>
      <c r="T10" s="159">
        <f t="shared" si="5"/>
        <v>47584.206090915744</v>
      </c>
      <c r="U10" s="159">
        <f t="shared" si="1"/>
        <v>2407330.3722214224</v>
      </c>
      <c r="V10" s="159">
        <f t="shared" ref="V10:X10" si="6">V35</f>
        <v>34218.74077274189</v>
      </c>
      <c r="W10" s="159">
        <f t="shared" si="6"/>
        <v>0</v>
      </c>
      <c r="X10" s="159">
        <f t="shared" si="6"/>
        <v>0</v>
      </c>
    </row>
    <row r="11" spans="1:25" ht="15.75">
      <c r="A11" s="196" t="s">
        <v>640</v>
      </c>
      <c r="B11" s="192" t="s">
        <v>705</v>
      </c>
      <c r="C11" s="155">
        <f>SUM(D11:G11,I11:L11,N11:Q11,S11:T11,V11:X11)</f>
        <v>31490215.587804891</v>
      </c>
      <c r="D11" s="159">
        <f t="shared" si="2"/>
        <v>20643519.272159707</v>
      </c>
      <c r="E11" s="159">
        <f t="shared" si="2"/>
        <v>6281958.4713374497</v>
      </c>
      <c r="F11" s="159">
        <f t="shared" si="2"/>
        <v>0</v>
      </c>
      <c r="G11" s="159">
        <f t="shared" si="2"/>
        <v>0</v>
      </c>
      <c r="H11" s="159">
        <f>SUM(E11:G11)</f>
        <v>6281958.4713374497</v>
      </c>
      <c r="I11" s="159">
        <f t="shared" si="2"/>
        <v>2993153.3375029201</v>
      </c>
      <c r="J11" s="159">
        <f t="shared" si="3"/>
        <v>0</v>
      </c>
      <c r="K11" s="159">
        <f t="shared" si="3"/>
        <v>0</v>
      </c>
      <c r="L11" s="159">
        <f t="shared" si="3"/>
        <v>0</v>
      </c>
      <c r="M11" s="159">
        <f t="shared" si="0"/>
        <v>2993153.3375029201</v>
      </c>
      <c r="N11" s="159">
        <f t="shared" si="4"/>
        <v>110773.85999087317</v>
      </c>
      <c r="O11" s="159">
        <f t="shared" si="4"/>
        <v>0</v>
      </c>
      <c r="P11" s="159">
        <f t="shared" si="4"/>
        <v>0</v>
      </c>
      <c r="Q11" s="159">
        <f t="shared" si="4"/>
        <v>0</v>
      </c>
      <c r="R11" s="159">
        <f>SUM(N11:Q11)</f>
        <v>110773.85999087317</v>
      </c>
      <c r="S11" s="159">
        <f t="shared" si="5"/>
        <v>901534.30641840748</v>
      </c>
      <c r="T11" s="159">
        <f t="shared" si="5"/>
        <v>0</v>
      </c>
      <c r="U11" s="159">
        <f t="shared" si="1"/>
        <v>901534.30641840748</v>
      </c>
      <c r="V11" s="159">
        <f t="shared" ref="V11:X11" si="7">V36</f>
        <v>11805.197121190038</v>
      </c>
      <c r="W11" s="159">
        <f t="shared" si="7"/>
        <v>447269.57257160952</v>
      </c>
      <c r="X11" s="159">
        <f t="shared" si="7"/>
        <v>100201.57070273347</v>
      </c>
    </row>
    <row r="12" spans="1:25" ht="15.75">
      <c r="A12" s="196" t="s">
        <v>716</v>
      </c>
      <c r="B12" s="197" t="s">
        <v>8</v>
      </c>
      <c r="C12" s="155">
        <f>SUM(D12:G12,I12:L12,N12:Q12,S12:T12,V12:X12)</f>
        <v>26750169.84041889</v>
      </c>
      <c r="D12" s="198">
        <f>D38</f>
        <v>13525406.788117623</v>
      </c>
      <c r="E12" s="198">
        <f>E38</f>
        <v>4521729.4316637022</v>
      </c>
      <c r="F12" s="198">
        <f>F38</f>
        <v>232024.58115740126</v>
      </c>
      <c r="G12" s="198">
        <f>G38</f>
        <v>34999.041856256074</v>
      </c>
      <c r="H12" s="159">
        <f>SUM(E12:G12)</f>
        <v>4788753.0546773598</v>
      </c>
      <c r="I12" s="198">
        <f>I38</f>
        <v>297717.55454703938</v>
      </c>
      <c r="J12" s="198">
        <f>J38</f>
        <v>79005.531089695287</v>
      </c>
      <c r="K12" s="198">
        <f>K38</f>
        <v>91194.9916119626</v>
      </c>
      <c r="L12" s="198">
        <f>L38</f>
        <v>12407.971589242159</v>
      </c>
      <c r="M12" s="159">
        <f t="shared" si="0"/>
        <v>480326.04883793945</v>
      </c>
      <c r="N12" s="198">
        <f>N38</f>
        <v>2020.6776437358642</v>
      </c>
      <c r="O12" s="198">
        <f>O38</f>
        <v>55290.562035849369</v>
      </c>
      <c r="P12" s="198">
        <f>P38</f>
        <v>152183.25171080852</v>
      </c>
      <c r="Q12" s="198">
        <f>Q38</f>
        <v>44375.976791378162</v>
      </c>
      <c r="R12" s="159">
        <f>SUM(N12:Q12)</f>
        <v>253870.46818177192</v>
      </c>
      <c r="S12" s="198">
        <f>S38</f>
        <v>64341.740125131226</v>
      </c>
      <c r="T12" s="198">
        <f>T38</f>
        <v>1185.2649621251085</v>
      </c>
      <c r="U12" s="198">
        <f t="shared" si="1"/>
        <v>65527.005087256337</v>
      </c>
      <c r="V12" s="198">
        <f>V38</f>
        <v>6582.6831830637402</v>
      </c>
      <c r="W12" s="198">
        <f>W38</f>
        <v>6532460.8560739812</v>
      </c>
      <c r="X12" s="198">
        <f>X38</f>
        <v>1097242.936259896</v>
      </c>
    </row>
    <row r="13" spans="1:25" ht="15.75">
      <c r="A13" s="196" t="s">
        <v>715</v>
      </c>
      <c r="B13" s="192" t="s">
        <v>714</v>
      </c>
      <c r="C13" s="155">
        <f>SUM(C8:C12)</f>
        <v>546007589.73920763</v>
      </c>
      <c r="D13" s="159">
        <f>SUM(D8:D12)</f>
        <v>258707983.4942089</v>
      </c>
      <c r="E13" s="155">
        <f t="shared" ref="E13:X13" si="8">SUM(E8:E12)</f>
        <v>81445302.223164424</v>
      </c>
      <c r="F13" s="155">
        <f t="shared" si="8"/>
        <v>1171044.3479321739</v>
      </c>
      <c r="G13" s="155">
        <f t="shared" si="8"/>
        <v>145893.56812473715</v>
      </c>
      <c r="H13" s="155">
        <f>SUM(H8:H12)</f>
        <v>82762240.13922134</v>
      </c>
      <c r="I13" s="155">
        <f t="shared" ref="I13" si="9">SUM(I8:I12)</f>
        <v>44537844.698812895</v>
      </c>
      <c r="J13" s="155">
        <f t="shared" si="8"/>
        <v>6799721.6668435009</v>
      </c>
      <c r="K13" s="155">
        <f t="shared" si="8"/>
        <v>1211500.927171909</v>
      </c>
      <c r="L13" s="155">
        <f t="shared" si="8"/>
        <v>60323.753798972088</v>
      </c>
      <c r="M13" s="155">
        <f>SUM(M8:M12)</f>
        <v>52609391.046627283</v>
      </c>
      <c r="N13" s="155">
        <f t="shared" si="8"/>
        <v>2132143.8239918719</v>
      </c>
      <c r="O13" s="155">
        <f t="shared" si="8"/>
        <v>25522253.90826387</v>
      </c>
      <c r="P13" s="155">
        <f t="shared" si="8"/>
        <v>85416441.287683666</v>
      </c>
      <c r="Q13" s="155">
        <f t="shared" si="8"/>
        <v>15186254.770555215</v>
      </c>
      <c r="R13" s="155">
        <f>SUM(R8:R12)</f>
        <v>128257093.79049464</v>
      </c>
      <c r="S13" s="155">
        <f t="shared" si="8"/>
        <v>12827758.031379059</v>
      </c>
      <c r="T13" s="155">
        <f t="shared" si="8"/>
        <v>240638.00613917291</v>
      </c>
      <c r="U13" s="155">
        <f t="shared" si="8"/>
        <v>13068396.037518233</v>
      </c>
      <c r="V13" s="155">
        <f t="shared" si="8"/>
        <v>202047.86536828004</v>
      </c>
      <c r="W13" s="155">
        <f t="shared" si="8"/>
        <v>8814338.7723111194</v>
      </c>
      <c r="X13" s="155">
        <f t="shared" si="8"/>
        <v>1586098.5934578455</v>
      </c>
      <c r="Y13" s="199"/>
    </row>
    <row r="14" spans="1:25" ht="15.75">
      <c r="A14" s="196"/>
      <c r="B14" s="192"/>
      <c r="C14" s="155"/>
      <c r="D14" s="159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</row>
    <row r="15" spans="1:25" ht="15.75">
      <c r="A15" s="196"/>
      <c r="B15" s="194" t="s">
        <v>713</v>
      </c>
      <c r="C15" s="204"/>
      <c r="D15" s="195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204"/>
      <c r="W15" s="192"/>
      <c r="X15" s="192"/>
    </row>
    <row r="16" spans="1:25" s="201" customFormat="1" ht="15.75">
      <c r="A16" s="200" t="s">
        <v>712</v>
      </c>
      <c r="B16" s="155" t="s">
        <v>935</v>
      </c>
      <c r="C16" s="155">
        <f>SUM(D16:G16,I16:L16,N16:Q16,S16:T16,V16:X16)</f>
        <v>1117538.600000005</v>
      </c>
      <c r="D16" s="159">
        <v>899656.60000000498</v>
      </c>
      <c r="E16" s="674">
        <v>286650</v>
      </c>
      <c r="F16" s="674">
        <v>5314</v>
      </c>
      <c r="G16" s="674">
        <v>-920</v>
      </c>
      <c r="H16" s="674">
        <f t="shared" ref="H16:H18" si="10">SUM(E16:G16)</f>
        <v>291044</v>
      </c>
      <c r="I16" s="674">
        <v>106589</v>
      </c>
      <c r="J16" s="674">
        <v>-3408</v>
      </c>
      <c r="K16" s="674">
        <v>97</v>
      </c>
      <c r="L16" s="674">
        <v>-3450</v>
      </c>
      <c r="M16" s="674">
        <f t="shared" ref="M16:M18" si="11">SUM(I16:L16)</f>
        <v>99828</v>
      </c>
      <c r="N16" s="674">
        <v>28990</v>
      </c>
      <c r="O16" s="674">
        <v>-18660</v>
      </c>
      <c r="P16" s="674">
        <v>-204298</v>
      </c>
      <c r="Q16" s="674">
        <v>126666</v>
      </c>
      <c r="R16" s="674">
        <f>SUM(N16:Q16)</f>
        <v>-67302</v>
      </c>
      <c r="S16" s="674">
        <v>46966</v>
      </c>
      <c r="T16" s="674">
        <v>922</v>
      </c>
      <c r="U16" s="674">
        <f t="shared" ref="U16:U18" si="12">SUM(S16:T16)</f>
        <v>47888</v>
      </c>
      <c r="V16" s="674">
        <v>1214</v>
      </c>
      <c r="W16" s="674">
        <v>-153180</v>
      </c>
      <c r="X16" s="674">
        <v>-1610</v>
      </c>
    </row>
    <row r="17" spans="1:25" s="201" customFormat="1" ht="15.75">
      <c r="A17" s="200"/>
      <c r="B17" s="155" t="s">
        <v>675</v>
      </c>
      <c r="C17" s="155">
        <f>SUM(D17:G17,I17:L17,N17:Q17,S17:T17,V17:X17)</f>
        <v>789609.71737066587</v>
      </c>
      <c r="D17" s="673">
        <f>D$16*(D8/(D$8+D$9))</f>
        <v>577301.81866685743</v>
      </c>
      <c r="E17" s="675">
        <f t="shared" ref="E17:X17" si="13">E$16*(E8/(E$8+E$9))</f>
        <v>190155.43282737889</v>
      </c>
      <c r="F17" s="675">
        <f t="shared" si="13"/>
        <v>3478.7205931361123</v>
      </c>
      <c r="G17" s="675">
        <f t="shared" si="13"/>
        <v>-529.8720581194674</v>
      </c>
      <c r="H17" s="674">
        <f t="shared" si="10"/>
        <v>193104.28136239553</v>
      </c>
      <c r="I17" s="675">
        <f t="shared" si="13"/>
        <v>68040.153436783017</v>
      </c>
      <c r="J17" s="675">
        <f t="shared" si="13"/>
        <v>-2227.7289547070159</v>
      </c>
      <c r="K17" s="675">
        <f t="shared" si="13"/>
        <v>62.650399757966198</v>
      </c>
      <c r="L17" s="675">
        <f t="shared" si="13"/>
        <v>-2172.873418892992</v>
      </c>
      <c r="M17" s="674">
        <f t="shared" si="11"/>
        <v>63702.201462940982</v>
      </c>
      <c r="N17" s="675">
        <f t="shared" si="13"/>
        <v>17554.116693833235</v>
      </c>
      <c r="O17" s="675">
        <f t="shared" si="13"/>
        <v>-10974.829890784426</v>
      </c>
      <c r="P17" s="675">
        <f t="shared" si="13"/>
        <v>-115028.52815217983</v>
      </c>
      <c r="Q17" s="675">
        <f t="shared" si="13"/>
        <v>70680.65475307795</v>
      </c>
      <c r="R17" s="674">
        <f t="shared" ref="R17:R18" si="14">SUM(N17:Q17)</f>
        <v>-37768.586596053065</v>
      </c>
      <c r="S17" s="675">
        <f t="shared" si="13"/>
        <v>30348.591730685748</v>
      </c>
      <c r="T17" s="675">
        <f t="shared" si="13"/>
        <v>593.14507607374173</v>
      </c>
      <c r="U17" s="674">
        <f t="shared" si="12"/>
        <v>30941.736806759491</v>
      </c>
      <c r="V17" s="675">
        <f t="shared" si="13"/>
        <v>717.24432175005916</v>
      </c>
      <c r="W17" s="675">
        <f t="shared" si="13"/>
        <v>-37976.699809736594</v>
      </c>
      <c r="X17" s="675">
        <f t="shared" si="13"/>
        <v>-412.27884424792342</v>
      </c>
    </row>
    <row r="18" spans="1:25" ht="15.75">
      <c r="A18" s="196"/>
      <c r="B18" s="192" t="s">
        <v>981</v>
      </c>
      <c r="C18" s="155">
        <f>SUM(D18:G18,I18:L18,N18:Q18,S18:T18,V18:X18)</f>
        <v>327928.882629339</v>
      </c>
      <c r="D18" s="673">
        <f>D$16*(D9/(D$8+D$9))</f>
        <v>322354.78133314749</v>
      </c>
      <c r="E18" s="675">
        <f t="shared" ref="E18:X18" si="15">E$16*(E9/(E$8+E$9))</f>
        <v>96494.567172621129</v>
      </c>
      <c r="F18" s="675">
        <f t="shared" si="15"/>
        <v>1835.2794068638877</v>
      </c>
      <c r="G18" s="675">
        <f t="shared" si="15"/>
        <v>-390.1279418805326</v>
      </c>
      <c r="H18" s="674">
        <f t="shared" si="10"/>
        <v>97939.718637604485</v>
      </c>
      <c r="I18" s="675">
        <f t="shared" si="15"/>
        <v>38548.84656321699</v>
      </c>
      <c r="J18" s="675">
        <f t="shared" si="15"/>
        <v>-1180.2710452929841</v>
      </c>
      <c r="K18" s="675">
        <f t="shared" si="15"/>
        <v>34.349600242033802</v>
      </c>
      <c r="L18" s="675">
        <f t="shared" si="15"/>
        <v>-1277.126581107008</v>
      </c>
      <c r="M18" s="674">
        <f t="shared" si="11"/>
        <v>36125.798537059032</v>
      </c>
      <c r="N18" s="675">
        <f t="shared" si="15"/>
        <v>11435.883306166768</v>
      </c>
      <c r="O18" s="675">
        <f t="shared" si="15"/>
        <v>-7685.1701092155763</v>
      </c>
      <c r="P18" s="675">
        <f t="shared" si="15"/>
        <v>-89269.471847820139</v>
      </c>
      <c r="Q18" s="675">
        <f t="shared" si="15"/>
        <v>55985.34524692205</v>
      </c>
      <c r="R18" s="674">
        <f t="shared" si="14"/>
        <v>-29533.413403946892</v>
      </c>
      <c r="S18" s="675">
        <f t="shared" si="15"/>
        <v>16617.408269314255</v>
      </c>
      <c r="T18" s="675">
        <f t="shared" si="15"/>
        <v>328.85492392625821</v>
      </c>
      <c r="U18" s="674">
        <f t="shared" si="12"/>
        <v>16946.263193240513</v>
      </c>
      <c r="V18" s="675">
        <f t="shared" si="15"/>
        <v>496.75567824994084</v>
      </c>
      <c r="W18" s="675">
        <f t="shared" si="15"/>
        <v>-115203.30019026341</v>
      </c>
      <c r="X18" s="675">
        <f t="shared" si="15"/>
        <v>-1197.7211557520764</v>
      </c>
    </row>
    <row r="19" spans="1:25" ht="15.75">
      <c r="A19" s="196"/>
      <c r="B19" s="192"/>
      <c r="C19" s="202"/>
      <c r="D19" s="159"/>
      <c r="E19" s="192"/>
      <c r="F19" s="155"/>
      <c r="G19" s="192"/>
      <c r="H19" s="192"/>
      <c r="I19" s="192"/>
      <c r="J19" s="155"/>
      <c r="K19" s="192"/>
      <c r="L19" s="192"/>
      <c r="M19" s="674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</row>
    <row r="20" spans="1:25" ht="15.75">
      <c r="A20" s="196"/>
      <c r="B20" s="194" t="s">
        <v>711</v>
      </c>
      <c r="C20" s="192"/>
      <c r="D20" s="199"/>
      <c r="E20" s="123"/>
      <c r="F20" s="674"/>
      <c r="G20" s="676"/>
      <c r="H20" s="676"/>
      <c r="I20" s="676"/>
      <c r="J20" s="676"/>
      <c r="K20" s="676"/>
      <c r="L20" s="676"/>
      <c r="M20" s="676"/>
      <c r="N20" s="676"/>
      <c r="O20" s="676"/>
      <c r="P20" s="676"/>
      <c r="Q20" s="676"/>
      <c r="R20" s="676"/>
      <c r="S20" s="676"/>
      <c r="T20" s="676"/>
      <c r="U20" s="676"/>
      <c r="V20" s="676"/>
      <c r="W20" s="676"/>
      <c r="X20" s="192"/>
    </row>
    <row r="21" spans="1:25" ht="15.75">
      <c r="A21" s="196" t="s">
        <v>710</v>
      </c>
      <c r="B21" s="192" t="s">
        <v>6</v>
      </c>
      <c r="C21" s="155">
        <f>C8</f>
        <v>256316014.41190758</v>
      </c>
      <c r="D21" s="159">
        <f>D8-D17</f>
        <v>115987406.29647914</v>
      </c>
      <c r="E21" s="674">
        <f t="shared" ref="E21:G21" si="16">E8-E17</f>
        <v>36985160.50752487</v>
      </c>
      <c r="F21" s="674">
        <f t="shared" si="16"/>
        <v>485473.07725593058</v>
      </c>
      <c r="G21" s="674">
        <f t="shared" si="16"/>
        <v>64399.340392970989</v>
      </c>
      <c r="H21" s="674">
        <f>SUM(E21:G21)</f>
        <v>37535032.925173767</v>
      </c>
      <c r="I21" s="674">
        <f t="shared" ref="I21:L21" si="17">I8-I17</f>
        <v>21090155.410980117</v>
      </c>
      <c r="J21" s="674">
        <f t="shared" si="17"/>
        <v>3503196.561893465</v>
      </c>
      <c r="K21" s="674">
        <f t="shared" si="17"/>
        <v>723521.00644614873</v>
      </c>
      <c r="L21" s="674">
        <f t="shared" si="17"/>
        <v>32351.113856280783</v>
      </c>
      <c r="M21" s="674">
        <f>SUM(I21:L21)</f>
        <v>25349224.093176015</v>
      </c>
      <c r="N21" s="674">
        <f t="shared" ref="N21:Q21" si="18">N8-N17</f>
        <v>984973.43207181583</v>
      </c>
      <c r="O21" s="674">
        <f t="shared" si="18"/>
        <v>12255768.192397155</v>
      </c>
      <c r="P21" s="674">
        <f t="shared" si="18"/>
        <v>48122459.368716605</v>
      </c>
      <c r="Q21" s="674">
        <f t="shared" si="18"/>
        <v>8378610.4520551749</v>
      </c>
      <c r="R21" s="674">
        <f>SUM(N21:Q21)</f>
        <v>69741811.445240751</v>
      </c>
      <c r="S21" s="674">
        <f t="shared" ref="S21:T21" si="19">S8-S17</f>
        <v>6109762.1379759926</v>
      </c>
      <c r="T21" s="674">
        <f t="shared" si="19"/>
        <v>122840.56082394924</v>
      </c>
      <c r="U21" s="674">
        <f>SUM(S21:T21)</f>
        <v>6232602.6987999417</v>
      </c>
      <c r="V21" s="674">
        <f t="shared" ref="V21:X21" si="20">V8-V17</f>
        <v>87574.258069672636</v>
      </c>
      <c r="W21" s="674">
        <f t="shared" si="20"/>
        <v>492816.5636028155</v>
      </c>
      <c r="X21" s="674">
        <f t="shared" si="20"/>
        <v>99936.413994856688</v>
      </c>
      <c r="Y21" s="201"/>
    </row>
    <row r="22" spans="1:25" ht="15.75">
      <c r="A22" s="196" t="s">
        <v>709</v>
      </c>
      <c r="B22" s="192" t="s">
        <v>7</v>
      </c>
      <c r="C22" s="155">
        <f>C9-C16</f>
        <v>155733896.92185184</v>
      </c>
      <c r="D22" s="159">
        <f>D9-D18</f>
        <v>64765247.198496237</v>
      </c>
      <c r="E22" s="674">
        <f t="shared" ref="E22:G22" si="21">E9-E18</f>
        <v>18768157.196030855</v>
      </c>
      <c r="F22" s="674">
        <f t="shared" si="21"/>
        <v>256122.53626596142</v>
      </c>
      <c r="G22" s="674">
        <f t="shared" si="21"/>
        <v>47415.185875510077</v>
      </c>
      <c r="H22" s="674">
        <f t="shared" ref="H22:H25" si="22">SUM(E22:G22)</f>
        <v>19071694.918172326</v>
      </c>
      <c r="I22" s="674">
        <f t="shared" ref="I22:L22" si="23">I9-I18</f>
        <v>11948843.79100707</v>
      </c>
      <c r="J22" s="674">
        <f t="shared" si="23"/>
        <v>1856025.3747371046</v>
      </c>
      <c r="K22" s="674">
        <f t="shared" si="23"/>
        <v>396687.92911379749</v>
      </c>
      <c r="L22" s="674">
        <f t="shared" si="23"/>
        <v>19014.668353449146</v>
      </c>
      <c r="M22" s="674">
        <f t="shared" ref="M22:M25" si="24">SUM(I22:L22)</f>
        <v>14220571.763211422</v>
      </c>
      <c r="N22" s="674">
        <f t="shared" ref="N22:Q22" si="25">N9-N18</f>
        <v>641675.19364873134</v>
      </c>
      <c r="O22" s="674">
        <f t="shared" si="25"/>
        <v>8582152.4629529882</v>
      </c>
      <c r="P22" s="674">
        <f t="shared" si="25"/>
        <v>37346096.667256251</v>
      </c>
      <c r="Q22" s="674">
        <f t="shared" si="25"/>
        <v>6636602.341708662</v>
      </c>
      <c r="R22" s="674">
        <f t="shared" ref="R22:R25" si="26">SUM(N22:Q22)</f>
        <v>53206526.665566631</v>
      </c>
      <c r="S22" s="674">
        <f t="shared" ref="S22:T22" si="27">S9-S18</f>
        <v>3345407.6807290232</v>
      </c>
      <c r="T22" s="674">
        <f t="shared" si="27"/>
        <v>68105.974262182805</v>
      </c>
      <c r="U22" s="674">
        <f t="shared" ref="U22:U25" si="28">SUM(S22:T22)</f>
        <v>3413513.6549912058</v>
      </c>
      <c r="V22" s="674">
        <f t="shared" ref="V22:W22" si="29">V9-V18</f>
        <v>60652.986221611725</v>
      </c>
      <c r="W22" s="674">
        <f t="shared" si="29"/>
        <v>1494971.7800627127</v>
      </c>
      <c r="X22" s="674">
        <f>X9-X18</f>
        <v>290327.67250035924</v>
      </c>
      <c r="Y22" s="201"/>
    </row>
    <row r="23" spans="1:25" ht="15.75">
      <c r="A23" s="196" t="s">
        <v>708</v>
      </c>
      <c r="B23" s="192" t="s">
        <v>707</v>
      </c>
      <c r="C23" s="155">
        <f t="shared" ref="C23:T23" si="30">C10</f>
        <v>74599754.377224401</v>
      </c>
      <c r="D23" s="159">
        <f t="shared" si="30"/>
        <v>42886747.338956222</v>
      </c>
      <c r="E23" s="674">
        <f t="shared" si="30"/>
        <v>14601646.616607543</v>
      </c>
      <c r="F23" s="674">
        <f t="shared" si="30"/>
        <v>192110.15325288053</v>
      </c>
      <c r="G23" s="674">
        <f t="shared" si="30"/>
        <v>0</v>
      </c>
      <c r="H23" s="674">
        <f t="shared" si="22"/>
        <v>14793756.769860424</v>
      </c>
      <c r="I23" s="674">
        <f t="shared" si="30"/>
        <v>8101385.6047757491</v>
      </c>
      <c r="J23" s="674">
        <f t="shared" si="30"/>
        <v>1364902.1991232364</v>
      </c>
      <c r="K23" s="674">
        <f t="shared" si="30"/>
        <v>0</v>
      </c>
      <c r="L23" s="674">
        <f t="shared" si="30"/>
        <v>0</v>
      </c>
      <c r="M23" s="674">
        <f t="shared" si="24"/>
        <v>9466287.8038989864</v>
      </c>
      <c r="N23" s="674">
        <f t="shared" si="30"/>
        <v>363710.66063671582</v>
      </c>
      <c r="O23" s="674">
        <f t="shared" si="30"/>
        <v>4647702.690877879</v>
      </c>
      <c r="P23" s="674">
        <f t="shared" si="30"/>
        <v>0</v>
      </c>
      <c r="Q23" s="674">
        <f t="shared" si="30"/>
        <v>0</v>
      </c>
      <c r="R23" s="674">
        <f t="shared" si="26"/>
        <v>5011413.3515145946</v>
      </c>
      <c r="S23" s="674">
        <f t="shared" si="30"/>
        <v>2359746.1661305064</v>
      </c>
      <c r="T23" s="674">
        <f t="shared" si="30"/>
        <v>47584.206090915744</v>
      </c>
      <c r="U23" s="674">
        <f t="shared" si="28"/>
        <v>2407330.3722214224</v>
      </c>
      <c r="V23" s="674">
        <f t="shared" ref="V23" si="31">V10</f>
        <v>34218.74077274189</v>
      </c>
      <c r="W23" s="674">
        <f t="shared" ref="W23:X24" si="32">W10</f>
        <v>0</v>
      </c>
      <c r="X23" s="155">
        <f t="shared" si="32"/>
        <v>0</v>
      </c>
      <c r="Y23" s="201"/>
    </row>
    <row r="24" spans="1:25" ht="15.75">
      <c r="A24" s="196" t="s">
        <v>706</v>
      </c>
      <c r="B24" s="192" t="s">
        <v>705</v>
      </c>
      <c r="C24" s="155">
        <f t="shared" ref="C24:T24" si="33">C11</f>
        <v>31490215.587804891</v>
      </c>
      <c r="D24" s="159">
        <f t="shared" si="33"/>
        <v>20643519.272159707</v>
      </c>
      <c r="E24" s="155">
        <f t="shared" si="33"/>
        <v>6281958.4713374497</v>
      </c>
      <c r="F24" s="155">
        <f t="shared" si="33"/>
        <v>0</v>
      </c>
      <c r="G24" s="155">
        <f t="shared" si="33"/>
        <v>0</v>
      </c>
      <c r="H24" s="155">
        <f t="shared" si="22"/>
        <v>6281958.4713374497</v>
      </c>
      <c r="I24" s="155">
        <f t="shared" si="33"/>
        <v>2993153.3375029201</v>
      </c>
      <c r="J24" s="155">
        <f t="shared" si="33"/>
        <v>0</v>
      </c>
      <c r="K24" s="155">
        <f t="shared" si="33"/>
        <v>0</v>
      </c>
      <c r="L24" s="155">
        <f t="shared" si="33"/>
        <v>0</v>
      </c>
      <c r="M24" s="155">
        <f t="shared" si="24"/>
        <v>2993153.3375029201</v>
      </c>
      <c r="N24" s="155">
        <f t="shared" si="33"/>
        <v>110773.85999087317</v>
      </c>
      <c r="O24" s="155">
        <f t="shared" si="33"/>
        <v>0</v>
      </c>
      <c r="P24" s="155">
        <f t="shared" si="33"/>
        <v>0</v>
      </c>
      <c r="Q24" s="155">
        <f t="shared" si="33"/>
        <v>0</v>
      </c>
      <c r="R24" s="155">
        <f t="shared" si="26"/>
        <v>110773.85999087317</v>
      </c>
      <c r="S24" s="155">
        <f t="shared" si="33"/>
        <v>901534.30641840748</v>
      </c>
      <c r="T24" s="155">
        <f t="shared" si="33"/>
        <v>0</v>
      </c>
      <c r="U24" s="155">
        <f t="shared" si="28"/>
        <v>901534.30641840748</v>
      </c>
      <c r="V24" s="155">
        <f t="shared" ref="V24" si="34">V11</f>
        <v>11805.197121190038</v>
      </c>
      <c r="W24" s="155">
        <f t="shared" si="32"/>
        <v>447269.57257160952</v>
      </c>
      <c r="X24" s="155">
        <f t="shared" si="32"/>
        <v>100201.57070273347</v>
      </c>
      <c r="Y24" s="201"/>
    </row>
    <row r="25" spans="1:25" ht="15.75">
      <c r="A25" s="196" t="s">
        <v>704</v>
      </c>
      <c r="B25" s="197" t="s">
        <v>8</v>
      </c>
      <c r="C25" s="203">
        <f t="shared" ref="C25:T25" si="35">C12</f>
        <v>26750169.84041889</v>
      </c>
      <c r="D25" s="198">
        <f t="shared" si="35"/>
        <v>13525406.788117623</v>
      </c>
      <c r="E25" s="198">
        <f t="shared" si="35"/>
        <v>4521729.4316637022</v>
      </c>
      <c r="F25" s="198">
        <f t="shared" si="35"/>
        <v>232024.58115740126</v>
      </c>
      <c r="G25" s="198">
        <f t="shared" si="35"/>
        <v>34999.041856256074</v>
      </c>
      <c r="H25" s="198">
        <f t="shared" si="22"/>
        <v>4788753.0546773598</v>
      </c>
      <c r="I25" s="203">
        <f t="shared" si="35"/>
        <v>297717.55454703938</v>
      </c>
      <c r="J25" s="203">
        <f t="shared" si="35"/>
        <v>79005.531089695287</v>
      </c>
      <c r="K25" s="203">
        <f t="shared" si="35"/>
        <v>91194.9916119626</v>
      </c>
      <c r="L25" s="203">
        <f t="shared" si="35"/>
        <v>12407.971589242159</v>
      </c>
      <c r="M25" s="203">
        <f t="shared" si="24"/>
        <v>480326.04883793945</v>
      </c>
      <c r="N25" s="203">
        <f t="shared" si="35"/>
        <v>2020.6776437358642</v>
      </c>
      <c r="O25" s="203">
        <f t="shared" si="35"/>
        <v>55290.562035849369</v>
      </c>
      <c r="P25" s="203">
        <f t="shared" si="35"/>
        <v>152183.25171080852</v>
      </c>
      <c r="Q25" s="203">
        <f t="shared" si="35"/>
        <v>44375.976791378162</v>
      </c>
      <c r="R25" s="203">
        <f t="shared" si="26"/>
        <v>253870.46818177192</v>
      </c>
      <c r="S25" s="203">
        <f t="shared" si="35"/>
        <v>64341.740125131226</v>
      </c>
      <c r="T25" s="203">
        <f t="shared" si="35"/>
        <v>1185.2649621251085</v>
      </c>
      <c r="U25" s="203">
        <f t="shared" si="28"/>
        <v>65527.005087256337</v>
      </c>
      <c r="V25" s="203">
        <f t="shared" ref="V25" si="36">V12</f>
        <v>6582.6831830637402</v>
      </c>
      <c r="W25" s="203">
        <f t="shared" ref="W25:X25" si="37">W12</f>
        <v>6532460.8560739812</v>
      </c>
      <c r="X25" s="203">
        <f t="shared" si="37"/>
        <v>1097242.936259896</v>
      </c>
      <c r="Y25" s="201"/>
    </row>
    <row r="26" spans="1:25" ht="15.75">
      <c r="A26" s="196" t="s">
        <v>703</v>
      </c>
      <c r="B26" s="192"/>
      <c r="C26" s="204">
        <f>SUM(C21:C25)</f>
        <v>544890051.1392076</v>
      </c>
      <c r="D26" s="205">
        <f>SUM(D21:D25)</f>
        <v>257808326.89420894</v>
      </c>
      <c r="E26" s="204">
        <f t="shared" ref="E26:X26" si="38">SUM(E21:E25)</f>
        <v>81158652.223164424</v>
      </c>
      <c r="F26" s="204">
        <f t="shared" si="38"/>
        <v>1165730.3479321739</v>
      </c>
      <c r="G26" s="204">
        <f t="shared" si="38"/>
        <v>146813.56812473715</v>
      </c>
      <c r="H26" s="204">
        <f t="shared" si="38"/>
        <v>82471196.139221311</v>
      </c>
      <c r="I26" s="204">
        <f t="shared" si="38"/>
        <v>44431255.698812895</v>
      </c>
      <c r="J26" s="204">
        <f t="shared" si="38"/>
        <v>6803129.6668435009</v>
      </c>
      <c r="K26" s="204">
        <f t="shared" si="38"/>
        <v>1211403.9271719088</v>
      </c>
      <c r="L26" s="204">
        <f t="shared" si="38"/>
        <v>63773.753798972088</v>
      </c>
      <c r="M26" s="204">
        <f t="shared" si="38"/>
        <v>52509563.046627283</v>
      </c>
      <c r="N26" s="204">
        <f t="shared" si="38"/>
        <v>2103153.8239918719</v>
      </c>
      <c r="O26" s="204">
        <f t="shared" si="38"/>
        <v>25540913.90826387</v>
      </c>
      <c r="P26" s="204">
        <f t="shared" si="38"/>
        <v>85620739.287683666</v>
      </c>
      <c r="Q26" s="204">
        <f t="shared" si="38"/>
        <v>15059588.770555215</v>
      </c>
      <c r="R26" s="204">
        <f t="shared" si="38"/>
        <v>128324395.79049464</v>
      </c>
      <c r="S26" s="204">
        <f>SUM(S21:S25)</f>
        <v>12780792.031379059</v>
      </c>
      <c r="T26" s="204">
        <f t="shared" si="38"/>
        <v>239716.00613917291</v>
      </c>
      <c r="U26" s="204">
        <f t="shared" si="38"/>
        <v>13020508.037518233</v>
      </c>
      <c r="V26" s="204">
        <f t="shared" ref="V26" si="39">SUM(V21:V25)</f>
        <v>200833.86536828004</v>
      </c>
      <c r="W26" s="204">
        <f t="shared" si="38"/>
        <v>8967518.7723111194</v>
      </c>
      <c r="X26" s="204">
        <f t="shared" si="38"/>
        <v>1587708.5934578455</v>
      </c>
    </row>
    <row r="27" spans="1:25" ht="15.75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</row>
    <row r="28" spans="1:25" ht="15.75">
      <c r="A28" s="192"/>
      <c r="B28" s="192" t="s">
        <v>702</v>
      </c>
      <c r="C28" s="206">
        <f>(C13-C16)-C26</f>
        <v>0</v>
      </c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</row>
    <row r="29" spans="1:25" ht="15.75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</row>
    <row r="30" spans="1:25" ht="15.75">
      <c r="A30" s="192"/>
      <c r="B30" s="192"/>
      <c r="C30" s="204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</row>
    <row r="31" spans="1:25">
      <c r="B31" s="207" t="s">
        <v>895</v>
      </c>
    </row>
    <row r="32" spans="1:25" ht="15.75">
      <c r="B32" s="121" t="s">
        <v>773</v>
      </c>
      <c r="C32" s="659">
        <v>261487371.93847114</v>
      </c>
      <c r="D32" s="659">
        <v>126381117.94831064</v>
      </c>
      <c r="E32" s="659">
        <v>35449078.164739572</v>
      </c>
      <c r="F32" s="659">
        <v>473686.09527152695</v>
      </c>
      <c r="G32" s="659">
        <v>67093.514848227118</v>
      </c>
      <c r="H32" s="659">
        <v>35989857.774859324</v>
      </c>
      <c r="I32" s="659">
        <v>20470117.203836728</v>
      </c>
      <c r="J32" s="659">
        <v>3402381.1599069773</v>
      </c>
      <c r="K32" s="659">
        <v>702362.02335191285</v>
      </c>
      <c r="L32" s="659">
        <v>29250.707408546521</v>
      </c>
      <c r="M32" s="659">
        <v>24604111.094504163</v>
      </c>
      <c r="N32" s="659">
        <v>976404.00932256586</v>
      </c>
      <c r="O32" s="659">
        <v>11991623.253902733</v>
      </c>
      <c r="P32" s="659">
        <v>46724805.969579689</v>
      </c>
      <c r="Q32" s="659">
        <v>8284885.9057633281</v>
      </c>
      <c r="R32" s="659">
        <v>67977719.138568312</v>
      </c>
      <c r="S32" s="659">
        <v>5840688.6748419115</v>
      </c>
      <c r="T32" s="659">
        <v>117408.56376300599</v>
      </c>
      <c r="U32" s="659">
        <v>5958097.2386049172</v>
      </c>
      <c r="V32" s="659">
        <v>81581.474149711168</v>
      </c>
      <c r="W32" s="659">
        <v>407144.96601920691</v>
      </c>
      <c r="X32" s="659">
        <v>87742.303454860783</v>
      </c>
    </row>
    <row r="33" spans="2:24" ht="15.75">
      <c r="B33" s="121" t="s">
        <v>774</v>
      </c>
      <c r="C33" s="659">
        <v>-4056871.7779028509</v>
      </c>
      <c r="D33" s="659">
        <v>-7754246.6119174724</v>
      </c>
      <c r="E33" s="659">
        <v>1369882.0545604511</v>
      </c>
      <c r="F33" s="659">
        <v>12194.853034257914</v>
      </c>
      <c r="G33" s="659">
        <v>-2319.6714553846268</v>
      </c>
      <c r="H33" s="659">
        <v>1379757.2361393222</v>
      </c>
      <c r="I33" s="659">
        <v>550027.51756080356</v>
      </c>
      <c r="J33" s="659">
        <v>78975.353805442632</v>
      </c>
      <c r="K33" s="659">
        <v>16066.788147621201</v>
      </c>
      <c r="L33" s="659">
        <v>927.53302884127061</v>
      </c>
      <c r="M33" s="659">
        <v>645997.19254270906</v>
      </c>
      <c r="N33" s="659">
        <v>21092.078614662641</v>
      </c>
      <c r="O33" s="659">
        <v>203797.30268850306</v>
      </c>
      <c r="P33" s="659">
        <v>973788.80359642021</v>
      </c>
      <c r="Q33" s="659">
        <v>164405.20104492491</v>
      </c>
      <c r="R33" s="659">
        <v>1363083.3859445117</v>
      </c>
      <c r="S33" s="659">
        <v>238918.55337009439</v>
      </c>
      <c r="T33" s="659">
        <v>4802.1486766872058</v>
      </c>
      <c r="U33" s="659">
        <v>243720.70204678184</v>
      </c>
      <c r="V33" s="659">
        <v>5339.5878716967909</v>
      </c>
      <c r="W33" s="659">
        <v>47694.897773872013</v>
      </c>
      <c r="X33" s="659">
        <v>11781.83169574798</v>
      </c>
    </row>
    <row r="34" spans="2:24" ht="15.75">
      <c r="B34" s="121" t="s">
        <v>775</v>
      </c>
      <c r="C34" s="659">
        <v>-1114485.7486607069</v>
      </c>
      <c r="D34" s="659">
        <v>-2062163.2212471841</v>
      </c>
      <c r="E34" s="659">
        <v>356355.72105222393</v>
      </c>
      <c r="F34" s="659">
        <v>3070.849543281829</v>
      </c>
      <c r="G34" s="659">
        <v>-904.37505799096925</v>
      </c>
      <c r="H34" s="659">
        <v>358522.19553751487</v>
      </c>
      <c r="I34" s="659">
        <v>138050.84301936894</v>
      </c>
      <c r="J34" s="659">
        <v>19612.319226338142</v>
      </c>
      <c r="K34" s="659">
        <v>5154.8453463726601</v>
      </c>
      <c r="L34" s="659">
        <v>0</v>
      </c>
      <c r="M34" s="659">
        <v>162818.0075920797</v>
      </c>
      <c r="N34" s="659">
        <v>5031.4608284205642</v>
      </c>
      <c r="O34" s="659">
        <v>49372.805915134435</v>
      </c>
      <c r="P34" s="659">
        <v>308836.06738831365</v>
      </c>
      <c r="Q34" s="659">
        <v>0</v>
      </c>
      <c r="R34" s="659">
        <v>363240.33413186891</v>
      </c>
      <c r="S34" s="659">
        <v>60503.501494671895</v>
      </c>
      <c r="T34" s="659">
        <v>1222.9934603297663</v>
      </c>
      <c r="U34" s="659">
        <v>61726.494955001646</v>
      </c>
      <c r="V34" s="659">
        <v>1370.4403700147345</v>
      </c>
      <c r="W34" s="659">
        <v>0</v>
      </c>
      <c r="X34" s="659">
        <v>0</v>
      </c>
    </row>
    <row r="35" spans="2:24" ht="15.75">
      <c r="B35" s="121" t="s">
        <v>776</v>
      </c>
      <c r="C35" s="659">
        <v>74599754.377224386</v>
      </c>
      <c r="D35" s="659">
        <v>42886747.338956222</v>
      </c>
      <c r="E35" s="659">
        <v>14601646.616607543</v>
      </c>
      <c r="F35" s="659">
        <v>192110.15325288053</v>
      </c>
      <c r="G35" s="659">
        <v>0</v>
      </c>
      <c r="H35" s="659">
        <v>14793756.76986042</v>
      </c>
      <c r="I35" s="659">
        <v>8101385.6047757491</v>
      </c>
      <c r="J35" s="659">
        <v>1364902.1991232364</v>
      </c>
      <c r="K35" s="659">
        <v>0</v>
      </c>
      <c r="L35" s="659">
        <v>0</v>
      </c>
      <c r="M35" s="659">
        <v>9466287.8038989846</v>
      </c>
      <c r="N35" s="659">
        <v>363710.66063671582</v>
      </c>
      <c r="O35" s="659">
        <v>4647702.690877879</v>
      </c>
      <c r="P35" s="659">
        <v>0</v>
      </c>
      <c r="Q35" s="659">
        <v>0</v>
      </c>
      <c r="R35" s="659">
        <v>5011413.3515145946</v>
      </c>
      <c r="S35" s="659">
        <v>2359746.1661305064</v>
      </c>
      <c r="T35" s="659">
        <v>47584.206090915744</v>
      </c>
      <c r="U35" s="659">
        <v>2407330.3722214219</v>
      </c>
      <c r="V35" s="659">
        <v>34218.74077274189</v>
      </c>
      <c r="W35" s="659">
        <v>0</v>
      </c>
      <c r="X35" s="659">
        <v>0</v>
      </c>
    </row>
    <row r="36" spans="2:24" ht="15.75">
      <c r="B36" s="121" t="s">
        <v>777</v>
      </c>
      <c r="C36" s="659">
        <v>31490215.587804891</v>
      </c>
      <c r="D36" s="659">
        <v>20643519.272159707</v>
      </c>
      <c r="E36" s="659">
        <v>6281958.4713374497</v>
      </c>
      <c r="F36" s="659">
        <v>0</v>
      </c>
      <c r="G36" s="659">
        <v>0</v>
      </c>
      <c r="H36" s="659">
        <v>6281958.4713374497</v>
      </c>
      <c r="I36" s="659">
        <v>2993153.3375029201</v>
      </c>
      <c r="J36" s="659">
        <v>0</v>
      </c>
      <c r="K36" s="659">
        <v>0</v>
      </c>
      <c r="L36" s="659">
        <v>0</v>
      </c>
      <c r="M36" s="659">
        <v>2993153.3375029201</v>
      </c>
      <c r="N36" s="659">
        <v>110773.85999087317</v>
      </c>
      <c r="O36" s="659">
        <v>0</v>
      </c>
      <c r="P36" s="659">
        <v>0</v>
      </c>
      <c r="Q36" s="659">
        <v>0</v>
      </c>
      <c r="R36" s="659">
        <v>110773.85999087317</v>
      </c>
      <c r="S36" s="659">
        <v>901534.30641840748</v>
      </c>
      <c r="T36" s="659">
        <v>0</v>
      </c>
      <c r="U36" s="659">
        <v>901534.30641840748</v>
      </c>
      <c r="V36" s="659">
        <v>11805.197121190038</v>
      </c>
      <c r="W36" s="659">
        <v>447269.57257160952</v>
      </c>
      <c r="X36" s="659">
        <v>100201.57070273347</v>
      </c>
    </row>
    <row r="37" spans="2:24" ht="15.75">
      <c r="B37" s="121" t="s">
        <v>778</v>
      </c>
      <c r="C37" s="659">
        <v>156851435.52185181</v>
      </c>
      <c r="D37" s="659">
        <v>65087601.979829386</v>
      </c>
      <c r="E37" s="659">
        <v>18864651.763203476</v>
      </c>
      <c r="F37" s="659">
        <v>257957.81567282529</v>
      </c>
      <c r="G37" s="659">
        <v>47025.057933629541</v>
      </c>
      <c r="H37" s="659">
        <v>19169634.63680993</v>
      </c>
      <c r="I37" s="659">
        <v>11987392.637570286</v>
      </c>
      <c r="J37" s="659">
        <v>1854845.1036918117</v>
      </c>
      <c r="K37" s="659">
        <v>396722.27871403954</v>
      </c>
      <c r="L37" s="659">
        <v>17737.541772342138</v>
      </c>
      <c r="M37" s="659">
        <v>14256697.56174848</v>
      </c>
      <c r="N37" s="659">
        <v>653111.07695489808</v>
      </c>
      <c r="O37" s="659">
        <v>8574467.2928437721</v>
      </c>
      <c r="P37" s="659">
        <v>37256827.195408434</v>
      </c>
      <c r="Q37" s="659">
        <v>6692587.6869555842</v>
      </c>
      <c r="R37" s="659">
        <v>53176993.252162695</v>
      </c>
      <c r="S37" s="659">
        <v>3362025.0889983373</v>
      </c>
      <c r="T37" s="659">
        <v>68434.829186109069</v>
      </c>
      <c r="U37" s="659">
        <v>3430459.9181844466</v>
      </c>
      <c r="V37" s="659">
        <v>61149.741899861663</v>
      </c>
      <c r="W37" s="659">
        <v>1379768.4798724493</v>
      </c>
      <c r="X37" s="659">
        <v>289129.95134460717</v>
      </c>
    </row>
    <row r="38" spans="2:24" ht="15.75">
      <c r="B38" s="121" t="s">
        <v>779</v>
      </c>
      <c r="C38" s="659">
        <v>26750169.840418894</v>
      </c>
      <c r="D38" s="659">
        <v>13525406.788117623</v>
      </c>
      <c r="E38" s="659">
        <v>4521729.4316637022</v>
      </c>
      <c r="F38" s="659">
        <v>232024.58115740126</v>
      </c>
      <c r="G38" s="659">
        <v>34999.041856256074</v>
      </c>
      <c r="H38" s="659">
        <v>4788753.0546773598</v>
      </c>
      <c r="I38" s="659">
        <v>297717.55454703938</v>
      </c>
      <c r="J38" s="659">
        <v>79005.531089695287</v>
      </c>
      <c r="K38" s="659">
        <v>91194.9916119626</v>
      </c>
      <c r="L38" s="659">
        <v>12407.971589242159</v>
      </c>
      <c r="M38" s="659">
        <v>480326.04883793951</v>
      </c>
      <c r="N38" s="659">
        <v>2020.6776437358642</v>
      </c>
      <c r="O38" s="659">
        <v>55290.562035849369</v>
      </c>
      <c r="P38" s="659">
        <v>152183.25171080852</v>
      </c>
      <c r="Q38" s="659">
        <v>44375.976791378162</v>
      </c>
      <c r="R38" s="659">
        <v>253870.46818177187</v>
      </c>
      <c r="S38" s="659">
        <v>64341.740125131226</v>
      </c>
      <c r="T38" s="659">
        <v>1185.2649621251085</v>
      </c>
      <c r="U38" s="659">
        <v>65527.005087256337</v>
      </c>
      <c r="V38" s="659">
        <v>6582.6831830637402</v>
      </c>
      <c r="W38" s="659">
        <v>6532460.8560739812</v>
      </c>
      <c r="X38" s="659">
        <v>1097242.936259896</v>
      </c>
    </row>
    <row r="39" spans="2:24" ht="15.75">
      <c r="B39" s="121" t="s">
        <v>714</v>
      </c>
      <c r="C39" s="659">
        <v>546007589.73920763</v>
      </c>
      <c r="D39" s="659">
        <v>258707983.49420899</v>
      </c>
      <c r="E39" s="659">
        <v>81445302.223164409</v>
      </c>
      <c r="F39" s="659">
        <v>1171044.3479321739</v>
      </c>
      <c r="G39" s="659">
        <v>145893.56812473718</v>
      </c>
      <c r="H39" s="659">
        <v>82762240.139221326</v>
      </c>
      <c r="I39" s="659">
        <v>44537844.698812887</v>
      </c>
      <c r="J39" s="659">
        <v>6799721.6668435019</v>
      </c>
      <c r="K39" s="659">
        <v>1211500.927171909</v>
      </c>
      <c r="L39" s="659">
        <v>60323.753798972102</v>
      </c>
      <c r="M39" s="659">
        <v>52609391.046627283</v>
      </c>
      <c r="N39" s="659">
        <v>2132143.8239918724</v>
      </c>
      <c r="O39" s="659">
        <v>25522253.908263881</v>
      </c>
      <c r="P39" s="659">
        <v>85416441.287683651</v>
      </c>
      <c r="Q39" s="659">
        <v>15186254.770555221</v>
      </c>
      <c r="R39" s="659">
        <v>128257093.79049464</v>
      </c>
      <c r="S39" s="659">
        <v>12827758.031379063</v>
      </c>
      <c r="T39" s="659">
        <v>240638.00613917288</v>
      </c>
      <c r="U39" s="659">
        <v>13068396.037518231</v>
      </c>
      <c r="V39" s="659">
        <v>202047.86536828004</v>
      </c>
      <c r="W39" s="659">
        <v>8814338.7723111194</v>
      </c>
      <c r="X39" s="659">
        <v>1586098.5934578457</v>
      </c>
    </row>
    <row r="41" spans="2:24" s="208" customFormat="1">
      <c r="C41" s="208" t="s">
        <v>9</v>
      </c>
    </row>
    <row r="43" spans="2:24">
      <c r="B43" s="121" t="s">
        <v>1023</v>
      </c>
      <c r="C43" s="640">
        <f>C32-C44</f>
        <v>164590877.29765698</v>
      </c>
      <c r="D43" s="640"/>
      <c r="E43" s="640"/>
      <c r="F43" s="640"/>
      <c r="G43" s="640"/>
      <c r="H43" s="640"/>
      <c r="I43" s="640"/>
      <c r="J43" s="640"/>
      <c r="K43" s="640"/>
      <c r="L43" s="640"/>
      <c r="M43" s="640"/>
      <c r="N43" s="640"/>
      <c r="O43" s="640"/>
      <c r="P43" s="640"/>
      <c r="Q43" s="640"/>
      <c r="R43" s="640"/>
      <c r="S43" s="640"/>
      <c r="T43" s="640"/>
      <c r="U43" s="640"/>
      <c r="V43" s="640"/>
      <c r="W43" s="640"/>
      <c r="X43" s="640"/>
    </row>
    <row r="44" spans="2:24">
      <c r="B44" s="121" t="s">
        <v>1022</v>
      </c>
      <c r="C44" s="708">
        <v>96896494.640814155</v>
      </c>
    </row>
    <row r="45" spans="2:24">
      <c r="B45" s="121" t="s">
        <v>265</v>
      </c>
      <c r="C45" s="709">
        <f>C33+C34</f>
        <v>-5171357.5265635578</v>
      </c>
    </row>
    <row r="46" spans="2:24" ht="15.75">
      <c r="B46" s="121" t="s">
        <v>776</v>
      </c>
      <c r="C46" s="659">
        <v>74599768.303522184</v>
      </c>
    </row>
    <row r="47" spans="2:24" ht="15.75">
      <c r="B47" s="121" t="s">
        <v>777</v>
      </c>
      <c r="C47" s="659">
        <v>31490223.057340361</v>
      </c>
    </row>
    <row r="48" spans="2:24" ht="15.75">
      <c r="B48" s="121" t="s">
        <v>778</v>
      </c>
      <c r="C48" s="659">
        <v>156851445.49347439</v>
      </c>
    </row>
    <row r="49" spans="2:4" ht="15.75">
      <c r="B49" s="121" t="s">
        <v>779</v>
      </c>
      <c r="C49" s="659">
        <v>26750173.067583866</v>
      </c>
    </row>
    <row r="50" spans="2:4">
      <c r="B50" s="121" t="s">
        <v>9</v>
      </c>
      <c r="C50" s="640">
        <f>SUM(C43:C49)</f>
        <v>546007624.33382845</v>
      </c>
    </row>
    <row r="54" spans="2:4">
      <c r="B54" s="121" t="s">
        <v>1024</v>
      </c>
      <c r="C54" s="711">
        <f>D54/$D$57</f>
        <v>0.5887139821230809</v>
      </c>
      <c r="D54" s="708">
        <f>C43+C48</f>
        <v>321442322.79113138</v>
      </c>
    </row>
    <row r="55" spans="2:4">
      <c r="B55" s="121" t="s">
        <v>1025</v>
      </c>
      <c r="C55" s="711">
        <f t="shared" ref="C55:C56" si="40">D55/$D$57</f>
        <v>0.16799241077661209</v>
      </c>
      <c r="D55" s="708">
        <f>SUM(C44:C45)</f>
        <v>91725137.1142506</v>
      </c>
    </row>
    <row r="56" spans="2:4">
      <c r="B56" s="121" t="s">
        <v>1026</v>
      </c>
      <c r="C56" s="711">
        <f t="shared" si="40"/>
        <v>0.24329360710030687</v>
      </c>
      <c r="D56" s="710">
        <f>SUM(C46,C47,C49)</f>
        <v>132840164.42844641</v>
      </c>
    </row>
    <row r="57" spans="2:4">
      <c r="D57" s="709">
        <f>SUM(D54:D56)</f>
        <v>546007624.33382845</v>
      </c>
    </row>
  </sheetData>
  <pageMargins left="0.25" right="0.25" top="0.25" bottom="0.25" header="0.25" footer="0.25"/>
  <pageSetup scale="91" orientation="landscape" r:id="rId1"/>
  <headerFooter>
    <oddHeader>&amp;RExhibit AEV 1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84"/>
  <sheetViews>
    <sheetView showOutlineSymbols="0" zoomScaleNormal="100" workbookViewId="0">
      <selection activeCell="G30" sqref="G30:H30"/>
    </sheetView>
  </sheetViews>
  <sheetFormatPr defaultColWidth="9.75" defaultRowHeight="15"/>
  <cols>
    <col min="1" max="1" width="4.75" style="45" customWidth="1"/>
    <col min="2" max="2" width="4" style="37" customWidth="1"/>
    <col min="3" max="3" width="34.5" style="37" bestFit="1" customWidth="1"/>
    <col min="4" max="4" width="12.25" style="37" bestFit="1" customWidth="1"/>
    <col min="5" max="5" width="2.625" style="35" customWidth="1"/>
    <col min="6" max="6" width="14.375" style="37" bestFit="1" customWidth="1"/>
    <col min="7" max="7" width="2.375" style="37" customWidth="1"/>
    <col min="8" max="8" width="13.25" style="37" customWidth="1"/>
    <col min="9" max="9" width="2.75" style="37" customWidth="1"/>
    <col min="10" max="10" width="12.5" style="37" bestFit="1" customWidth="1"/>
    <col min="11" max="11" width="12.25" style="37" bestFit="1" customWidth="1"/>
    <col min="12" max="16384" width="9.75" style="37"/>
  </cols>
  <sheetData>
    <row r="1" spans="1:10" ht="15.75">
      <c r="B1" s="756" t="s">
        <v>1029</v>
      </c>
    </row>
    <row r="2" spans="1:10">
      <c r="A2" s="333" t="s">
        <v>115</v>
      </c>
      <c r="B2" s="335" t="s">
        <v>86</v>
      </c>
      <c r="C2" s="335"/>
      <c r="D2" s="336"/>
      <c r="E2" s="43"/>
      <c r="F2" s="333"/>
      <c r="G2" s="336"/>
      <c r="H2" s="333"/>
    </row>
    <row r="3" spans="1:10">
      <c r="D3" s="337" t="s">
        <v>242</v>
      </c>
      <c r="E3" s="42"/>
      <c r="F3" s="337" t="s">
        <v>241</v>
      </c>
      <c r="G3" s="45"/>
      <c r="H3" s="337" t="s">
        <v>266</v>
      </c>
      <c r="J3" s="337" t="s">
        <v>265</v>
      </c>
    </row>
    <row r="4" spans="1:10">
      <c r="C4" s="338" t="s">
        <v>285</v>
      </c>
      <c r="D4" s="337"/>
      <c r="E4" s="42"/>
      <c r="F4" s="337"/>
      <c r="G4" s="45"/>
      <c r="H4" s="337"/>
      <c r="J4" s="337"/>
    </row>
    <row r="5" spans="1:10">
      <c r="C5" s="37" t="s">
        <v>6</v>
      </c>
      <c r="D5" s="48">
        <f>LGS!J6</f>
        <v>41555736.963783689</v>
      </c>
      <c r="E5" s="44"/>
      <c r="F5" s="48">
        <f>LGS!J23</f>
        <v>5038523.5279315664</v>
      </c>
      <c r="H5" s="48">
        <f>LGS!J30</f>
        <v>723521.00644614873</v>
      </c>
      <c r="J5" s="48">
        <f>LGS!J37</f>
        <v>32351.113856280783</v>
      </c>
    </row>
    <row r="6" spans="1:10">
      <c r="C6" s="37" t="s">
        <v>7</v>
      </c>
      <c r="D6" s="39">
        <f>LGS!J7</f>
        <v>15294251.471736092</v>
      </c>
      <c r="E6" s="46"/>
      <c r="F6" s="39">
        <f>LGS!J24</f>
        <v>1924131.3489992875</v>
      </c>
      <c r="H6" s="39">
        <f>LGS!J31</f>
        <v>396687.92911379749</v>
      </c>
      <c r="J6" s="39">
        <f>LGS!J38</f>
        <v>-80813.331646550854</v>
      </c>
    </row>
    <row r="7" spans="1:10">
      <c r="C7" s="37" t="s">
        <v>8</v>
      </c>
      <c r="D7" s="54">
        <f>LGS!J8</f>
        <v>362059.2946721706</v>
      </c>
      <c r="E7" s="46"/>
      <c r="F7" s="54">
        <f>LGS!J25</f>
        <v>80190.796051820391</v>
      </c>
      <c r="H7" s="54">
        <f>LGS!J32</f>
        <v>91194.9916119626</v>
      </c>
      <c r="J7" s="54">
        <f>LGS!J39</f>
        <v>12407.971589242159</v>
      </c>
    </row>
    <row r="8" spans="1:10">
      <c r="D8" s="48"/>
      <c r="E8" s="44"/>
      <c r="F8" s="48"/>
      <c r="H8" s="48"/>
      <c r="J8" s="48"/>
    </row>
    <row r="9" spans="1:10">
      <c r="C9" s="37" t="s">
        <v>166</v>
      </c>
      <c r="D9" s="48">
        <f>SUM(D5:D7)</f>
        <v>57212047.730191953</v>
      </c>
      <c r="E9" s="44"/>
      <c r="F9" s="48">
        <f>SUM(F5:F7)</f>
        <v>7042845.6729826741</v>
      </c>
      <c r="H9" s="48">
        <f>SUM(H5:H7)</f>
        <v>1211403.9271719088</v>
      </c>
      <c r="J9" s="48">
        <f>SUM(J5:J7)</f>
        <v>-36054.246201027912</v>
      </c>
    </row>
    <row r="12" spans="1:10">
      <c r="A12" s="333" t="s">
        <v>12</v>
      </c>
      <c r="B12" s="335" t="s">
        <v>17</v>
      </c>
      <c r="C12" s="335"/>
      <c r="D12" s="336"/>
      <c r="E12" s="43"/>
      <c r="F12" s="333"/>
      <c r="G12" s="336"/>
      <c r="H12" s="333"/>
      <c r="J12" s="333"/>
    </row>
    <row r="14" spans="1:10" s="49" customFormat="1">
      <c r="C14" s="403" t="s">
        <v>284</v>
      </c>
      <c r="D14" s="48">
        <f>+D7</f>
        <v>362059.2946721706</v>
      </c>
      <c r="E14" s="403"/>
      <c r="F14" s="48">
        <f>+F7</f>
        <v>80190.796051820391</v>
      </c>
      <c r="G14" s="55"/>
      <c r="H14" s="48">
        <f>+H7</f>
        <v>91194.9916119626</v>
      </c>
      <c r="J14" s="48">
        <f>+J7</f>
        <v>12407.971589242159</v>
      </c>
    </row>
    <row r="15" spans="1:10" s="49" customFormat="1">
      <c r="C15" s="49" t="s">
        <v>282</v>
      </c>
      <c r="D15" s="54">
        <f>LGS!D58+LGS!D273</f>
        <v>8268</v>
      </c>
      <c r="E15" s="51"/>
      <c r="F15" s="54">
        <f>LGS!F58</f>
        <v>653</v>
      </c>
      <c r="H15" s="54">
        <f>LGS!H58</f>
        <v>143</v>
      </c>
      <c r="J15" s="54">
        <f>LGS!J58</f>
        <v>12</v>
      </c>
    </row>
    <row r="16" spans="1:10" s="49" customFormat="1">
      <c r="E16" s="404"/>
    </row>
    <row r="17" spans="1:11" s="49" customFormat="1">
      <c r="C17" s="49" t="s">
        <v>283</v>
      </c>
      <c r="D17" s="52">
        <f>ROUND(+D14/D15,2)</f>
        <v>43.79</v>
      </c>
      <c r="E17" s="403"/>
      <c r="F17" s="52">
        <f>ROUND(+F14/F15,2)</f>
        <v>122.8</v>
      </c>
      <c r="H17" s="52">
        <f>ROUND(+H14/H15,2)</f>
        <v>637.73</v>
      </c>
      <c r="J17" s="52">
        <f>ROUND(+J14/J15,2)</f>
        <v>1034</v>
      </c>
    </row>
    <row r="18" spans="1:11" s="49" customFormat="1">
      <c r="D18" s="405"/>
      <c r="E18" s="403"/>
      <c r="F18" s="405"/>
      <c r="H18" s="405"/>
      <c r="J18" s="405"/>
    </row>
    <row r="19" spans="1:11" s="49" customFormat="1">
      <c r="C19" s="49" t="s">
        <v>16</v>
      </c>
      <c r="D19" s="52">
        <f>LGS!J82</f>
        <v>85</v>
      </c>
      <c r="E19" s="53"/>
      <c r="F19" s="52">
        <f>LGS!J83</f>
        <v>127.5</v>
      </c>
      <c r="H19" s="52">
        <f>LGS!J84</f>
        <v>660</v>
      </c>
      <c r="J19" s="52">
        <f>LGS!J85</f>
        <v>660</v>
      </c>
    </row>
    <row r="20" spans="1:11" s="49" customFormat="1">
      <c r="D20" s="52"/>
      <c r="E20" s="53"/>
      <c r="F20" s="52"/>
      <c r="H20" s="52"/>
      <c r="J20" s="52"/>
    </row>
    <row r="21" spans="1:11" s="49" customFormat="1">
      <c r="C21" s="49" t="s">
        <v>282</v>
      </c>
      <c r="D21" s="50">
        <f>D15</f>
        <v>8268</v>
      </c>
      <c r="E21" s="51"/>
      <c r="F21" s="50">
        <f>F15</f>
        <v>653</v>
      </c>
      <c r="H21" s="50">
        <f>H15</f>
        <v>143</v>
      </c>
      <c r="J21" s="50">
        <f>J15</f>
        <v>12</v>
      </c>
    </row>
    <row r="22" spans="1:11" s="49" customFormat="1"/>
    <row r="23" spans="1:11" s="49" customFormat="1">
      <c r="C23" s="49" t="s">
        <v>281</v>
      </c>
      <c r="D23" s="405">
        <f>+ROUND(D19*D21,0)</f>
        <v>702780</v>
      </c>
      <c r="E23" s="403"/>
      <c r="F23" s="405">
        <f>+ROUND(F19*F21,0)</f>
        <v>83258</v>
      </c>
      <c r="H23" s="405">
        <f>+ROUND(H19*H21,0)</f>
        <v>94380</v>
      </c>
      <c r="J23" s="405">
        <f>+ROUND(J19*J21,0)</f>
        <v>7920</v>
      </c>
    </row>
    <row r="24" spans="1:11" s="49" customFormat="1"/>
    <row r="25" spans="1:11" s="49" customFormat="1"/>
    <row r="26" spans="1:11">
      <c r="A26" s="333" t="s">
        <v>18</v>
      </c>
      <c r="B26" s="335" t="s">
        <v>19</v>
      </c>
      <c r="C26" s="335"/>
      <c r="D26" s="336"/>
      <c r="E26" s="43"/>
      <c r="F26" s="333"/>
      <c r="G26" s="336"/>
      <c r="H26" s="333"/>
      <c r="J26" s="333"/>
    </row>
    <row r="27" spans="1:11">
      <c r="D27" s="337" t="s">
        <v>242</v>
      </c>
      <c r="E27" s="42"/>
      <c r="F27" s="337" t="s">
        <v>241</v>
      </c>
      <c r="G27" s="45"/>
      <c r="H27" s="337" t="s">
        <v>266</v>
      </c>
      <c r="J27" s="337" t="s">
        <v>265</v>
      </c>
      <c r="K27" s="406" t="s">
        <v>9</v>
      </c>
    </row>
    <row r="28" spans="1:11">
      <c r="D28" s="337"/>
      <c r="E28" s="42"/>
      <c r="F28" s="337"/>
      <c r="G28" s="45"/>
      <c r="H28" s="337"/>
      <c r="J28" s="337"/>
    </row>
    <row r="29" spans="1:11">
      <c r="C29" s="37" t="s">
        <v>20</v>
      </c>
      <c r="D29" s="48">
        <f>+D6</f>
        <v>15294251.471736092</v>
      </c>
      <c r="E29" s="44"/>
      <c r="F29" s="48">
        <f>+F6</f>
        <v>1924131.3489992875</v>
      </c>
      <c r="H29" s="48">
        <f>+H6</f>
        <v>396687.92911379749</v>
      </c>
      <c r="J29" s="48">
        <f>+J6</f>
        <v>-80813.331646550854</v>
      </c>
      <c r="K29" s="48">
        <f>SUM(D29:J29)</f>
        <v>17534257.418202627</v>
      </c>
    </row>
    <row r="30" spans="1:11">
      <c r="C30" s="37" t="s">
        <v>280</v>
      </c>
      <c r="D30" s="39">
        <f>LGS!D57+LGS!D271+LGS!D272</f>
        <v>470165985.54688603</v>
      </c>
      <c r="E30" s="47"/>
      <c r="F30" s="39">
        <f>LGS!F57</f>
        <v>66147609.408416338</v>
      </c>
      <c r="H30" s="39">
        <f>LGS!H57</f>
        <v>13838703.611464968</v>
      </c>
      <c r="J30" s="39">
        <f>LGS!J57</f>
        <v>527074.54545454541</v>
      </c>
    </row>
    <row r="31" spans="1:11">
      <c r="C31" s="37" t="s">
        <v>261</v>
      </c>
      <c r="D31" s="41">
        <f>LGS!$F139</f>
        <v>1</v>
      </c>
      <c r="E31" s="40"/>
      <c r="F31" s="41">
        <f>LGS!$F140</f>
        <v>0.98647425822736579</v>
      </c>
      <c r="G31" s="41"/>
      <c r="H31" s="41">
        <f>LGS!$F141</f>
        <v>0.97817783492879939</v>
      </c>
      <c r="I31" s="41"/>
      <c r="J31" s="41">
        <f>LGS!$F142</f>
        <v>0.97002428918416927</v>
      </c>
    </row>
    <row r="32" spans="1:11">
      <c r="C32" s="37" t="s">
        <v>260</v>
      </c>
      <c r="D32" s="39">
        <f>D30*D31</f>
        <v>470165985.54688603</v>
      </c>
      <c r="E32" s="40"/>
      <c r="F32" s="39">
        <f>F30*F31</f>
        <v>65252913.92468103</v>
      </c>
      <c r="G32" s="41"/>
      <c r="H32" s="39">
        <f>H30*H31</f>
        <v>13536713.13688416</v>
      </c>
      <c r="I32" s="41"/>
      <c r="J32" s="39">
        <f>J30*J31</f>
        <v>511275.11130161455</v>
      </c>
      <c r="K32" s="39">
        <f>SUM(D32:J32)</f>
        <v>549466887.71975291</v>
      </c>
    </row>
    <row r="34" spans="1:11">
      <c r="C34" s="37" t="s">
        <v>279</v>
      </c>
      <c r="D34" s="36">
        <f>ROUND(D31*$K34,5)</f>
        <v>3.1910000000000001E-2</v>
      </c>
      <c r="F34" s="36">
        <f>ROUND(F31*$K34,5)</f>
        <v>3.1480000000000001E-2</v>
      </c>
      <c r="H34" s="36">
        <f>ROUND(H31*$K34,5)</f>
        <v>3.1220000000000001E-2</v>
      </c>
      <c r="J34" s="36">
        <f>ROUND(J31*$K34,5)</f>
        <v>3.0949999999999998E-2</v>
      </c>
      <c r="K34" s="36">
        <f>K29/K32</f>
        <v>3.1911399594921001E-2</v>
      </c>
    </row>
    <row r="35" spans="1:11">
      <c r="C35" s="37" t="s">
        <v>24</v>
      </c>
      <c r="D35" s="678">
        <v>2.5000000000000001E-2</v>
      </c>
      <c r="F35" s="36">
        <f>+D35</f>
        <v>2.5000000000000001E-2</v>
      </c>
      <c r="H35" s="36">
        <f>+F35</f>
        <v>2.5000000000000001E-2</v>
      </c>
      <c r="J35" s="36">
        <f>+H35</f>
        <v>2.5000000000000001E-2</v>
      </c>
    </row>
    <row r="37" spans="1:11">
      <c r="C37" s="37" t="s">
        <v>278</v>
      </c>
      <c r="D37" s="36">
        <f>+D34+D35</f>
        <v>5.6910000000000002E-2</v>
      </c>
      <c r="F37" s="36">
        <f>+F35+F34</f>
        <v>5.6480000000000002E-2</v>
      </c>
      <c r="H37" s="36">
        <f>+H35+H34</f>
        <v>5.6220000000000006E-2</v>
      </c>
      <c r="J37" s="36">
        <f>+J35+J34</f>
        <v>5.595E-2</v>
      </c>
    </row>
    <row r="39" spans="1:11">
      <c r="C39" s="37" t="s">
        <v>25</v>
      </c>
      <c r="D39" s="36">
        <f>D37</f>
        <v>5.6910000000000002E-2</v>
      </c>
      <c r="F39" s="36">
        <f>F37</f>
        <v>5.6480000000000002E-2</v>
      </c>
      <c r="H39" s="36">
        <f>H37</f>
        <v>5.6220000000000006E-2</v>
      </c>
      <c r="J39" s="36">
        <f>J37</f>
        <v>5.595E-2</v>
      </c>
    </row>
    <row r="41" spans="1:11" ht="15.75">
      <c r="C41" s="37" t="s">
        <v>26</v>
      </c>
      <c r="D41" s="788">
        <f>LGS!H234</f>
        <v>0.47710000000000002</v>
      </c>
      <c r="E41" s="786"/>
      <c r="F41" s="788">
        <v>0.47739999999999999</v>
      </c>
      <c r="G41" s="787"/>
      <c r="H41" s="788">
        <v>0.47489999999999999</v>
      </c>
      <c r="I41" s="787"/>
      <c r="J41" s="788">
        <v>0.47689999999999999</v>
      </c>
      <c r="K41" s="361"/>
    </row>
    <row r="42" spans="1:11" ht="15.75">
      <c r="C42" s="37" t="s">
        <v>77</v>
      </c>
      <c r="D42" s="39">
        <f>+ROUND(D41*D30,0)</f>
        <v>224316192</v>
      </c>
      <c r="F42" s="39">
        <f>+ROUND(F41*F30,0)</f>
        <v>31578869</v>
      </c>
      <c r="H42" s="39">
        <f>+ROUND(H41*H30,0)</f>
        <v>6572000</v>
      </c>
      <c r="J42" s="39">
        <f>+ROUND(J41*J30,0)</f>
        <v>251362</v>
      </c>
      <c r="K42" s="361"/>
    </row>
    <row r="43" spans="1:11" ht="15.75">
      <c r="C43" s="37" t="s">
        <v>277</v>
      </c>
      <c r="D43" s="407">
        <f>+D39</f>
        <v>5.6910000000000002E-2</v>
      </c>
      <c r="F43" s="407">
        <f>+F39</f>
        <v>5.6480000000000002E-2</v>
      </c>
      <c r="H43" s="407">
        <f>+H39</f>
        <v>5.6220000000000006E-2</v>
      </c>
      <c r="J43" s="407">
        <f>+J39</f>
        <v>5.595E-2</v>
      </c>
      <c r="K43" s="361"/>
    </row>
    <row r="44" spans="1:11" ht="15.75">
      <c r="K44" s="361"/>
    </row>
    <row r="45" spans="1:11" ht="15.75">
      <c r="C45" s="37" t="s">
        <v>28</v>
      </c>
      <c r="D45" s="48">
        <f>+D42*D43</f>
        <v>12765834.486720001</v>
      </c>
      <c r="E45" s="44"/>
      <c r="F45" s="48">
        <f>+F42*F43</f>
        <v>1783574.5211200002</v>
      </c>
      <c r="H45" s="48">
        <f>+H42*H43</f>
        <v>369477.84</v>
      </c>
      <c r="J45" s="48">
        <f>+J42*J43</f>
        <v>14063.7039</v>
      </c>
      <c r="K45" s="361"/>
    </row>
    <row r="46" spans="1:11">
      <c r="B46" s="408"/>
      <c r="D46" s="48"/>
      <c r="E46" s="44"/>
      <c r="F46" s="48"/>
    </row>
    <row r="47" spans="1:11">
      <c r="D47" s="48"/>
      <c r="E47" s="44"/>
      <c r="F47" s="48"/>
    </row>
    <row r="48" spans="1:11">
      <c r="A48" s="333" t="s">
        <v>29</v>
      </c>
      <c r="B48" s="335" t="s">
        <v>276</v>
      </c>
      <c r="C48" s="335"/>
      <c r="D48" s="336"/>
      <c r="E48" s="43"/>
      <c r="F48" s="333"/>
      <c r="G48" s="336"/>
      <c r="H48" s="333"/>
    </row>
    <row r="49" spans="1:11">
      <c r="D49" s="48"/>
      <c r="E49" s="44"/>
      <c r="F49" s="48"/>
    </row>
    <row r="50" spans="1:11">
      <c r="D50" s="45" t="s">
        <v>275</v>
      </c>
      <c r="E50" s="37"/>
      <c r="F50" s="45" t="s">
        <v>274</v>
      </c>
      <c r="H50" s="45" t="s">
        <v>273</v>
      </c>
    </row>
    <row r="51" spans="1:11">
      <c r="D51" s="409" t="s">
        <v>6</v>
      </c>
      <c r="E51" s="37"/>
      <c r="F51" s="409" t="s">
        <v>272</v>
      </c>
      <c r="H51" s="409" t="s">
        <v>1</v>
      </c>
    </row>
    <row r="52" spans="1:11">
      <c r="E52" s="37"/>
    </row>
    <row r="53" spans="1:11">
      <c r="C53" s="37" t="s">
        <v>271</v>
      </c>
      <c r="D53" s="39">
        <f>LGS!D55</f>
        <v>1420318.4947228625</v>
      </c>
      <c r="E53" s="37"/>
      <c r="F53" s="410">
        <f>'Off Peak xcs'!I18</f>
        <v>11.229999999999999</v>
      </c>
      <c r="H53" s="48">
        <f>+D53*F53</f>
        <v>15950176.695737744</v>
      </c>
    </row>
    <row r="54" spans="1:11">
      <c r="C54" s="37" t="s">
        <v>270</v>
      </c>
      <c r="D54" s="46">
        <f>LGS!F55</f>
        <v>264980.05033557047</v>
      </c>
      <c r="E54" s="37"/>
      <c r="F54" s="411">
        <f>'Off Peak xcs'!I20</f>
        <v>8.39</v>
      </c>
      <c r="H54" s="46">
        <f>+D54*F54</f>
        <v>2223182.6223154366</v>
      </c>
    </row>
    <row r="55" spans="1:11">
      <c r="C55" s="37" t="s">
        <v>269</v>
      </c>
      <c r="D55" s="46">
        <f>LGS!H55</f>
        <v>38060.254777070062</v>
      </c>
      <c r="E55" s="37"/>
      <c r="F55" s="411">
        <f>'Off Peak xcs'!I22</f>
        <v>1.82</v>
      </c>
      <c r="H55" s="46">
        <f>+D55*F55</f>
        <v>69269.66369426751</v>
      </c>
    </row>
    <row r="56" spans="1:11">
      <c r="C56" s="37" t="s">
        <v>268</v>
      </c>
      <c r="D56" s="46">
        <f>LGS!J55</f>
        <v>1169.4545454545455</v>
      </c>
      <c r="E56" s="37"/>
      <c r="F56" s="411">
        <f>'Off Peak xcs'!I24</f>
        <v>1.8</v>
      </c>
      <c r="H56" s="54">
        <f>+D56*F56</f>
        <v>2105.0181818181818</v>
      </c>
    </row>
    <row r="57" spans="1:11">
      <c r="E57" s="37"/>
      <c r="F57" s="45"/>
    </row>
    <row r="58" spans="1:11">
      <c r="C58" s="37" t="s">
        <v>9</v>
      </c>
      <c r="D58" s="39"/>
      <c r="E58" s="37"/>
      <c r="F58" s="45"/>
      <c r="H58" s="48">
        <f>SUM(H53:H56)</f>
        <v>18244733.999929264</v>
      </c>
    </row>
    <row r="59" spans="1:11">
      <c r="D59" s="39"/>
      <c r="E59" s="37"/>
      <c r="F59" s="45"/>
      <c r="H59" s="48"/>
    </row>
    <row r="60" spans="1:11">
      <c r="B60" s="408" t="s">
        <v>142</v>
      </c>
      <c r="C60" s="37" t="s">
        <v>267</v>
      </c>
      <c r="D60" s="39"/>
      <c r="E60" s="37"/>
      <c r="F60" s="45"/>
      <c r="H60" s="48"/>
    </row>
    <row r="61" spans="1:11">
      <c r="E61" s="37"/>
      <c r="F61" s="45"/>
    </row>
    <row r="62" spans="1:11">
      <c r="D62" s="48"/>
      <c r="E62" s="44"/>
      <c r="F62" s="48"/>
    </row>
    <row r="63" spans="1:11">
      <c r="A63" s="333" t="s">
        <v>79</v>
      </c>
      <c r="B63" s="335" t="s">
        <v>30</v>
      </c>
      <c r="C63" s="335"/>
      <c r="D63" s="336"/>
      <c r="E63" s="43"/>
      <c r="F63" s="333"/>
      <c r="G63" s="336"/>
      <c r="H63" s="333"/>
    </row>
    <row r="64" spans="1:11">
      <c r="D64" s="337" t="s">
        <v>242</v>
      </c>
      <c r="E64" s="42"/>
      <c r="F64" s="337" t="s">
        <v>241</v>
      </c>
      <c r="G64" s="45"/>
      <c r="H64" s="337" t="s">
        <v>266</v>
      </c>
      <c r="J64" s="337" t="s">
        <v>265</v>
      </c>
      <c r="K64" s="337" t="s">
        <v>9</v>
      </c>
    </row>
    <row r="66" spans="3:11">
      <c r="C66" s="37" t="s">
        <v>264</v>
      </c>
      <c r="D66" s="48">
        <f>+D9</f>
        <v>57212047.730191953</v>
      </c>
      <c r="F66" s="48">
        <f>+F9</f>
        <v>7042845.6729826741</v>
      </c>
      <c r="H66" s="48">
        <f>+H9</f>
        <v>1211403.9271719088</v>
      </c>
      <c r="J66" s="48">
        <f>+J9</f>
        <v>-36054.246201027912</v>
      </c>
    </row>
    <row r="67" spans="3:11">
      <c r="C67" s="37" t="s">
        <v>263</v>
      </c>
      <c r="D67" s="39">
        <f>+D23</f>
        <v>702780</v>
      </c>
      <c r="F67" s="39">
        <f>+F23</f>
        <v>83258</v>
      </c>
      <c r="H67" s="39">
        <f>+H23</f>
        <v>94380</v>
      </c>
      <c r="J67" s="39">
        <f>+J23</f>
        <v>7920</v>
      </c>
    </row>
    <row r="68" spans="3:11">
      <c r="C68" s="37" t="s">
        <v>262</v>
      </c>
      <c r="D68" s="39">
        <f>H53</f>
        <v>15950176.695737744</v>
      </c>
      <c r="F68" s="39">
        <f>H54</f>
        <v>2223182.6223154366</v>
      </c>
      <c r="H68" s="39">
        <f>H55</f>
        <v>69269.66369426751</v>
      </c>
      <c r="J68" s="39">
        <f>J55</f>
        <v>0</v>
      </c>
    </row>
    <row r="69" spans="3:11">
      <c r="C69" s="37" t="s">
        <v>235</v>
      </c>
      <c r="D69" s="54">
        <f>+D45</f>
        <v>12765834.486720001</v>
      </c>
      <c r="F69" s="54">
        <f>+F45</f>
        <v>1783574.5211200002</v>
      </c>
      <c r="H69" s="54">
        <f>+H45</f>
        <v>369477.84</v>
      </c>
      <c r="J69" s="54">
        <f>+J45</f>
        <v>14063.7039</v>
      </c>
    </row>
    <row r="71" spans="3:11">
      <c r="C71" s="37" t="s">
        <v>34</v>
      </c>
      <c r="D71" s="48">
        <f>+D66-D67-D68-D69</f>
        <v>27793256.547734208</v>
      </c>
      <c r="F71" s="48">
        <f>+F66-F67-F68-F69</f>
        <v>2952830.5295472373</v>
      </c>
      <c r="H71" s="48">
        <f>+H66-H67-H68-H69</f>
        <v>678276.42347764131</v>
      </c>
      <c r="J71" s="48">
        <f>+J66-J67-J68-J69</f>
        <v>-58037.950101027913</v>
      </c>
      <c r="K71" s="48">
        <f>SUM(D71:J71)</f>
        <v>31366325.550658058</v>
      </c>
    </row>
    <row r="72" spans="3:11">
      <c r="C72" s="37" t="s">
        <v>76</v>
      </c>
      <c r="D72" s="39">
        <f>+D30-D42</f>
        <v>245849793.54688603</v>
      </c>
      <c r="F72" s="39">
        <f>+F30-F42</f>
        <v>34568740.408416338</v>
      </c>
      <c r="H72" s="39">
        <f>+H30-H42</f>
        <v>7266703.611464968</v>
      </c>
      <c r="J72" s="39">
        <f>+J30-J42</f>
        <v>275712.54545454541</v>
      </c>
    </row>
    <row r="73" spans="3:11">
      <c r="C73" s="37" t="s">
        <v>261</v>
      </c>
      <c r="D73" s="41">
        <f>D31</f>
        <v>1</v>
      </c>
      <c r="E73" s="40"/>
      <c r="F73" s="41">
        <f>F31</f>
        <v>0.98647425822736579</v>
      </c>
      <c r="G73" s="41"/>
      <c r="H73" s="41">
        <f>H31</f>
        <v>0.97817783492879939</v>
      </c>
      <c r="I73" s="41"/>
      <c r="J73" s="41">
        <f>J31</f>
        <v>0.97002428918416927</v>
      </c>
    </row>
    <row r="74" spans="3:11">
      <c r="C74" s="37" t="s">
        <v>260</v>
      </c>
      <c r="D74" s="39">
        <f>D72*D73</f>
        <v>245849793.54688603</v>
      </c>
      <c r="E74" s="40"/>
      <c r="F74" s="39">
        <f>F72*F73</f>
        <v>34101172.552246876</v>
      </c>
      <c r="G74" s="41"/>
      <c r="H74" s="39">
        <f>H72*H73</f>
        <v>7108128.4057320897</v>
      </c>
      <c r="I74" s="41"/>
      <c r="J74" s="39">
        <f>J72*J73</f>
        <v>267447.86592370336</v>
      </c>
      <c r="K74" s="39">
        <f>SUM(D74:J74)</f>
        <v>287326542.37078869</v>
      </c>
    </row>
    <row r="75" spans="3:11">
      <c r="D75" s="36"/>
      <c r="F75" s="36"/>
      <c r="H75" s="36"/>
      <c r="J75" s="36"/>
    </row>
    <row r="76" spans="3:11">
      <c r="C76" s="37" t="s">
        <v>259</v>
      </c>
      <c r="D76" s="36">
        <f>ROUND(D73*$K76,5)</f>
        <v>0.10917</v>
      </c>
      <c r="E76" s="38"/>
      <c r="F76" s="36">
        <f>ROUND(F73*$K76,5)</f>
        <v>0.10768999999999999</v>
      </c>
      <c r="H76" s="36">
        <f>ROUND(H73*$K76,5)</f>
        <v>0.10678</v>
      </c>
      <c r="J76" s="36">
        <f>ROUND(J73*$K76,5)</f>
        <v>0.10589</v>
      </c>
      <c r="K76" s="36">
        <f>K71/K74</f>
        <v>0.10916612608027174</v>
      </c>
    </row>
    <row r="77" spans="3:11">
      <c r="D77" s="36"/>
      <c r="E77" s="38"/>
      <c r="F77" s="36"/>
      <c r="H77" s="36"/>
      <c r="J77" s="36"/>
    </row>
    <row r="78" spans="3:11">
      <c r="C78" s="37" t="s">
        <v>38</v>
      </c>
      <c r="D78" s="36">
        <f>D76</f>
        <v>0.10917</v>
      </c>
      <c r="E78" s="38"/>
      <c r="F78" s="36">
        <f>F76</f>
        <v>0.10768999999999999</v>
      </c>
      <c r="H78" s="36">
        <f>H76</f>
        <v>0.10678</v>
      </c>
      <c r="J78" s="36">
        <f>J76</f>
        <v>0.10589</v>
      </c>
    </row>
    <row r="79" spans="3:11">
      <c r="C79" s="37" t="s">
        <v>76</v>
      </c>
      <c r="D79" s="54">
        <f>+D72</f>
        <v>245849793.54688603</v>
      </c>
      <c r="F79" s="54">
        <f>+F72</f>
        <v>34568740.408416338</v>
      </c>
      <c r="H79" s="54">
        <f>+H72</f>
        <v>7266703.611464968</v>
      </c>
      <c r="J79" s="54">
        <f>+J72</f>
        <v>275712.54545454541</v>
      </c>
    </row>
    <row r="81" spans="2:11">
      <c r="C81" s="37" t="s">
        <v>34</v>
      </c>
      <c r="D81" s="48">
        <f>ROUND(+D78*D79,0)</f>
        <v>26839422</v>
      </c>
      <c r="F81" s="48">
        <f>ROUND(+F78*F79,0)</f>
        <v>3722708</v>
      </c>
      <c r="H81" s="48">
        <f>ROUND(+H78*H79,0)</f>
        <v>775939</v>
      </c>
      <c r="J81" s="48">
        <f>ROUND(+J78*J79,0)</f>
        <v>29195</v>
      </c>
      <c r="K81" s="48">
        <f>SUM(D81:J81)</f>
        <v>31367264</v>
      </c>
    </row>
    <row r="82" spans="2:11">
      <c r="D82" s="39"/>
      <c r="E82" s="39"/>
      <c r="F82" s="39"/>
    </row>
    <row r="84" spans="2:11">
      <c r="B84" s="408"/>
    </row>
  </sheetData>
  <printOptions horizontalCentered="1"/>
  <pageMargins left="0.9" right="0.9" top="1.5" bottom="0.5" header="0.5" footer="0.5"/>
  <pageSetup fitToHeight="2" orientation="portrait" r:id="rId1"/>
  <headerFooter alignWithMargins="0">
    <oddHeader xml:space="preserve">&amp;L&amp;"Arial,Regular"&amp;F
Page &amp;P of &amp;N
&amp;C&amp;"Arial,Regular"KENTUCKY POWER COMPANY 
LGS Time-of-Day Rate Design
Twelve Months Ended December 31, 2016
</oddHeader>
  </headerFooter>
  <rowBreaks count="1" manualBreakCount="1">
    <brk id="4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N286"/>
  <sheetViews>
    <sheetView showOutlineSymbols="0" zoomScaleNormal="100" workbookViewId="0">
      <selection activeCell="L212" sqref="L212"/>
    </sheetView>
  </sheetViews>
  <sheetFormatPr defaultColWidth="9.75" defaultRowHeight="15"/>
  <cols>
    <col min="1" max="1" width="4.75" style="641" customWidth="1"/>
    <col min="2" max="2" width="18.875" style="641" customWidth="1"/>
    <col min="3" max="3" width="24.125" style="641" customWidth="1"/>
    <col min="4" max="4" width="15.875" style="641" customWidth="1"/>
    <col min="5" max="5" width="6.75" style="641" customWidth="1"/>
    <col min="6" max="6" width="14.125" style="641" bestFit="1" customWidth="1"/>
    <col min="7" max="7" width="8.25" style="641" customWidth="1"/>
    <col min="8" max="8" width="16.5" style="641" bestFit="1" customWidth="1"/>
    <col min="9" max="9" width="5.75" style="641" customWidth="1"/>
    <col min="10" max="10" width="17.875" style="641" bestFit="1" customWidth="1"/>
    <col min="11" max="11" width="7.625" style="641" customWidth="1"/>
    <col min="12" max="12" width="11.375" style="641" bestFit="1" customWidth="1"/>
    <col min="13" max="16384" width="9.75" style="641"/>
  </cols>
  <sheetData>
    <row r="1" spans="1:12">
      <c r="B1" s="641" t="s">
        <v>1030</v>
      </c>
    </row>
    <row r="2" spans="1:12">
      <c r="A2" s="643" t="s">
        <v>115</v>
      </c>
      <c r="B2" s="643" t="s">
        <v>86</v>
      </c>
      <c r="C2" s="643"/>
      <c r="D2" s="23"/>
      <c r="G2" s="30"/>
      <c r="H2" s="23"/>
      <c r="I2" s="74"/>
      <c r="L2" s="127" t="s">
        <v>72</v>
      </c>
    </row>
    <row r="3" spans="1:12">
      <c r="D3" s="23"/>
      <c r="G3" s="30"/>
      <c r="H3" s="23"/>
      <c r="I3" s="77"/>
      <c r="J3" s="127" t="s">
        <v>75</v>
      </c>
      <c r="L3" s="127" t="s">
        <v>72</v>
      </c>
    </row>
    <row r="4" spans="1:12">
      <c r="D4" s="251"/>
      <c r="E4" s="644"/>
      <c r="G4" s="30"/>
      <c r="H4" s="251"/>
      <c r="I4" s="77"/>
      <c r="J4" s="68" t="s">
        <v>1</v>
      </c>
    </row>
    <row r="5" spans="1:12">
      <c r="B5" s="643"/>
      <c r="C5" s="643"/>
      <c r="F5" s="74"/>
      <c r="G5" s="74"/>
      <c r="H5" s="74"/>
      <c r="I5" s="74"/>
    </row>
    <row r="6" spans="1:12">
      <c r="B6" s="643" t="s">
        <v>337</v>
      </c>
      <c r="C6" s="641" t="s">
        <v>72</v>
      </c>
      <c r="F6" s="77"/>
      <c r="G6" s="74"/>
      <c r="H6" s="76"/>
      <c r="I6" s="74"/>
      <c r="J6" s="644">
        <f>'EX AEV-1'!R21+'EX AEV-1'!R23+'EX AEV-1'!R24</f>
        <v>74863998.656746224</v>
      </c>
    </row>
    <row r="7" spans="1:12">
      <c r="B7" s="643" t="s">
        <v>225</v>
      </c>
      <c r="F7" s="75"/>
      <c r="G7" s="74"/>
      <c r="H7" s="72"/>
      <c r="I7" s="74"/>
      <c r="J7" s="645">
        <f>'EX AEV-1'!R22</f>
        <v>53206526.665566631</v>
      </c>
    </row>
    <row r="8" spans="1:12">
      <c r="B8" s="643" t="s">
        <v>224</v>
      </c>
      <c r="E8" s="74"/>
      <c r="F8" s="75"/>
      <c r="G8" s="74"/>
      <c r="H8" s="72"/>
      <c r="I8" s="74"/>
      <c r="J8" s="645">
        <f>'EX AEV-1'!R25</f>
        <v>253870.46818177192</v>
      </c>
      <c r="K8" s="644"/>
    </row>
    <row r="9" spans="1:12">
      <c r="E9" s="73"/>
      <c r="F9" s="73"/>
      <c r="G9" s="73"/>
      <c r="H9" s="72"/>
      <c r="I9" s="73"/>
      <c r="J9" s="63"/>
    </row>
    <row r="10" spans="1:12">
      <c r="B10" s="641" t="s">
        <v>9</v>
      </c>
      <c r="F10" s="644"/>
      <c r="H10" s="71"/>
      <c r="J10" s="644">
        <f>SUM(J6:J8)</f>
        <v>128324395.79049464</v>
      </c>
      <c r="L10" s="360"/>
    </row>
    <row r="11" spans="1:12" ht="14.25" customHeight="1"/>
    <row r="13" spans="1:12">
      <c r="A13" s="643" t="s">
        <v>12</v>
      </c>
      <c r="B13" s="643" t="s">
        <v>258</v>
      </c>
      <c r="C13" s="643"/>
    </row>
    <row r="14" spans="1:12" ht="15.75">
      <c r="B14" s="412" t="s">
        <v>761</v>
      </c>
      <c r="D14" s="68" t="s">
        <v>242</v>
      </c>
      <c r="F14" s="68" t="s">
        <v>241</v>
      </c>
      <c r="H14" s="68" t="s">
        <v>240</v>
      </c>
      <c r="J14" s="68" t="s">
        <v>333</v>
      </c>
    </row>
    <row r="16" spans="1:12">
      <c r="B16" s="643" t="s">
        <v>378</v>
      </c>
      <c r="C16" s="643"/>
      <c r="D16" s="645">
        <v>30611.186440677968</v>
      </c>
      <c r="F16" s="645">
        <v>637125.80064599565</v>
      </c>
      <c r="H16" s="645">
        <v>2152811.0824471135</v>
      </c>
      <c r="J16" s="645">
        <v>439270.79629629629</v>
      </c>
    </row>
    <row r="17" spans="1:10">
      <c r="B17" s="643" t="s">
        <v>377</v>
      </c>
      <c r="C17" s="643"/>
      <c r="D17" s="645">
        <v>26255.593220338982</v>
      </c>
      <c r="F17" s="645">
        <v>574844.18117218616</v>
      </c>
      <c r="H17" s="645">
        <v>1909962.5609637389</v>
      </c>
      <c r="J17" s="645">
        <v>411072.81481481483</v>
      </c>
    </row>
    <row r="18" spans="1:10">
      <c r="B18" s="643" t="s">
        <v>739</v>
      </c>
      <c r="C18" s="643"/>
      <c r="D18" s="645">
        <v>15927.457627118643</v>
      </c>
      <c r="F18" s="645">
        <v>114283.2</v>
      </c>
      <c r="H18" s="645">
        <v>101271.60741247403</v>
      </c>
      <c r="J18" s="645">
        <v>42071.81421663925</v>
      </c>
    </row>
    <row r="19" spans="1:10">
      <c r="B19" s="643" t="s">
        <v>376</v>
      </c>
      <c r="C19" s="643"/>
      <c r="D19" s="645">
        <f>D16+D18</f>
        <v>46538.644067796609</v>
      </c>
      <c r="F19" s="645">
        <f>F16+F18</f>
        <v>751409.00064599561</v>
      </c>
      <c r="H19" s="645">
        <f>H16+H18</f>
        <v>2254082.6898595877</v>
      </c>
      <c r="J19" s="645">
        <f>J16+J18</f>
        <v>481342.61051293556</v>
      </c>
    </row>
    <row r="20" spans="1:10">
      <c r="B20" s="643" t="s">
        <v>331</v>
      </c>
      <c r="C20" s="643"/>
      <c r="D20" s="645">
        <v>5261.0847457627115</v>
      </c>
      <c r="F20" s="645">
        <v>159601.13894545456</v>
      </c>
      <c r="H20" s="645">
        <v>197012.46511627905</v>
      </c>
      <c r="J20" s="645">
        <v>71602.037037037036</v>
      </c>
    </row>
    <row r="21" spans="1:10">
      <c r="B21" s="643" t="s">
        <v>330</v>
      </c>
      <c r="C21" s="643"/>
      <c r="D21" s="645">
        <v>19524195.254237287</v>
      </c>
      <c r="F21" s="645">
        <v>313016880.23636365</v>
      </c>
      <c r="H21" s="645">
        <v>1357576815.5426357</v>
      </c>
      <c r="J21" s="645">
        <v>257519888.8888889</v>
      </c>
    </row>
    <row r="22" spans="1:10">
      <c r="B22" s="643" t="s">
        <v>46</v>
      </c>
      <c r="C22" s="643"/>
      <c r="D22" s="645">
        <v>60</v>
      </c>
      <c r="F22" s="645">
        <v>486</v>
      </c>
      <c r="H22" s="645">
        <v>204</v>
      </c>
      <c r="J22" s="645">
        <v>42</v>
      </c>
    </row>
    <row r="24" spans="1:10">
      <c r="B24" s="643"/>
      <c r="C24" s="643"/>
      <c r="D24" s="645"/>
      <c r="F24" s="645"/>
      <c r="H24" s="645"/>
      <c r="J24" s="645"/>
    </row>
    <row r="25" spans="1:10">
      <c r="B25" s="643"/>
      <c r="C25" s="643"/>
      <c r="D25" s="645"/>
      <c r="F25" s="645"/>
      <c r="H25" s="645"/>
      <c r="J25" s="645"/>
    </row>
    <row r="26" spans="1:10">
      <c r="B26" s="643"/>
      <c r="C26" s="643"/>
      <c r="D26" s="645"/>
      <c r="F26" s="645"/>
      <c r="H26" s="645"/>
      <c r="J26" s="645"/>
    </row>
    <row r="27" spans="1:10">
      <c r="A27" s="643" t="s">
        <v>18</v>
      </c>
      <c r="B27" s="643" t="s">
        <v>329</v>
      </c>
      <c r="C27" s="643"/>
    </row>
    <row r="28" spans="1:10">
      <c r="A28" s="643"/>
      <c r="B28" s="643"/>
      <c r="C28" s="643"/>
    </row>
    <row r="29" spans="1:10">
      <c r="D29" s="127" t="s">
        <v>8</v>
      </c>
      <c r="H29" s="127" t="s">
        <v>257</v>
      </c>
      <c r="J29" s="127" t="s">
        <v>374</v>
      </c>
    </row>
    <row r="30" spans="1:10">
      <c r="B30" s="643" t="s">
        <v>16</v>
      </c>
      <c r="C30" s="643"/>
      <c r="D30" s="68" t="s">
        <v>1</v>
      </c>
      <c r="F30" s="68" t="s">
        <v>46</v>
      </c>
      <c r="H30" s="68" t="s">
        <v>136</v>
      </c>
      <c r="J30" s="68" t="s">
        <v>136</v>
      </c>
    </row>
    <row r="32" spans="1:10">
      <c r="B32" s="641" t="s">
        <v>328</v>
      </c>
      <c r="D32" s="645">
        <f>'EX AEV-1'!N25</f>
        <v>2020.6776437358642</v>
      </c>
      <c r="F32" s="161">
        <f>+D22</f>
        <v>60</v>
      </c>
      <c r="H32" s="362">
        <f>ROUND((D32/F32),2)</f>
        <v>33.68</v>
      </c>
      <c r="J32" s="413">
        <v>276</v>
      </c>
    </row>
    <row r="33" spans="1:248">
      <c r="B33" s="643" t="s">
        <v>327</v>
      </c>
      <c r="C33" s="643"/>
      <c r="D33" s="645">
        <f>'EX AEV-1'!O25</f>
        <v>55290.562035849369</v>
      </c>
      <c r="F33" s="645">
        <f>+F22</f>
        <v>486</v>
      </c>
      <c r="H33" s="362">
        <f>ROUND((D33/F33),2)</f>
        <v>113.77</v>
      </c>
      <c r="J33" s="413">
        <v>276</v>
      </c>
    </row>
    <row r="34" spans="1:248">
      <c r="B34" s="643" t="s">
        <v>326</v>
      </c>
      <c r="C34" s="643"/>
      <c r="D34" s="645">
        <f>'EX AEV-1'!P25</f>
        <v>152183.25171080852</v>
      </c>
      <c r="F34" s="645">
        <f>+H22</f>
        <v>204</v>
      </c>
      <c r="H34" s="362">
        <f>ROUND((D34/F34),2)</f>
        <v>746</v>
      </c>
      <c r="J34" s="413">
        <v>794</v>
      </c>
    </row>
    <row r="35" spans="1:248">
      <c r="B35" s="643" t="s">
        <v>325</v>
      </c>
      <c r="C35" s="643"/>
      <c r="D35" s="645">
        <f>'EX AEV-1'!Q25</f>
        <v>44375.976791378162</v>
      </c>
      <c r="F35" s="645">
        <f>+J22</f>
        <v>42</v>
      </c>
      <c r="H35" s="362">
        <f>ROUND((D35/F35),2)</f>
        <v>1056.57</v>
      </c>
      <c r="J35" s="413">
        <v>1353</v>
      </c>
    </row>
    <row r="36" spans="1:248">
      <c r="D36" s="63"/>
      <c r="F36" s="63"/>
    </row>
    <row r="37" spans="1:248">
      <c r="B37" s="643" t="s">
        <v>54</v>
      </c>
      <c r="C37" s="643"/>
      <c r="D37" s="644">
        <f>SUM(D32:D35)</f>
        <v>253870.46818177192</v>
      </c>
      <c r="F37" s="645">
        <f>SUM(F32:F35)</f>
        <v>792</v>
      </c>
    </row>
    <row r="38" spans="1:248">
      <c r="A38" s="364"/>
      <c r="B38" s="643"/>
      <c r="C38" s="643"/>
      <c r="D38" s="57"/>
      <c r="E38" s="364"/>
      <c r="F38" s="645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364"/>
      <c r="Z38" s="364"/>
      <c r="AA38" s="364"/>
      <c r="AB38" s="364"/>
      <c r="AC38" s="364"/>
      <c r="AD38" s="364"/>
      <c r="AE38" s="364"/>
      <c r="AF38" s="364"/>
      <c r="AG38" s="364"/>
      <c r="AH38" s="364"/>
      <c r="AI38" s="364"/>
      <c r="AJ38" s="364"/>
      <c r="AK38" s="364"/>
      <c r="AL38" s="364"/>
      <c r="AM38" s="364"/>
      <c r="AN38" s="364"/>
      <c r="AO38" s="364"/>
      <c r="AP38" s="364"/>
      <c r="AQ38" s="364"/>
      <c r="AR38" s="364"/>
      <c r="AS38" s="364"/>
      <c r="AT38" s="364"/>
      <c r="AU38" s="364"/>
      <c r="AV38" s="364"/>
      <c r="AW38" s="364"/>
      <c r="AX38" s="364"/>
      <c r="AY38" s="364"/>
      <c r="AZ38" s="364"/>
      <c r="BA38" s="364"/>
      <c r="BB38" s="364"/>
      <c r="BC38" s="364"/>
      <c r="BD38" s="364"/>
      <c r="BE38" s="364"/>
      <c r="BF38" s="364"/>
      <c r="BG38" s="364"/>
      <c r="BH38" s="364"/>
      <c r="BI38" s="364"/>
      <c r="BJ38" s="364"/>
      <c r="BK38" s="364"/>
      <c r="BL38" s="364"/>
      <c r="BM38" s="364"/>
      <c r="BN38" s="364"/>
      <c r="BO38" s="364"/>
      <c r="BP38" s="364"/>
      <c r="BQ38" s="364"/>
      <c r="BR38" s="364"/>
      <c r="BS38" s="364"/>
      <c r="BT38" s="364"/>
      <c r="BU38" s="364"/>
      <c r="BV38" s="364"/>
      <c r="BW38" s="364"/>
      <c r="BX38" s="364"/>
      <c r="BY38" s="364"/>
      <c r="BZ38" s="364"/>
      <c r="CA38" s="364"/>
      <c r="CB38" s="364"/>
      <c r="CC38" s="364"/>
      <c r="CD38" s="364"/>
      <c r="CE38" s="364"/>
      <c r="CF38" s="364"/>
      <c r="CG38" s="364"/>
      <c r="CH38" s="364"/>
      <c r="CI38" s="364"/>
      <c r="CJ38" s="364"/>
      <c r="CK38" s="364"/>
      <c r="CL38" s="364"/>
      <c r="CM38" s="364"/>
      <c r="CN38" s="364"/>
      <c r="CO38" s="364"/>
      <c r="CP38" s="364"/>
      <c r="CQ38" s="364"/>
      <c r="CR38" s="364"/>
      <c r="CS38" s="364"/>
      <c r="CT38" s="364"/>
      <c r="CU38" s="364"/>
      <c r="CV38" s="364"/>
      <c r="CW38" s="364"/>
      <c r="CX38" s="364"/>
      <c r="CY38" s="364"/>
      <c r="CZ38" s="364"/>
      <c r="DA38" s="364"/>
      <c r="DB38" s="364"/>
      <c r="DC38" s="364"/>
      <c r="DD38" s="364"/>
      <c r="DE38" s="364"/>
      <c r="DF38" s="364"/>
      <c r="DG38" s="364"/>
      <c r="DH38" s="364"/>
      <c r="DI38" s="364"/>
      <c r="DJ38" s="364"/>
      <c r="DK38" s="364"/>
      <c r="DL38" s="364"/>
      <c r="DM38" s="364"/>
      <c r="DN38" s="364"/>
      <c r="DO38" s="364"/>
      <c r="DP38" s="364"/>
      <c r="DQ38" s="364"/>
      <c r="DR38" s="364"/>
      <c r="DS38" s="364"/>
      <c r="DT38" s="364"/>
      <c r="DU38" s="364"/>
      <c r="DV38" s="364"/>
      <c r="DW38" s="364"/>
      <c r="DX38" s="364"/>
      <c r="DY38" s="364"/>
      <c r="DZ38" s="364"/>
      <c r="EA38" s="364"/>
      <c r="EB38" s="364"/>
      <c r="EC38" s="364"/>
      <c r="ED38" s="364"/>
      <c r="EE38" s="364"/>
      <c r="EF38" s="364"/>
      <c r="EG38" s="364"/>
      <c r="EH38" s="364"/>
      <c r="EI38" s="364"/>
      <c r="EJ38" s="364"/>
      <c r="EK38" s="364"/>
      <c r="EL38" s="364"/>
      <c r="EM38" s="364"/>
      <c r="EN38" s="364"/>
      <c r="EO38" s="364"/>
      <c r="EP38" s="364"/>
      <c r="EQ38" s="364"/>
      <c r="ER38" s="364"/>
      <c r="ES38" s="364"/>
      <c r="ET38" s="364"/>
      <c r="EU38" s="364"/>
      <c r="EV38" s="364"/>
      <c r="EW38" s="364"/>
      <c r="EX38" s="364"/>
      <c r="EY38" s="364"/>
      <c r="EZ38" s="364"/>
      <c r="FA38" s="364"/>
      <c r="FB38" s="364"/>
      <c r="FC38" s="364"/>
      <c r="FD38" s="364"/>
      <c r="FE38" s="364"/>
      <c r="FF38" s="364"/>
      <c r="FG38" s="364"/>
      <c r="FH38" s="364"/>
      <c r="FI38" s="364"/>
      <c r="FJ38" s="364"/>
      <c r="FK38" s="364"/>
      <c r="FL38" s="364"/>
      <c r="FM38" s="364"/>
      <c r="FN38" s="364"/>
      <c r="FO38" s="364"/>
      <c r="FP38" s="364"/>
      <c r="FQ38" s="364"/>
      <c r="FR38" s="364"/>
      <c r="FS38" s="364"/>
      <c r="FT38" s="364"/>
      <c r="FU38" s="364"/>
      <c r="FV38" s="364"/>
      <c r="FW38" s="364"/>
      <c r="FX38" s="364"/>
      <c r="FY38" s="364"/>
      <c r="FZ38" s="364"/>
      <c r="GA38" s="364"/>
      <c r="GB38" s="364"/>
      <c r="GC38" s="364"/>
      <c r="GD38" s="364"/>
      <c r="GE38" s="364"/>
      <c r="GF38" s="364"/>
      <c r="GG38" s="364"/>
      <c r="GH38" s="364"/>
      <c r="GI38" s="364"/>
      <c r="GJ38" s="364"/>
      <c r="GK38" s="364"/>
      <c r="GL38" s="364"/>
      <c r="GM38" s="364"/>
      <c r="GN38" s="364"/>
      <c r="GO38" s="364"/>
      <c r="GP38" s="364"/>
      <c r="GQ38" s="364"/>
      <c r="GR38" s="364"/>
      <c r="GS38" s="364"/>
      <c r="GT38" s="364"/>
      <c r="GU38" s="364"/>
      <c r="GV38" s="364"/>
      <c r="GW38" s="364"/>
      <c r="GX38" s="364"/>
      <c r="GY38" s="364"/>
      <c r="GZ38" s="364"/>
      <c r="HA38" s="364"/>
      <c r="HB38" s="364"/>
      <c r="HC38" s="364"/>
      <c r="HD38" s="364"/>
      <c r="HE38" s="364"/>
      <c r="HF38" s="364"/>
      <c r="HG38" s="364"/>
      <c r="HH38" s="364"/>
      <c r="HI38" s="364"/>
      <c r="HJ38" s="364"/>
      <c r="HK38" s="364"/>
      <c r="HL38" s="364"/>
      <c r="HM38" s="364"/>
      <c r="HN38" s="364"/>
      <c r="HO38" s="364"/>
      <c r="HP38" s="364"/>
      <c r="HQ38" s="364"/>
      <c r="HR38" s="364"/>
      <c r="HS38" s="364"/>
      <c r="HT38" s="364"/>
      <c r="HU38" s="364"/>
      <c r="HV38" s="364"/>
      <c r="HW38" s="364"/>
      <c r="HX38" s="364"/>
      <c r="HY38" s="364"/>
      <c r="HZ38" s="364"/>
      <c r="IA38" s="364"/>
      <c r="IB38" s="364"/>
      <c r="IC38" s="364"/>
      <c r="ID38" s="364"/>
      <c r="IE38" s="364"/>
      <c r="IF38" s="364"/>
      <c r="IG38" s="364"/>
      <c r="IH38" s="364"/>
      <c r="II38" s="364"/>
      <c r="IJ38" s="364"/>
      <c r="IK38" s="364"/>
      <c r="IL38" s="364"/>
      <c r="IM38" s="364"/>
      <c r="IN38" s="364"/>
    </row>
    <row r="39" spans="1:248">
      <c r="F39" s="127" t="s">
        <v>111</v>
      </c>
      <c r="J39" s="127" t="s">
        <v>8</v>
      </c>
      <c r="L39" s="127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364"/>
      <c r="Z39" s="364"/>
      <c r="AA39" s="364"/>
      <c r="AB39" s="364"/>
      <c r="AC39" s="364"/>
      <c r="AD39" s="364"/>
      <c r="AE39" s="364"/>
      <c r="AF39" s="364"/>
      <c r="AG39" s="364"/>
      <c r="AH39" s="364"/>
      <c r="AI39" s="364"/>
      <c r="AJ39" s="364"/>
      <c r="AK39" s="364"/>
      <c r="AL39" s="364"/>
      <c r="AM39" s="364"/>
      <c r="AN39" s="364"/>
      <c r="AO39" s="364"/>
      <c r="AP39" s="364"/>
      <c r="AQ39" s="364"/>
      <c r="AR39" s="364"/>
      <c r="AS39" s="364"/>
      <c r="AT39" s="364"/>
      <c r="AU39" s="364"/>
      <c r="AV39" s="364"/>
      <c r="AW39" s="364"/>
      <c r="AX39" s="364"/>
      <c r="AY39" s="364"/>
      <c r="AZ39" s="364"/>
      <c r="BA39" s="364"/>
      <c r="BB39" s="364"/>
      <c r="BC39" s="364"/>
      <c r="BD39" s="364"/>
      <c r="BE39" s="364"/>
      <c r="BF39" s="364"/>
      <c r="BG39" s="364"/>
      <c r="BH39" s="364"/>
      <c r="BI39" s="364"/>
      <c r="BJ39" s="364"/>
      <c r="BK39" s="364"/>
      <c r="BL39" s="364"/>
      <c r="BM39" s="364"/>
      <c r="BN39" s="364"/>
      <c r="BO39" s="364"/>
      <c r="BP39" s="364"/>
      <c r="BQ39" s="364"/>
      <c r="BR39" s="364"/>
      <c r="BS39" s="364"/>
      <c r="BT39" s="364"/>
      <c r="BU39" s="364"/>
      <c r="BV39" s="364"/>
      <c r="BW39" s="364"/>
      <c r="BX39" s="364"/>
      <c r="BY39" s="364"/>
      <c r="BZ39" s="364"/>
      <c r="CA39" s="364"/>
      <c r="CB39" s="364"/>
      <c r="CC39" s="364"/>
      <c r="CD39" s="364"/>
      <c r="CE39" s="364"/>
      <c r="CF39" s="364"/>
      <c r="CG39" s="364"/>
      <c r="CH39" s="364"/>
      <c r="CI39" s="364"/>
      <c r="CJ39" s="364"/>
      <c r="CK39" s="364"/>
      <c r="CL39" s="364"/>
      <c r="CM39" s="364"/>
      <c r="CN39" s="364"/>
      <c r="CO39" s="364"/>
      <c r="CP39" s="364"/>
      <c r="CQ39" s="364"/>
      <c r="CR39" s="364"/>
      <c r="CS39" s="364"/>
      <c r="CT39" s="364"/>
      <c r="CU39" s="364"/>
      <c r="CV39" s="364"/>
      <c r="CW39" s="364"/>
      <c r="CX39" s="364"/>
      <c r="CY39" s="364"/>
      <c r="CZ39" s="364"/>
      <c r="DA39" s="364"/>
      <c r="DB39" s="364"/>
      <c r="DC39" s="364"/>
      <c r="DD39" s="364"/>
      <c r="DE39" s="364"/>
      <c r="DF39" s="364"/>
      <c r="DG39" s="364"/>
      <c r="DH39" s="364"/>
      <c r="DI39" s="364"/>
      <c r="DJ39" s="364"/>
      <c r="DK39" s="364"/>
      <c r="DL39" s="364"/>
      <c r="DM39" s="364"/>
      <c r="DN39" s="364"/>
      <c r="DO39" s="364"/>
      <c r="DP39" s="364"/>
      <c r="DQ39" s="364"/>
      <c r="DR39" s="364"/>
      <c r="DS39" s="364"/>
      <c r="DT39" s="364"/>
      <c r="DU39" s="364"/>
      <c r="DV39" s="364"/>
      <c r="DW39" s="364"/>
      <c r="DX39" s="364"/>
      <c r="DY39" s="364"/>
      <c r="DZ39" s="364"/>
      <c r="EA39" s="364"/>
      <c r="EB39" s="364"/>
      <c r="EC39" s="364"/>
      <c r="ED39" s="364"/>
      <c r="EE39" s="364"/>
      <c r="EF39" s="364"/>
      <c r="EG39" s="364"/>
      <c r="EH39" s="364"/>
      <c r="EI39" s="364"/>
      <c r="EJ39" s="364"/>
      <c r="EK39" s="364"/>
      <c r="EL39" s="364"/>
      <c r="EM39" s="364"/>
      <c r="EN39" s="364"/>
      <c r="EO39" s="364"/>
      <c r="EP39" s="364"/>
      <c r="EQ39" s="364"/>
      <c r="ER39" s="364"/>
      <c r="ES39" s="364"/>
      <c r="ET39" s="364"/>
      <c r="EU39" s="364"/>
      <c r="EV39" s="364"/>
      <c r="EW39" s="364"/>
      <c r="EX39" s="364"/>
      <c r="EY39" s="364"/>
      <c r="EZ39" s="364"/>
      <c r="FA39" s="364"/>
      <c r="FB39" s="364"/>
      <c r="FC39" s="364"/>
      <c r="FD39" s="364"/>
      <c r="FE39" s="364"/>
      <c r="FF39" s="364"/>
      <c r="FG39" s="364"/>
      <c r="FH39" s="364"/>
      <c r="FI39" s="364"/>
      <c r="FJ39" s="364"/>
      <c r="FK39" s="364"/>
      <c r="FL39" s="364"/>
      <c r="FM39" s="364"/>
      <c r="FN39" s="364"/>
      <c r="FO39" s="364"/>
      <c r="FP39" s="364"/>
      <c r="FQ39" s="364"/>
      <c r="FR39" s="364"/>
      <c r="FS39" s="364"/>
      <c r="FT39" s="364"/>
      <c r="FU39" s="364"/>
      <c r="FV39" s="364"/>
      <c r="FW39" s="364"/>
      <c r="FX39" s="364"/>
      <c r="FY39" s="364"/>
      <c r="FZ39" s="364"/>
      <c r="GA39" s="364"/>
      <c r="GB39" s="364"/>
      <c r="GC39" s="364"/>
      <c r="GD39" s="364"/>
      <c r="GE39" s="364"/>
      <c r="GF39" s="364"/>
      <c r="GG39" s="364"/>
      <c r="GH39" s="364"/>
      <c r="GI39" s="364"/>
      <c r="GJ39" s="364"/>
      <c r="GK39" s="364"/>
      <c r="GL39" s="364"/>
      <c r="GM39" s="364"/>
      <c r="GN39" s="364"/>
      <c r="GO39" s="364"/>
      <c r="GP39" s="364"/>
      <c r="GQ39" s="364"/>
      <c r="GR39" s="364"/>
      <c r="GS39" s="364"/>
      <c r="GT39" s="364"/>
      <c r="GU39" s="364"/>
      <c r="GV39" s="364"/>
      <c r="GW39" s="364"/>
      <c r="GX39" s="364"/>
      <c r="GY39" s="364"/>
      <c r="GZ39" s="364"/>
      <c r="HA39" s="364"/>
      <c r="HB39" s="364"/>
      <c r="HC39" s="364"/>
      <c r="HD39" s="364"/>
      <c r="HE39" s="364"/>
      <c r="HF39" s="364"/>
      <c r="HG39" s="364"/>
      <c r="HH39" s="364"/>
      <c r="HI39" s="364"/>
      <c r="HJ39" s="364"/>
      <c r="HK39" s="364"/>
      <c r="HL39" s="364"/>
      <c r="HM39" s="364"/>
      <c r="HN39" s="364"/>
      <c r="HO39" s="364"/>
      <c r="HP39" s="364"/>
      <c r="HQ39" s="364"/>
      <c r="HR39" s="364"/>
      <c r="HS39" s="364"/>
      <c r="HT39" s="364"/>
      <c r="HU39" s="364"/>
      <c r="HV39" s="364"/>
      <c r="HW39" s="364"/>
      <c r="HX39" s="364"/>
      <c r="HY39" s="364"/>
      <c r="HZ39" s="364"/>
      <c r="IA39" s="364"/>
      <c r="IB39" s="364"/>
      <c r="IC39" s="364"/>
      <c r="ID39" s="364"/>
      <c r="IE39" s="364"/>
      <c r="IF39" s="364"/>
      <c r="IG39" s="364"/>
      <c r="IH39" s="364"/>
      <c r="II39" s="364"/>
      <c r="IJ39" s="364"/>
      <c r="IK39" s="364"/>
      <c r="IL39" s="364"/>
      <c r="IM39" s="364"/>
      <c r="IN39" s="364"/>
    </row>
    <row r="40" spans="1:248">
      <c r="B40" s="643" t="s">
        <v>281</v>
      </c>
      <c r="C40" s="643"/>
      <c r="F40" s="68" t="s">
        <v>136</v>
      </c>
      <c r="H40" s="68" t="s">
        <v>46</v>
      </c>
      <c r="J40" s="68" t="s">
        <v>1</v>
      </c>
      <c r="L40" s="68"/>
    </row>
    <row r="42" spans="1:248">
      <c r="B42" s="641" t="str">
        <f>+B$32</f>
        <v xml:space="preserve">  Secondary</v>
      </c>
      <c r="F42" s="413">
        <f>J32</f>
        <v>276</v>
      </c>
      <c r="H42" s="161">
        <f>+F32</f>
        <v>60</v>
      </c>
      <c r="J42" s="645">
        <f>ROUND((F42*H42),0)</f>
        <v>16560</v>
      </c>
    </row>
    <row r="43" spans="1:248">
      <c r="B43" s="641" t="str">
        <f>+B$33</f>
        <v xml:space="preserve">  Primary</v>
      </c>
      <c r="F43" s="413">
        <f>J33</f>
        <v>276</v>
      </c>
      <c r="H43" s="645">
        <f>+F33</f>
        <v>486</v>
      </c>
      <c r="J43" s="645">
        <f>ROUND((F43*H43),0)</f>
        <v>134136</v>
      </c>
    </row>
    <row r="44" spans="1:248">
      <c r="B44" s="641" t="str">
        <f>+B$34</f>
        <v xml:space="preserve">  Subtransmission</v>
      </c>
      <c r="F44" s="413">
        <f>J34</f>
        <v>794</v>
      </c>
      <c r="H44" s="645">
        <f>+F34</f>
        <v>204</v>
      </c>
      <c r="J44" s="645">
        <f>ROUND((F44*H44),0)</f>
        <v>161976</v>
      </c>
    </row>
    <row r="45" spans="1:248">
      <c r="B45" s="641" t="str">
        <f>+B$35</f>
        <v xml:space="preserve">  Transmission</v>
      </c>
      <c r="F45" s="413">
        <f>J35</f>
        <v>1353</v>
      </c>
      <c r="H45" s="645">
        <f>+F35</f>
        <v>42</v>
      </c>
      <c r="J45" s="645">
        <f>ROUND((F45*H45),0)</f>
        <v>56826</v>
      </c>
    </row>
    <row r="46" spans="1:248">
      <c r="H46" s="63"/>
      <c r="J46" s="63"/>
    </row>
    <row r="47" spans="1:248">
      <c r="B47" s="641" t="str">
        <f>+B$37</f>
        <v xml:space="preserve">  Total</v>
      </c>
      <c r="H47" s="645">
        <f>SUM(H42:H45)</f>
        <v>792</v>
      </c>
      <c r="J47" s="644">
        <f>SUM(J42:J45)</f>
        <v>369498</v>
      </c>
      <c r="L47" s="644"/>
    </row>
    <row r="48" spans="1:248">
      <c r="D48" s="645"/>
      <c r="H48" s="644"/>
    </row>
    <row r="49" spans="1:8">
      <c r="D49" s="645"/>
      <c r="H49" s="644"/>
    </row>
    <row r="50" spans="1:8">
      <c r="A50" s="643" t="s">
        <v>29</v>
      </c>
      <c r="B50" s="643" t="s">
        <v>375</v>
      </c>
      <c r="C50" s="643"/>
    </row>
    <row r="51" spans="1:8">
      <c r="A51" s="643"/>
      <c r="B51" s="643"/>
      <c r="C51" s="643"/>
    </row>
    <row r="52" spans="1:8">
      <c r="D52" s="69" t="s">
        <v>374</v>
      </c>
      <c r="F52" s="127" t="s">
        <v>319</v>
      </c>
    </row>
    <row r="53" spans="1:8">
      <c r="B53" s="643" t="s">
        <v>373</v>
      </c>
      <c r="C53" s="643"/>
      <c r="D53" s="68" t="s">
        <v>372</v>
      </c>
      <c r="F53" s="68" t="s">
        <v>342</v>
      </c>
      <c r="H53" s="68" t="s">
        <v>1</v>
      </c>
    </row>
    <row r="55" spans="1:8">
      <c r="B55" s="641" t="str">
        <f>+B$32</f>
        <v xml:space="preserve">  Secondary</v>
      </c>
      <c r="D55" s="61">
        <v>0.69</v>
      </c>
      <c r="F55" s="645">
        <f>D242</f>
        <v>5261.0847457627115</v>
      </c>
      <c r="G55" s="645"/>
      <c r="H55" s="645">
        <f>ROUND((D55*F55),0)</f>
        <v>3630</v>
      </c>
    </row>
    <row r="56" spans="1:8">
      <c r="B56" s="641" t="str">
        <f>+B$33</f>
        <v xml:space="preserve">  Primary</v>
      </c>
      <c r="D56" s="61">
        <f>D55</f>
        <v>0.69</v>
      </c>
      <c r="F56" s="645">
        <f>+D253</f>
        <v>159601.13894545456</v>
      </c>
      <c r="G56" s="645"/>
      <c r="H56" s="645">
        <f>ROUND((D56*F56),0)</f>
        <v>110125</v>
      </c>
    </row>
    <row r="57" spans="1:8">
      <c r="B57" s="641" t="str">
        <f>+B$34</f>
        <v xml:space="preserve">  Subtransmission</v>
      </c>
      <c r="D57" s="61">
        <f>D56</f>
        <v>0.69</v>
      </c>
      <c r="F57" s="645">
        <f>+D264</f>
        <v>197012.46511627905</v>
      </c>
      <c r="H57" s="645">
        <f>ROUND((D57*F57),0)</f>
        <v>135939</v>
      </c>
    </row>
    <row r="58" spans="1:8">
      <c r="B58" s="641" t="str">
        <f>+B$35</f>
        <v xml:space="preserve">  Transmission</v>
      </c>
      <c r="D58" s="61">
        <f>D57</f>
        <v>0.69</v>
      </c>
      <c r="F58" s="645">
        <f>+D275</f>
        <v>71602.037037037036</v>
      </c>
      <c r="H58" s="645">
        <f>ROUND((D58*F58),0)</f>
        <v>49405</v>
      </c>
    </row>
    <row r="59" spans="1:8">
      <c r="F59" s="63"/>
      <c r="H59" s="63"/>
    </row>
    <row r="60" spans="1:8">
      <c r="B60" s="641" t="str">
        <f>+B$37</f>
        <v xml:space="preserve">  Total</v>
      </c>
      <c r="F60" s="645">
        <f>SUM(F55:F58)</f>
        <v>433476.72584453336</v>
      </c>
      <c r="H60" s="644">
        <f>SUM(H55:H58)</f>
        <v>299099</v>
      </c>
    </row>
    <row r="63" spans="1:8">
      <c r="A63" s="643" t="s">
        <v>79</v>
      </c>
      <c r="B63" s="643" t="s">
        <v>371</v>
      </c>
      <c r="C63" s="643"/>
    </row>
    <row r="64" spans="1:8">
      <c r="A64" s="643"/>
      <c r="B64" s="643"/>
      <c r="C64" s="643"/>
      <c r="F64" s="667"/>
    </row>
    <row r="65" spans="1:11" ht="15.75">
      <c r="D65" s="127" t="s">
        <v>370</v>
      </c>
      <c r="E65" s="361"/>
      <c r="F65" s="69" t="s">
        <v>111</v>
      </c>
    </row>
    <row r="66" spans="1:11" ht="15.75">
      <c r="C66" s="643"/>
      <c r="D66" s="68" t="s">
        <v>6</v>
      </c>
      <c r="E66" s="361"/>
      <c r="F66" s="68" t="s">
        <v>136</v>
      </c>
      <c r="H66" s="68" t="s">
        <v>1</v>
      </c>
    </row>
    <row r="67" spans="1:11" ht="15.75">
      <c r="E67" s="361"/>
    </row>
    <row r="68" spans="1:11" ht="15.75">
      <c r="B68" s="641" t="str">
        <f>+B$32</f>
        <v xml:space="preserve">  Secondary</v>
      </c>
      <c r="D68" s="161">
        <f>+D240</f>
        <v>26255.593220338982</v>
      </c>
      <c r="E68" s="361"/>
      <c r="F68" s="61">
        <f>'off peak'!E18</f>
        <v>1.85</v>
      </c>
      <c r="H68" s="645">
        <f>ROUND((F68*D68),0)</f>
        <v>48573</v>
      </c>
    </row>
    <row r="69" spans="1:11" ht="15.75">
      <c r="B69" s="641" t="str">
        <f>+B$33</f>
        <v xml:space="preserve">  Primary</v>
      </c>
      <c r="D69" s="645">
        <f>+D250</f>
        <v>574844.18117218616</v>
      </c>
      <c r="E69" s="361"/>
      <c r="F69" s="61">
        <f>'off peak'!E20</f>
        <v>1.83</v>
      </c>
      <c r="H69" s="645">
        <f>ROUND((F69*D69),0)</f>
        <v>1051965</v>
      </c>
      <c r="K69" s="645"/>
    </row>
    <row r="70" spans="1:11" ht="15.75">
      <c r="B70" s="641" t="str">
        <f>+B$34</f>
        <v xml:space="preserve">  Subtransmission</v>
      </c>
      <c r="D70" s="645">
        <f>+D261</f>
        <v>1909962.5609637389</v>
      </c>
      <c r="E70" s="361"/>
      <c r="F70" s="61">
        <f>'off peak'!E22</f>
        <v>1.82</v>
      </c>
      <c r="H70" s="645">
        <f>ROUND((F70*D70),0)</f>
        <v>3476132</v>
      </c>
    </row>
    <row r="71" spans="1:11" ht="15.75">
      <c r="B71" s="641" t="str">
        <f>+B$35</f>
        <v xml:space="preserve">  Transmission</v>
      </c>
      <c r="D71" s="645">
        <f>+D272</f>
        <v>411072.81481481483</v>
      </c>
      <c r="E71" s="361"/>
      <c r="F71" s="61">
        <f>'off peak'!E24</f>
        <v>1.8</v>
      </c>
      <c r="H71" s="645">
        <f>ROUND((F71*D71),0)</f>
        <v>739931</v>
      </c>
    </row>
    <row r="72" spans="1:11">
      <c r="D72" s="126" t="s">
        <v>72</v>
      </c>
      <c r="H72" s="126" t="s">
        <v>72</v>
      </c>
    </row>
    <row r="73" spans="1:11">
      <c r="B73" s="641" t="str">
        <f>+B$37</f>
        <v xml:space="preserve">  Total</v>
      </c>
      <c r="D73" s="645">
        <f>SUM(D68:D71)</f>
        <v>2922135.1501710792</v>
      </c>
      <c r="H73" s="644">
        <f>SUM(H68:H71)</f>
        <v>5316601</v>
      </c>
    </row>
    <row r="74" spans="1:11">
      <c r="D74" s="645"/>
      <c r="H74" s="644"/>
    </row>
    <row r="75" spans="1:11">
      <c r="D75" s="645"/>
      <c r="H75" s="644"/>
    </row>
    <row r="76" spans="1:11">
      <c r="A76" s="643" t="s">
        <v>80</v>
      </c>
      <c r="B76" s="643" t="s">
        <v>249</v>
      </c>
      <c r="C76" s="643"/>
    </row>
    <row r="77" spans="1:11">
      <c r="D77" s="127" t="s">
        <v>147</v>
      </c>
      <c r="F77" s="127" t="s">
        <v>254</v>
      </c>
      <c r="H77" s="127" t="s">
        <v>315</v>
      </c>
      <c r="J77" s="70"/>
    </row>
    <row r="78" spans="1:11">
      <c r="B78" s="643" t="s">
        <v>260</v>
      </c>
      <c r="C78" s="643"/>
      <c r="D78" s="68" t="s">
        <v>7</v>
      </c>
      <c r="F78" s="68" t="s">
        <v>253</v>
      </c>
      <c r="H78" s="68" t="s">
        <v>7</v>
      </c>
      <c r="J78" s="70"/>
    </row>
    <row r="79" spans="1:11">
      <c r="J79" s="70"/>
    </row>
    <row r="80" spans="1:11">
      <c r="B80" s="641" t="str">
        <f>+B68</f>
        <v xml:space="preserve">  Secondary</v>
      </c>
      <c r="D80" s="645">
        <f>+D21</f>
        <v>19524195.254237287</v>
      </c>
      <c r="F80" s="66">
        <v>1</v>
      </c>
      <c r="H80" s="645">
        <f>ROUND((D80*F80),0)</f>
        <v>19524195</v>
      </c>
      <c r="J80" s="70"/>
    </row>
    <row r="81" spans="2:10">
      <c r="B81" s="641" t="str">
        <f>+B69</f>
        <v xml:space="preserve">  Primary</v>
      </c>
      <c r="D81" s="645">
        <f>+F21</f>
        <v>313016880.23636365</v>
      </c>
      <c r="F81" s="66">
        <f>'Energy Basis'!C15</f>
        <v>0.98647425822736579</v>
      </c>
      <c r="H81" s="645">
        <f>ROUND((D81*F81),0)</f>
        <v>308783095</v>
      </c>
      <c r="J81" s="70"/>
    </row>
    <row r="82" spans="2:10">
      <c r="B82" s="641" t="str">
        <f>+B70</f>
        <v xml:space="preserve">  Subtransmission</v>
      </c>
      <c r="D82" s="645">
        <f>+H21</f>
        <v>1357576815.5426357</v>
      </c>
      <c r="F82" s="66">
        <f>'Energy Basis'!D15</f>
        <v>0.97817783492879939</v>
      </c>
      <c r="H82" s="645">
        <f>ROUND((D82*F82),0)</f>
        <v>1327951550</v>
      </c>
      <c r="J82" s="70"/>
    </row>
    <row r="83" spans="2:10">
      <c r="B83" s="641" t="str">
        <f>+B71</f>
        <v xml:space="preserve">  Transmission</v>
      </c>
      <c r="D83" s="645">
        <f>+J21</f>
        <v>257519888.8888889</v>
      </c>
      <c r="F83" s="66">
        <f>'Energy Basis'!E15</f>
        <v>0.97002428918416927</v>
      </c>
      <c r="H83" s="645">
        <f>ROUND((D83*F83),0)</f>
        <v>249800547</v>
      </c>
      <c r="J83" s="70"/>
    </row>
    <row r="84" spans="2:10">
      <c r="D84" s="63"/>
      <c r="H84" s="63"/>
      <c r="J84" s="70"/>
    </row>
    <row r="85" spans="2:10">
      <c r="B85" s="641" t="s">
        <v>9</v>
      </c>
      <c r="D85" s="645">
        <f>SUM(D80:D83)</f>
        <v>1947637779.9221253</v>
      </c>
      <c r="H85" s="645">
        <f>SUM(H80:H83)</f>
        <v>1906059387</v>
      </c>
      <c r="J85" s="70"/>
    </row>
    <row r="86" spans="2:10">
      <c r="D86" s="70"/>
      <c r="E86" s="127"/>
      <c r="F86" s="66"/>
      <c r="G86" s="127"/>
      <c r="H86" s="70"/>
      <c r="J86" s="70"/>
    </row>
    <row r="87" spans="2:10">
      <c r="D87" s="70"/>
      <c r="E87" s="127"/>
      <c r="F87" s="66"/>
      <c r="G87" s="127"/>
      <c r="H87" s="70"/>
      <c r="J87" s="70"/>
    </row>
    <row r="88" spans="2:10">
      <c r="B88" s="643" t="s">
        <v>308</v>
      </c>
      <c r="C88" s="643"/>
      <c r="D88" s="644">
        <f>+J7</f>
        <v>53206526.665566631</v>
      </c>
      <c r="E88" s="127"/>
      <c r="F88" s="66"/>
      <c r="G88" s="127"/>
      <c r="H88" s="70"/>
      <c r="J88" s="70"/>
    </row>
    <row r="89" spans="2:10">
      <c r="B89" s="643" t="s">
        <v>307</v>
      </c>
      <c r="C89" s="643"/>
      <c r="D89" s="645">
        <f>+H85</f>
        <v>1906059387</v>
      </c>
      <c r="E89" s="127"/>
      <c r="F89" s="66"/>
      <c r="G89" s="127"/>
      <c r="H89" s="70"/>
      <c r="J89" s="70"/>
    </row>
    <row r="90" spans="2:10">
      <c r="D90" s="63"/>
      <c r="E90" s="127"/>
      <c r="F90" s="66"/>
      <c r="G90" s="127"/>
      <c r="H90" s="70"/>
      <c r="J90" s="70"/>
    </row>
    <row r="91" spans="2:10">
      <c r="B91" s="643" t="s">
        <v>306</v>
      </c>
      <c r="C91" s="643"/>
      <c r="D91" s="57">
        <f>ROUND((D88/D89),5)</f>
        <v>2.7910000000000001E-2</v>
      </c>
      <c r="E91" s="127"/>
      <c r="F91" s="66"/>
      <c r="G91" s="127"/>
      <c r="H91" s="70"/>
      <c r="J91" s="70"/>
    </row>
    <row r="92" spans="2:10">
      <c r="D92" s="70"/>
      <c r="E92" s="127"/>
      <c r="F92" s="66"/>
      <c r="G92" s="127"/>
      <c r="H92" s="70"/>
      <c r="J92" s="70"/>
    </row>
    <row r="93" spans="2:10">
      <c r="D93" s="70"/>
      <c r="E93" s="127"/>
      <c r="F93" s="127" t="s">
        <v>111</v>
      </c>
      <c r="G93" s="127"/>
      <c r="H93" s="70" t="s">
        <v>95</v>
      </c>
      <c r="J93" s="70"/>
    </row>
    <row r="94" spans="2:10">
      <c r="C94" s="127" t="s">
        <v>242</v>
      </c>
      <c r="D94" s="127" t="s">
        <v>254</v>
      </c>
      <c r="F94" s="69" t="s">
        <v>7</v>
      </c>
      <c r="G94" s="69"/>
      <c r="H94" s="70" t="s">
        <v>801</v>
      </c>
      <c r="J94" s="70"/>
    </row>
    <row r="95" spans="2:10">
      <c r="C95" s="68" t="s">
        <v>136</v>
      </c>
      <c r="D95" s="68" t="s">
        <v>253</v>
      </c>
      <c r="F95" s="372" t="s">
        <v>136</v>
      </c>
      <c r="G95" s="372"/>
      <c r="H95" s="70" t="s">
        <v>136</v>
      </c>
      <c r="J95" s="70"/>
    </row>
    <row r="96" spans="2:10">
      <c r="H96" s="70"/>
      <c r="J96" s="70"/>
    </row>
    <row r="97" spans="2:10">
      <c r="B97" s="641" t="str">
        <f>+B$32</f>
        <v xml:space="preserve">  Secondary</v>
      </c>
      <c r="C97" s="373">
        <f>+D91</f>
        <v>2.7910000000000001E-2</v>
      </c>
      <c r="D97" s="66">
        <f>+F80</f>
        <v>1</v>
      </c>
      <c r="E97" s="127"/>
      <c r="F97" s="374">
        <f>ROUND(C97*D97,5)</f>
        <v>2.7910000000000001E-2</v>
      </c>
      <c r="H97" s="70">
        <v>2.8510000000000001E-2</v>
      </c>
      <c r="J97" s="70"/>
    </row>
    <row r="98" spans="2:10">
      <c r="B98" s="641" t="str">
        <f>+B$33</f>
        <v xml:space="preserve">  Primary</v>
      </c>
      <c r="C98" s="70">
        <f>+$C$97</f>
        <v>2.7910000000000001E-2</v>
      </c>
      <c r="D98" s="66">
        <f>+F81</f>
        <v>0.98647425822736579</v>
      </c>
      <c r="E98" s="127"/>
      <c r="F98" s="374">
        <f>ROUND(C98*D98,5)</f>
        <v>2.7529999999999999E-2</v>
      </c>
      <c r="H98" s="70">
        <v>2.8510000000000001E-2</v>
      </c>
      <c r="J98" s="70"/>
    </row>
    <row r="99" spans="2:10">
      <c r="B99" s="641" t="str">
        <f>+B$34</f>
        <v xml:space="preserve">  Subtransmission</v>
      </c>
      <c r="C99" s="70">
        <f>+$C$97</f>
        <v>2.7910000000000001E-2</v>
      </c>
      <c r="D99" s="66">
        <f>+F82</f>
        <v>0.97817783492879939</v>
      </c>
      <c r="E99" s="127"/>
      <c r="F99" s="374">
        <f>ROUND(C99*D99,5)</f>
        <v>2.7300000000000001E-2</v>
      </c>
      <c r="H99" s="70">
        <v>2.8510000000000001E-2</v>
      </c>
      <c r="J99" s="70"/>
    </row>
    <row r="100" spans="2:10">
      <c r="B100" s="641" t="str">
        <f>+B$35</f>
        <v xml:space="preserve">  Transmission</v>
      </c>
      <c r="C100" s="70">
        <f>+$C$97</f>
        <v>2.7910000000000001E-2</v>
      </c>
      <c r="D100" s="66">
        <f>+F83</f>
        <v>0.97002428918416927</v>
      </c>
      <c r="E100" s="127"/>
      <c r="F100" s="374">
        <f>ROUND(C100*D100,5)</f>
        <v>2.707E-2</v>
      </c>
      <c r="H100" s="70">
        <v>2.8510000000000001E-2</v>
      </c>
      <c r="J100" s="70"/>
    </row>
    <row r="101" spans="2:10">
      <c r="D101" s="70"/>
      <c r="E101" s="127"/>
      <c r="F101" s="66"/>
      <c r="G101" s="127"/>
      <c r="H101" s="70"/>
      <c r="J101" s="70"/>
    </row>
    <row r="102" spans="2:10">
      <c r="D102" s="70"/>
      <c r="E102" s="127"/>
      <c r="F102" s="66"/>
      <c r="G102" s="127"/>
      <c r="H102" s="70"/>
      <c r="J102" s="70"/>
    </row>
    <row r="103" spans="2:10">
      <c r="D103" s="70"/>
      <c r="E103" s="127"/>
      <c r="F103" s="66"/>
      <c r="G103" s="127"/>
      <c r="H103" s="70"/>
      <c r="J103" s="70"/>
    </row>
    <row r="104" spans="2:10" ht="16.5">
      <c r="B104" s="643" t="s">
        <v>369</v>
      </c>
      <c r="F104" s="670"/>
    </row>
    <row r="105" spans="2:10">
      <c r="D105" s="127" t="s">
        <v>147</v>
      </c>
      <c r="F105" s="69" t="s">
        <v>111</v>
      </c>
    </row>
    <row r="106" spans="2:10">
      <c r="C106" s="643"/>
      <c r="D106" s="68" t="s">
        <v>7</v>
      </c>
      <c r="F106" s="68" t="s">
        <v>136</v>
      </c>
      <c r="H106" s="68" t="s">
        <v>1</v>
      </c>
    </row>
    <row r="108" spans="2:10">
      <c r="B108" s="641" t="str">
        <f>+B$32</f>
        <v xml:space="preserve">  Secondary</v>
      </c>
      <c r="D108" s="645">
        <f>+D21</f>
        <v>19524195.254237287</v>
      </c>
      <c r="F108" s="67">
        <f>F109*(1+(D97-D98))</f>
        <v>2.9372905586144946E-2</v>
      </c>
      <c r="G108" s="645"/>
      <c r="H108" s="645">
        <f>ROUND((F108*D108),0)</f>
        <v>573482</v>
      </c>
    </row>
    <row r="109" spans="2:10">
      <c r="B109" s="641" t="str">
        <f>+B$33</f>
        <v xml:space="preserve">  Primary</v>
      </c>
      <c r="D109" s="645">
        <f>+F21</f>
        <v>313016880.23636365</v>
      </c>
      <c r="F109" s="67">
        <f>F110*(1+(D98-D99))</f>
        <v>2.8980917183980329E-2</v>
      </c>
      <c r="G109" s="645"/>
      <c r="H109" s="645">
        <f>ROUND((F109*D109),0)</f>
        <v>9071516</v>
      </c>
    </row>
    <row r="110" spans="2:10">
      <c r="B110" s="641" t="str">
        <f>+B$34</f>
        <v xml:space="preserve">  Subtransmission</v>
      </c>
      <c r="D110" s="645">
        <f>+H21</f>
        <v>1357576815.5426357</v>
      </c>
      <c r="F110" s="67">
        <f>F111*(1+(D99-D100))</f>
        <v>2.8742457589179402E-2</v>
      </c>
      <c r="H110" s="645">
        <f>ROUND((F110*D110),0)</f>
        <v>39020094</v>
      </c>
    </row>
    <row r="111" spans="2:10">
      <c r="B111" s="641" t="str">
        <f>+B$35</f>
        <v xml:space="preserve">  Transmission</v>
      </c>
      <c r="D111" s="645">
        <f>+J21</f>
        <v>257519888.8888889</v>
      </c>
      <c r="F111" s="67">
        <f t="shared" ref="F111" si="0">IF(F100&lt;H100,H100,F100)</f>
        <v>2.8510000000000001E-2</v>
      </c>
      <c r="H111" s="645">
        <f>ROUND((F111*D111),0)</f>
        <v>7341892</v>
      </c>
    </row>
    <row r="112" spans="2:10">
      <c r="D112" s="126" t="s">
        <v>72</v>
      </c>
      <c r="H112" s="126" t="s">
        <v>72</v>
      </c>
    </row>
    <row r="113" spans="1:10">
      <c r="B113" s="641" t="str">
        <f>+B$37</f>
        <v xml:space="preserve">  Total</v>
      </c>
      <c r="D113" s="645">
        <f>SUM(D108:D111)</f>
        <v>1947637779.9221253</v>
      </c>
      <c r="H113" s="644">
        <f>SUM(H108:H111)</f>
        <v>56006984</v>
      </c>
      <c r="J113" s="360"/>
    </row>
    <row r="115" spans="1:10">
      <c r="H115" s="414"/>
    </row>
    <row r="116" spans="1:10">
      <c r="A116" s="643" t="s">
        <v>81</v>
      </c>
      <c r="B116" s="643" t="s">
        <v>368</v>
      </c>
      <c r="C116" s="643"/>
      <c r="H116" s="414"/>
    </row>
    <row r="117" spans="1:10">
      <c r="H117" s="414"/>
    </row>
    <row r="118" spans="1:10">
      <c r="D118" s="127" t="s">
        <v>367</v>
      </c>
      <c r="F118" s="127" t="s">
        <v>254</v>
      </c>
      <c r="H118" s="127" t="s">
        <v>315</v>
      </c>
    </row>
    <row r="119" spans="1:10">
      <c r="B119" s="643" t="s">
        <v>360</v>
      </c>
      <c r="C119" s="643"/>
      <c r="D119" s="68" t="s">
        <v>6</v>
      </c>
      <c r="F119" s="68" t="s">
        <v>253</v>
      </c>
      <c r="G119" s="368"/>
      <c r="H119" s="68" t="s">
        <v>6</v>
      </c>
    </row>
    <row r="121" spans="1:10">
      <c r="B121" s="641" t="str">
        <f>+B$32</f>
        <v xml:space="preserve">  Secondary</v>
      </c>
      <c r="D121" s="161">
        <f>D19</f>
        <v>46538.644067796609</v>
      </c>
      <c r="F121" s="66">
        <v>1</v>
      </c>
      <c r="H121" s="645">
        <f>ROUND((D121*F121),0)</f>
        <v>46539</v>
      </c>
      <c r="J121" s="161"/>
    </row>
    <row r="122" spans="1:10">
      <c r="B122" s="641" t="str">
        <f>+B$33</f>
        <v xml:space="preserve">  Primary</v>
      </c>
      <c r="D122" s="645">
        <f>F19</f>
        <v>751409.00064599561</v>
      </c>
      <c r="F122" s="66">
        <f>'Demand Basis'!C15</f>
        <v>0.99000312994982598</v>
      </c>
      <c r="H122" s="645">
        <f>ROUND((D122*F122),0)</f>
        <v>743897</v>
      </c>
      <c r="J122" s="161"/>
    </row>
    <row r="123" spans="1:10">
      <c r="B123" s="641" t="str">
        <f>+B$34</f>
        <v xml:space="preserve">  Subtransmission</v>
      </c>
      <c r="D123" s="645">
        <f>H19</f>
        <v>2254082.6898595877</v>
      </c>
      <c r="F123" s="66">
        <f>'Demand Basis'!D15</f>
        <v>0.98334487304733798</v>
      </c>
      <c r="H123" s="645">
        <f>ROUND((D123*F123),0)</f>
        <v>2216541</v>
      </c>
      <c r="J123" s="161"/>
    </row>
    <row r="124" spans="1:10">
      <c r="B124" s="641" t="str">
        <f>+B$35</f>
        <v xml:space="preserve">  Transmission</v>
      </c>
      <c r="D124" s="645">
        <f>J19</f>
        <v>481342.61051293556</v>
      </c>
      <c r="F124" s="66">
        <f>'Demand Basis'!E15</f>
        <v>0.97327212542562558</v>
      </c>
      <c r="G124" s="368"/>
      <c r="H124" s="645">
        <f>ROUND((D124*F124),0)</f>
        <v>468477</v>
      </c>
      <c r="J124" s="161"/>
    </row>
    <row r="125" spans="1:10">
      <c r="D125" s="63"/>
      <c r="F125" s="151"/>
      <c r="H125" s="415"/>
      <c r="J125" s="161"/>
    </row>
    <row r="126" spans="1:10">
      <c r="B126" s="641" t="str">
        <f>+B$37</f>
        <v xml:space="preserve">  Total</v>
      </c>
      <c r="D126" s="645">
        <f>SUM(D121:D124)</f>
        <v>3533372.9450863153</v>
      </c>
      <c r="F126" s="151"/>
      <c r="H126" s="645">
        <f>SUM(H121:H124)</f>
        <v>3475454</v>
      </c>
    </row>
    <row r="127" spans="1:10">
      <c r="B127" s="364"/>
      <c r="C127" s="364"/>
      <c r="D127" s="645"/>
      <c r="E127" s="364"/>
      <c r="F127" s="151"/>
      <c r="G127" s="364"/>
      <c r="H127" s="645"/>
    </row>
    <row r="128" spans="1:10">
      <c r="F128" s="368"/>
      <c r="G128" s="368"/>
      <c r="H128" s="368"/>
    </row>
    <row r="129" spans="2:11">
      <c r="D129" s="127" t="s">
        <v>367</v>
      </c>
      <c r="F129" s="127" t="s">
        <v>314</v>
      </c>
      <c r="H129" s="127" t="s">
        <v>304</v>
      </c>
    </row>
    <row r="130" spans="2:11">
      <c r="B130" s="643" t="s">
        <v>313</v>
      </c>
      <c r="C130" s="643"/>
      <c r="D130" s="68" t="s">
        <v>6</v>
      </c>
      <c r="F130" s="68" t="s">
        <v>304</v>
      </c>
      <c r="H130" s="68" t="s">
        <v>1</v>
      </c>
    </row>
    <row r="131" spans="2:11">
      <c r="F131" s="368"/>
      <c r="G131" s="368"/>
      <c r="H131" s="368"/>
    </row>
    <row r="132" spans="2:11">
      <c r="B132" s="641" t="str">
        <f>+B$32</f>
        <v xml:space="preserve">  Secondary</v>
      </c>
      <c r="D132" s="645">
        <f>D121</f>
        <v>46538.644067796609</v>
      </c>
      <c r="F132" s="65">
        <v>0</v>
      </c>
      <c r="G132" s="368"/>
      <c r="H132" s="71">
        <f>ROUND((D132*F132),0)</f>
        <v>0</v>
      </c>
    </row>
    <row r="133" spans="2:11">
      <c r="B133" s="641" t="str">
        <f>+B$33</f>
        <v xml:space="preserve">  Primary</v>
      </c>
      <c r="D133" s="645">
        <f>D122</f>
        <v>751409.00064599561</v>
      </c>
      <c r="F133" s="65">
        <f>'Demand Basis'!F32</f>
        <v>-2.75</v>
      </c>
      <c r="H133" s="71">
        <f>ROUND((D133*F133),0)</f>
        <v>-2066375</v>
      </c>
    </row>
    <row r="134" spans="2:11">
      <c r="B134" s="641" t="str">
        <f>+B$34</f>
        <v xml:space="preserve">  Subtransmission</v>
      </c>
      <c r="D134" s="645">
        <f>D123</f>
        <v>2254082.6898595877</v>
      </c>
      <c r="F134" s="65">
        <f>'Demand Basis'!F33</f>
        <v>-9.379999999999999</v>
      </c>
      <c r="H134" s="71">
        <f>ROUND((D134*F134),0)</f>
        <v>-21143296</v>
      </c>
    </row>
    <row r="135" spans="2:11">
      <c r="B135" s="641" t="str">
        <f>+B$35</f>
        <v xml:space="preserve">  Transmission</v>
      </c>
      <c r="D135" s="645">
        <f>D124</f>
        <v>481342.61051293556</v>
      </c>
      <c r="F135" s="65">
        <f>'Demand Basis'!F34</f>
        <v>-9.379999999999999</v>
      </c>
      <c r="H135" s="71">
        <f>ROUND((D135*F135),0)</f>
        <v>-4514994</v>
      </c>
    </row>
    <row r="136" spans="2:11">
      <c r="D136" s="63"/>
      <c r="H136" s="62"/>
    </row>
    <row r="137" spans="2:11">
      <c r="B137" s="641" t="str">
        <f>+B$178</f>
        <v xml:space="preserve">  Total</v>
      </c>
      <c r="D137" s="645">
        <f>SUM(D132:D135)</f>
        <v>3533372.9450863153</v>
      </c>
      <c r="H137" s="71">
        <f>SUM(H132:H135)</f>
        <v>-27724665</v>
      </c>
    </row>
    <row r="138" spans="2:11">
      <c r="H138" s="414"/>
    </row>
    <row r="139" spans="2:11">
      <c r="H139" s="414"/>
    </row>
    <row r="140" spans="2:11">
      <c r="B140" s="643" t="s">
        <v>366</v>
      </c>
      <c r="C140" s="643"/>
      <c r="D140" s="644">
        <f>J6</f>
        <v>74863998.656746224</v>
      </c>
      <c r="F140" s="215"/>
      <c r="G140" s="643"/>
      <c r="H140" s="643"/>
      <c r="I140" s="643"/>
      <c r="J140" s="2"/>
      <c r="K140" s="643"/>
    </row>
    <row r="141" spans="2:11">
      <c r="B141" s="643" t="s">
        <v>365</v>
      </c>
      <c r="C141" s="643"/>
      <c r="D141" s="416">
        <f>H137</f>
        <v>-27724665</v>
      </c>
      <c r="F141" s="216"/>
      <c r="G141" s="643"/>
      <c r="H141" s="643"/>
      <c r="I141" s="643"/>
      <c r="J141" s="2"/>
      <c r="K141" s="643"/>
    </row>
    <row r="142" spans="2:11">
      <c r="D142" s="73"/>
      <c r="F142" s="643"/>
      <c r="G142" s="643"/>
      <c r="H142" s="643"/>
      <c r="I142" s="643"/>
      <c r="J142" s="2"/>
      <c r="K142" s="643"/>
    </row>
    <row r="143" spans="2:11">
      <c r="B143" s="643" t="s">
        <v>351</v>
      </c>
      <c r="C143" s="643"/>
      <c r="D143" s="644">
        <f>D140-SUM(D141:D141)</f>
        <v>102588663.65674622</v>
      </c>
      <c r="F143" s="215"/>
      <c r="G143" s="643"/>
      <c r="H143" s="215"/>
      <c r="I143" s="643"/>
      <c r="J143" s="643"/>
      <c r="K143" s="643"/>
    </row>
    <row r="144" spans="2:11">
      <c r="B144" s="643" t="s">
        <v>364</v>
      </c>
      <c r="C144" s="643"/>
      <c r="D144" s="645">
        <f>H126</f>
        <v>3475454</v>
      </c>
      <c r="F144" s="215"/>
      <c r="G144" s="643"/>
      <c r="H144" s="215"/>
      <c r="I144" s="643"/>
      <c r="J144" s="215"/>
      <c r="K144" s="643"/>
    </row>
    <row r="145" spans="2:14">
      <c r="D145" s="63"/>
      <c r="F145" s="643"/>
      <c r="G145" s="643"/>
      <c r="H145" s="643"/>
      <c r="I145" s="643"/>
      <c r="J145" s="643"/>
      <c r="K145" s="643"/>
    </row>
    <row r="146" spans="2:14">
      <c r="B146" s="643" t="s">
        <v>349</v>
      </c>
      <c r="C146" s="64"/>
      <c r="D146" s="642">
        <f>ROUND(D143/D144,2)</f>
        <v>29.52</v>
      </c>
      <c r="F146" s="4"/>
      <c r="G146" s="643"/>
      <c r="H146" s="643"/>
      <c r="I146" s="643"/>
      <c r="J146" s="4"/>
      <c r="K146" s="643"/>
    </row>
    <row r="147" spans="2:14">
      <c r="B147" s="148"/>
      <c r="C147" s="148"/>
      <c r="D147" s="93"/>
    </row>
    <row r="148" spans="2:14">
      <c r="D148" s="127" t="s">
        <v>242</v>
      </c>
      <c r="F148" s="127" t="s">
        <v>254</v>
      </c>
      <c r="H148" s="127" t="s">
        <v>6</v>
      </c>
      <c r="J148" s="127" t="s">
        <v>314</v>
      </c>
      <c r="L148" s="127" t="s">
        <v>111</v>
      </c>
    </row>
    <row r="149" spans="2:14">
      <c r="B149" s="643" t="s">
        <v>317</v>
      </c>
      <c r="C149" s="643"/>
      <c r="D149" s="68" t="s">
        <v>136</v>
      </c>
      <c r="F149" s="68" t="s">
        <v>253</v>
      </c>
      <c r="H149" s="68" t="s">
        <v>136</v>
      </c>
      <c r="J149" s="68" t="s">
        <v>304</v>
      </c>
      <c r="L149" s="68" t="s">
        <v>136</v>
      </c>
    </row>
    <row r="151" spans="2:14">
      <c r="B151" s="641" t="str">
        <f>+B$32</f>
        <v xml:space="preserve">  Secondary</v>
      </c>
      <c r="D151" s="61">
        <f>D146</f>
        <v>29.52</v>
      </c>
      <c r="F151" s="66">
        <f>F121</f>
        <v>1</v>
      </c>
      <c r="G151" s="147"/>
      <c r="H151" s="61">
        <f>ROUND((D151*F151),2)</f>
        <v>29.52</v>
      </c>
      <c r="I151" s="147"/>
      <c r="J151" s="65">
        <f>F132</f>
        <v>0</v>
      </c>
      <c r="L151" s="61">
        <f>H151+J151</f>
        <v>29.52</v>
      </c>
    </row>
    <row r="152" spans="2:14">
      <c r="B152" s="641" t="str">
        <f>+B$33</f>
        <v xml:space="preserve">  Primary</v>
      </c>
      <c r="D152" s="61">
        <f>D151</f>
        <v>29.52</v>
      </c>
      <c r="F152" s="66">
        <f>F122</f>
        <v>0.99000312994982598</v>
      </c>
      <c r="G152" s="147"/>
      <c r="H152" s="61">
        <f>ROUND((D152*F152),2)</f>
        <v>29.22</v>
      </c>
      <c r="I152" s="147"/>
      <c r="J152" s="65">
        <f>F133</f>
        <v>-2.75</v>
      </c>
      <c r="L152" s="61">
        <f>H152+J152</f>
        <v>26.47</v>
      </c>
    </row>
    <row r="153" spans="2:14">
      <c r="B153" s="641" t="str">
        <f>+B$34</f>
        <v xml:space="preserve">  Subtransmission</v>
      </c>
      <c r="D153" s="61">
        <f>D152</f>
        <v>29.52</v>
      </c>
      <c r="F153" s="66">
        <f>F123</f>
        <v>0.98334487304733798</v>
      </c>
      <c r="G153" s="147"/>
      <c r="H153" s="61">
        <f>ROUND((D153*F153),2)</f>
        <v>29.03</v>
      </c>
      <c r="I153" s="147"/>
      <c r="J153" s="65">
        <f>F134</f>
        <v>-9.379999999999999</v>
      </c>
      <c r="L153" s="61">
        <f>H153+J153</f>
        <v>19.650000000000002</v>
      </c>
      <c r="N153" s="367"/>
    </row>
    <row r="154" spans="2:14">
      <c r="B154" s="641" t="str">
        <f>+B$35</f>
        <v xml:space="preserve">  Transmission</v>
      </c>
      <c r="D154" s="61">
        <f>D153</f>
        <v>29.52</v>
      </c>
      <c r="F154" s="66">
        <f>F124</f>
        <v>0.97327212542562558</v>
      </c>
      <c r="G154" s="147"/>
      <c r="H154" s="61">
        <f>ROUND((D154*F154),2)</f>
        <v>28.73</v>
      </c>
      <c r="I154" s="147"/>
      <c r="J154" s="65">
        <f>F135</f>
        <v>-9.379999999999999</v>
      </c>
      <c r="L154" s="61">
        <f>H154+J154</f>
        <v>19.350000000000001</v>
      </c>
    </row>
    <row r="155" spans="2:14">
      <c r="D155" s="61"/>
      <c r="F155" s="66"/>
      <c r="G155" s="147"/>
      <c r="H155" s="61"/>
      <c r="I155" s="147"/>
      <c r="J155" s="65"/>
      <c r="L155" s="61"/>
    </row>
    <row r="156" spans="2:14">
      <c r="B156" s="643" t="s">
        <v>363</v>
      </c>
    </row>
    <row r="157" spans="2:14">
      <c r="D157" s="127" t="s">
        <v>362</v>
      </c>
      <c r="F157" s="69" t="s">
        <v>111</v>
      </c>
    </row>
    <row r="158" spans="2:14">
      <c r="C158" s="643"/>
      <c r="D158" s="68" t="s">
        <v>6</v>
      </c>
      <c r="F158" s="68" t="s">
        <v>136</v>
      </c>
      <c r="H158" s="68" t="s">
        <v>1</v>
      </c>
    </row>
    <row r="160" spans="2:14">
      <c r="B160" s="641" t="str">
        <f>+B$32</f>
        <v xml:space="preserve">  Secondary</v>
      </c>
      <c r="D160" s="645">
        <f>D18</f>
        <v>15927.457627118643</v>
      </c>
      <c r="F160" s="61">
        <f>L151</f>
        <v>29.52</v>
      </c>
      <c r="G160" s="645"/>
      <c r="H160" s="645">
        <f>ROUND((F160*D160),0)</f>
        <v>470179</v>
      </c>
    </row>
    <row r="161" spans="1:10">
      <c r="B161" s="641" t="str">
        <f>+B$33</f>
        <v xml:space="preserve">  Primary</v>
      </c>
      <c r="D161" s="645">
        <f>F18</f>
        <v>114283.2</v>
      </c>
      <c r="F161" s="61">
        <f>L152</f>
        <v>26.47</v>
      </c>
      <c r="G161" s="645"/>
      <c r="H161" s="645">
        <f>ROUND((F161*D161),0)</f>
        <v>3025076</v>
      </c>
      <c r="J161" s="367"/>
    </row>
    <row r="162" spans="1:10">
      <c r="B162" s="641" t="str">
        <f>+B$34</f>
        <v xml:space="preserve">  Subtransmission</v>
      </c>
      <c r="D162" s="645">
        <f>H18</f>
        <v>101271.60741247403</v>
      </c>
      <c r="F162" s="61">
        <f>L153</f>
        <v>19.650000000000002</v>
      </c>
      <c r="H162" s="645">
        <f>ROUND((F162*D162),0)</f>
        <v>1989987</v>
      </c>
      <c r="J162" s="367"/>
    </row>
    <row r="163" spans="1:10">
      <c r="B163" s="641" t="str">
        <f>+B$35</f>
        <v xml:space="preserve">  Transmission</v>
      </c>
      <c r="D163" s="645">
        <f>J18</f>
        <v>42071.81421663925</v>
      </c>
      <c r="F163" s="61">
        <f>L154</f>
        <v>19.350000000000001</v>
      </c>
      <c r="H163" s="645">
        <f>ROUND((F163*D163),0)</f>
        <v>814090</v>
      </c>
      <c r="J163" s="367"/>
    </row>
    <row r="164" spans="1:10">
      <c r="D164" s="126" t="s">
        <v>72</v>
      </c>
      <c r="H164" s="126" t="s">
        <v>72</v>
      </c>
    </row>
    <row r="165" spans="1:10">
      <c r="B165" s="641" t="str">
        <f>+B$37</f>
        <v xml:space="preserve">  Total</v>
      </c>
      <c r="D165" s="645">
        <f>SUM(D160:D163)</f>
        <v>273554.0792562319</v>
      </c>
      <c r="H165" s="644">
        <f>SUM(H160:H163)</f>
        <v>6299332</v>
      </c>
    </row>
    <row r="166" spans="1:10">
      <c r="D166" s="645"/>
      <c r="H166" s="644"/>
    </row>
    <row r="167" spans="1:10">
      <c r="D167" s="645"/>
      <c r="H167" s="644"/>
    </row>
    <row r="168" spans="1:10">
      <c r="A168" s="643" t="s">
        <v>81</v>
      </c>
      <c r="B168" s="643" t="s">
        <v>361</v>
      </c>
      <c r="C168" s="643"/>
    </row>
    <row r="170" spans="1:10">
      <c r="D170" s="127" t="s">
        <v>147</v>
      </c>
      <c r="F170" s="127" t="s">
        <v>254</v>
      </c>
      <c r="H170" s="127" t="s">
        <v>315</v>
      </c>
    </row>
    <row r="171" spans="1:10">
      <c r="B171" s="643" t="s">
        <v>360</v>
      </c>
      <c r="C171" s="643"/>
      <c r="D171" s="68" t="s">
        <v>6</v>
      </c>
      <c r="F171" s="68" t="s">
        <v>253</v>
      </c>
      <c r="G171" s="368"/>
      <c r="H171" s="68" t="s">
        <v>6</v>
      </c>
    </row>
    <row r="173" spans="1:10">
      <c r="B173" s="641" t="str">
        <f>+B$32</f>
        <v xml:space="preserve">  Secondary</v>
      </c>
      <c r="D173" s="161">
        <f>+D16</f>
        <v>30611.186440677968</v>
      </c>
      <c r="F173" s="66">
        <f>F121</f>
        <v>1</v>
      </c>
      <c r="H173" s="645">
        <f>ROUND((D173*F173),0)</f>
        <v>30611</v>
      </c>
    </row>
    <row r="174" spans="1:10">
      <c r="B174" s="641" t="str">
        <f>+B$33</f>
        <v xml:space="preserve">  Primary</v>
      </c>
      <c r="D174" s="645">
        <f>+F16</f>
        <v>637125.80064599565</v>
      </c>
      <c r="F174" s="66">
        <f>F122</f>
        <v>0.99000312994982598</v>
      </c>
      <c r="H174" s="645">
        <f>ROUND((D174*F174),0)</f>
        <v>630757</v>
      </c>
    </row>
    <row r="175" spans="1:10">
      <c r="B175" s="641" t="str">
        <f>+B$34</f>
        <v xml:space="preserve">  Subtransmission</v>
      </c>
      <c r="D175" s="645">
        <f>+H16</f>
        <v>2152811.0824471135</v>
      </c>
      <c r="F175" s="66">
        <f>F123</f>
        <v>0.98334487304733798</v>
      </c>
      <c r="H175" s="645">
        <f>ROUND((D175*F175),0)</f>
        <v>2116956</v>
      </c>
    </row>
    <row r="176" spans="1:10">
      <c r="B176" s="641" t="str">
        <f>+B$35</f>
        <v xml:space="preserve">  Transmission</v>
      </c>
      <c r="D176" s="645">
        <f>+J16</f>
        <v>439270.79629629629</v>
      </c>
      <c r="F176" s="66">
        <f>F124</f>
        <v>0.97327212542562558</v>
      </c>
      <c r="G176" s="368"/>
      <c r="H176" s="645">
        <f>ROUND((D176*F176),0)</f>
        <v>427530</v>
      </c>
    </row>
    <row r="177" spans="1:248">
      <c r="D177" s="63"/>
      <c r="F177" s="151"/>
      <c r="H177" s="415"/>
    </row>
    <row r="178" spans="1:248">
      <c r="B178" s="641" t="str">
        <f>+B$37</f>
        <v xml:space="preserve">  Total</v>
      </c>
      <c r="D178" s="645">
        <f>SUM(D173:D176)</f>
        <v>3259818.8658300834</v>
      </c>
      <c r="F178" s="151"/>
      <c r="H178" s="645">
        <f>SUM(H173:H176)</f>
        <v>3205854</v>
      </c>
    </row>
    <row r="179" spans="1:248">
      <c r="A179" s="364"/>
      <c r="B179" s="364"/>
      <c r="C179" s="364"/>
      <c r="D179" s="645"/>
      <c r="E179" s="364"/>
      <c r="F179" s="151"/>
      <c r="G179" s="364"/>
      <c r="H179" s="645"/>
      <c r="I179" s="364"/>
      <c r="J179" s="364"/>
      <c r="K179" s="364"/>
      <c r="L179" s="364"/>
      <c r="M179" s="364"/>
      <c r="N179" s="364"/>
      <c r="O179" s="364"/>
      <c r="P179" s="364"/>
      <c r="Q179" s="364"/>
      <c r="R179" s="364"/>
      <c r="S179" s="364"/>
      <c r="T179" s="364"/>
      <c r="U179" s="364"/>
      <c r="V179" s="364"/>
      <c r="W179" s="364"/>
      <c r="X179" s="364"/>
      <c r="Y179" s="364"/>
      <c r="Z179" s="364"/>
      <c r="AA179" s="364"/>
      <c r="AB179" s="364"/>
      <c r="AC179" s="364"/>
      <c r="AD179" s="364"/>
      <c r="AE179" s="364"/>
      <c r="AF179" s="364"/>
      <c r="AG179" s="364"/>
      <c r="AH179" s="364"/>
      <c r="AI179" s="364"/>
      <c r="AJ179" s="364"/>
      <c r="AK179" s="364"/>
      <c r="AL179" s="364"/>
      <c r="AM179" s="364"/>
      <c r="AN179" s="364"/>
      <c r="AO179" s="364"/>
      <c r="AP179" s="364"/>
      <c r="AQ179" s="364"/>
      <c r="AR179" s="364"/>
      <c r="AS179" s="364"/>
      <c r="AT179" s="364"/>
      <c r="AU179" s="364"/>
      <c r="AV179" s="364"/>
      <c r="AW179" s="364"/>
      <c r="AX179" s="364"/>
      <c r="AY179" s="364"/>
      <c r="AZ179" s="364"/>
      <c r="BA179" s="364"/>
      <c r="BB179" s="364"/>
      <c r="BC179" s="364"/>
      <c r="BD179" s="364"/>
      <c r="BE179" s="364"/>
      <c r="BF179" s="364"/>
      <c r="BG179" s="364"/>
      <c r="BH179" s="364"/>
      <c r="BI179" s="364"/>
      <c r="BJ179" s="364"/>
      <c r="BK179" s="364"/>
      <c r="BL179" s="364"/>
      <c r="BM179" s="364"/>
      <c r="BN179" s="364"/>
      <c r="BO179" s="364"/>
      <c r="BP179" s="364"/>
      <c r="BQ179" s="364"/>
      <c r="BR179" s="364"/>
      <c r="BS179" s="364"/>
      <c r="BT179" s="364"/>
      <c r="BU179" s="364"/>
      <c r="BV179" s="364"/>
      <c r="BW179" s="364"/>
      <c r="BX179" s="364"/>
      <c r="BY179" s="364"/>
      <c r="BZ179" s="364"/>
      <c r="CA179" s="364"/>
      <c r="CB179" s="364"/>
      <c r="CC179" s="364"/>
      <c r="CD179" s="364"/>
      <c r="CE179" s="364"/>
      <c r="CF179" s="364"/>
      <c r="CG179" s="364"/>
      <c r="CH179" s="364"/>
      <c r="CI179" s="364"/>
      <c r="CJ179" s="364"/>
      <c r="CK179" s="364"/>
      <c r="CL179" s="364"/>
      <c r="CM179" s="364"/>
      <c r="CN179" s="364"/>
      <c r="CO179" s="364"/>
      <c r="CP179" s="364"/>
      <c r="CQ179" s="364"/>
      <c r="CR179" s="364"/>
      <c r="CS179" s="364"/>
      <c r="CT179" s="364"/>
      <c r="CU179" s="364"/>
      <c r="CV179" s="364"/>
      <c r="CW179" s="364"/>
      <c r="CX179" s="364"/>
      <c r="CY179" s="364"/>
      <c r="CZ179" s="364"/>
      <c r="DA179" s="364"/>
      <c r="DB179" s="364"/>
      <c r="DC179" s="364"/>
      <c r="DD179" s="364"/>
      <c r="DE179" s="364"/>
      <c r="DF179" s="364"/>
      <c r="DG179" s="364"/>
      <c r="DH179" s="364"/>
      <c r="DI179" s="364"/>
      <c r="DJ179" s="364"/>
      <c r="DK179" s="364"/>
      <c r="DL179" s="364"/>
      <c r="DM179" s="364"/>
      <c r="DN179" s="364"/>
      <c r="DO179" s="364"/>
      <c r="DP179" s="364"/>
      <c r="DQ179" s="364"/>
      <c r="DR179" s="364"/>
      <c r="DS179" s="364"/>
      <c r="DT179" s="364"/>
      <c r="DU179" s="364"/>
      <c r="DV179" s="364"/>
      <c r="DW179" s="364"/>
      <c r="DX179" s="364"/>
      <c r="DY179" s="364"/>
      <c r="DZ179" s="364"/>
      <c r="EA179" s="364"/>
      <c r="EB179" s="364"/>
      <c r="EC179" s="364"/>
      <c r="ED179" s="364"/>
      <c r="EE179" s="364"/>
      <c r="EF179" s="364"/>
      <c r="EG179" s="364"/>
      <c r="EH179" s="364"/>
      <c r="EI179" s="364"/>
      <c r="EJ179" s="364"/>
      <c r="EK179" s="364"/>
      <c r="EL179" s="364"/>
      <c r="EM179" s="364"/>
      <c r="EN179" s="364"/>
      <c r="EO179" s="364"/>
      <c r="EP179" s="364"/>
      <c r="EQ179" s="364"/>
      <c r="ER179" s="364"/>
      <c r="ES179" s="364"/>
      <c r="ET179" s="364"/>
      <c r="EU179" s="364"/>
      <c r="EV179" s="364"/>
      <c r="EW179" s="364"/>
      <c r="EX179" s="364"/>
      <c r="EY179" s="364"/>
      <c r="EZ179" s="364"/>
      <c r="FA179" s="364"/>
      <c r="FB179" s="364"/>
      <c r="FC179" s="364"/>
      <c r="FD179" s="364"/>
      <c r="FE179" s="364"/>
      <c r="FF179" s="364"/>
      <c r="FG179" s="364"/>
      <c r="FH179" s="364"/>
      <c r="FI179" s="364"/>
      <c r="FJ179" s="364"/>
      <c r="FK179" s="364"/>
      <c r="FL179" s="364"/>
      <c r="FM179" s="364"/>
      <c r="FN179" s="364"/>
      <c r="FO179" s="364"/>
      <c r="FP179" s="364"/>
      <c r="FQ179" s="364"/>
      <c r="FR179" s="364"/>
      <c r="FS179" s="364"/>
      <c r="FT179" s="364"/>
      <c r="FU179" s="364"/>
      <c r="FV179" s="364"/>
      <c r="FW179" s="364"/>
      <c r="FX179" s="364"/>
      <c r="FY179" s="364"/>
      <c r="FZ179" s="364"/>
      <c r="GA179" s="364"/>
      <c r="GB179" s="364"/>
      <c r="GC179" s="364"/>
      <c r="GD179" s="364"/>
      <c r="GE179" s="364"/>
      <c r="GF179" s="364"/>
      <c r="GG179" s="364"/>
      <c r="GH179" s="364"/>
      <c r="GI179" s="364"/>
      <c r="GJ179" s="364"/>
      <c r="GK179" s="364"/>
      <c r="GL179" s="364"/>
      <c r="GM179" s="364"/>
      <c r="GN179" s="364"/>
      <c r="GO179" s="364"/>
      <c r="GP179" s="364"/>
      <c r="GQ179" s="364"/>
      <c r="GR179" s="364"/>
      <c r="GS179" s="364"/>
      <c r="GT179" s="364"/>
      <c r="GU179" s="364"/>
      <c r="GV179" s="364"/>
      <c r="GW179" s="364"/>
      <c r="GX179" s="364"/>
      <c r="GY179" s="364"/>
      <c r="GZ179" s="364"/>
      <c r="HA179" s="364"/>
      <c r="HB179" s="364"/>
      <c r="HC179" s="364"/>
      <c r="HD179" s="364"/>
      <c r="HE179" s="364"/>
      <c r="HF179" s="364"/>
      <c r="HG179" s="364"/>
      <c r="HH179" s="364"/>
      <c r="HI179" s="364"/>
      <c r="HJ179" s="364"/>
      <c r="HK179" s="364"/>
      <c r="HL179" s="364"/>
      <c r="HM179" s="364"/>
      <c r="HN179" s="364"/>
      <c r="HO179" s="364"/>
      <c r="HP179" s="364"/>
      <c r="HQ179" s="364"/>
      <c r="HR179" s="364"/>
      <c r="HS179" s="364"/>
      <c r="HT179" s="364"/>
      <c r="HU179" s="364"/>
      <c r="HV179" s="364"/>
      <c r="HW179" s="364"/>
      <c r="HX179" s="364"/>
      <c r="HY179" s="364"/>
      <c r="HZ179" s="364"/>
      <c r="IA179" s="364"/>
      <c r="IB179" s="364"/>
      <c r="IC179" s="364"/>
      <c r="ID179" s="364"/>
      <c r="IE179" s="364"/>
      <c r="IF179" s="364"/>
      <c r="IG179" s="364"/>
      <c r="IH179" s="364"/>
      <c r="II179" s="364"/>
      <c r="IJ179" s="364"/>
      <c r="IK179" s="364"/>
      <c r="IL179" s="364"/>
      <c r="IM179" s="364"/>
      <c r="IN179" s="364"/>
    </row>
    <row r="180" spans="1:248">
      <c r="F180" s="368"/>
      <c r="G180" s="368"/>
      <c r="H180" s="368"/>
    </row>
    <row r="181" spans="1:248">
      <c r="D181" s="127" t="s">
        <v>147</v>
      </c>
      <c r="F181" s="127" t="s">
        <v>314</v>
      </c>
      <c r="H181" s="127" t="s">
        <v>304</v>
      </c>
    </row>
    <row r="182" spans="1:248">
      <c r="B182" s="643" t="s">
        <v>313</v>
      </c>
      <c r="C182" s="643"/>
      <c r="D182" s="68" t="s">
        <v>6</v>
      </c>
      <c r="F182" s="68" t="s">
        <v>304</v>
      </c>
      <c r="H182" s="68" t="s">
        <v>1</v>
      </c>
    </row>
    <row r="183" spans="1:248">
      <c r="F183" s="368"/>
      <c r="G183" s="368"/>
      <c r="H183" s="368"/>
    </row>
    <row r="184" spans="1:248">
      <c r="B184" s="641" t="str">
        <f>+B$32</f>
        <v xml:space="preserve">  Secondary</v>
      </c>
      <c r="D184" s="645">
        <f>+D$173</f>
        <v>30611.186440677968</v>
      </c>
      <c r="F184" s="65">
        <f>F132</f>
        <v>0</v>
      </c>
      <c r="G184" s="368"/>
      <c r="H184" s="71">
        <f>ROUND((D184*F184),0)</f>
        <v>0</v>
      </c>
    </row>
    <row r="185" spans="1:248">
      <c r="B185" s="641" t="str">
        <f>+B$33</f>
        <v xml:space="preserve">  Primary</v>
      </c>
      <c r="D185" s="645">
        <f>+D$174</f>
        <v>637125.80064599565</v>
      </c>
      <c r="F185" s="65">
        <f>F133</f>
        <v>-2.75</v>
      </c>
      <c r="H185" s="71">
        <f>ROUND((D185*F185),0)</f>
        <v>-1752096</v>
      </c>
    </row>
    <row r="186" spans="1:248">
      <c r="B186" s="641" t="str">
        <f>+B$34</f>
        <v xml:space="preserve">  Subtransmission</v>
      </c>
      <c r="D186" s="645">
        <f>+D$175</f>
        <v>2152811.0824471135</v>
      </c>
      <c r="F186" s="65">
        <f>F134</f>
        <v>-9.379999999999999</v>
      </c>
      <c r="H186" s="71">
        <f>ROUND((D186*F186),0)</f>
        <v>-20193368</v>
      </c>
    </row>
    <row r="187" spans="1:248">
      <c r="B187" s="641" t="str">
        <f>+B$35</f>
        <v xml:space="preserve">  Transmission</v>
      </c>
      <c r="D187" s="645">
        <f>+D$176</f>
        <v>439270.79629629629</v>
      </c>
      <c r="F187" s="65">
        <f>F135</f>
        <v>-9.379999999999999</v>
      </c>
      <c r="H187" s="71">
        <f>ROUND((D187*F187),0)</f>
        <v>-4120360</v>
      </c>
    </row>
    <row r="188" spans="1:248">
      <c r="D188" s="63"/>
      <c r="H188" s="62"/>
    </row>
    <row r="189" spans="1:248">
      <c r="B189" s="641" t="str">
        <f>+B$178</f>
        <v xml:space="preserve">  Total</v>
      </c>
      <c r="D189" s="645">
        <f>SUM(D184:D187)</f>
        <v>3259818.8658300834</v>
      </c>
      <c r="H189" s="71">
        <f>SUM(H184:H187)</f>
        <v>-26065824</v>
      </c>
    </row>
    <row r="190" spans="1:248">
      <c r="H190" s="414"/>
    </row>
    <row r="191" spans="1:248">
      <c r="H191" s="414"/>
    </row>
    <row r="192" spans="1:248">
      <c r="B192" s="643" t="s">
        <v>358</v>
      </c>
      <c r="C192" s="643"/>
      <c r="D192" s="644">
        <f>J10</f>
        <v>128324395.79049464</v>
      </c>
      <c r="F192" s="215"/>
      <c r="G192" s="643"/>
      <c r="H192" s="643"/>
      <c r="I192" s="643"/>
      <c r="J192" s="2"/>
      <c r="K192" s="643"/>
    </row>
    <row r="193" spans="2:13">
      <c r="B193" s="641" t="s">
        <v>357</v>
      </c>
      <c r="D193" s="360">
        <f>J47</f>
        <v>369498</v>
      </c>
      <c r="F193" s="360"/>
    </row>
    <row r="194" spans="2:13">
      <c r="B194" s="643" t="s">
        <v>356</v>
      </c>
      <c r="C194" s="643"/>
      <c r="D194" s="645">
        <f>H60</f>
        <v>299099</v>
      </c>
      <c r="F194" s="2"/>
      <c r="G194" s="643"/>
      <c r="H194" s="643"/>
      <c r="I194" s="643"/>
      <c r="J194" s="4"/>
      <c r="K194" s="643"/>
    </row>
    <row r="195" spans="2:13">
      <c r="B195" s="643" t="s">
        <v>355</v>
      </c>
      <c r="C195" s="643"/>
      <c r="D195" s="645">
        <f>H73</f>
        <v>5316601</v>
      </c>
      <c r="F195" s="2"/>
      <c r="G195" s="643"/>
      <c r="H195" s="643"/>
      <c r="I195" s="643"/>
      <c r="J195" s="4"/>
      <c r="K195" s="643"/>
    </row>
    <row r="196" spans="2:13">
      <c r="B196" s="643" t="s">
        <v>798</v>
      </c>
      <c r="C196" s="643"/>
      <c r="D196" s="645">
        <f>H274+H263+H252</f>
        <v>-421345.26370370371</v>
      </c>
      <c r="F196" s="2"/>
      <c r="G196" s="643"/>
      <c r="H196" s="643"/>
      <c r="I196" s="643"/>
      <c r="J196" s="4"/>
      <c r="K196" s="643"/>
    </row>
    <row r="197" spans="2:13">
      <c r="B197" s="643" t="s">
        <v>354</v>
      </c>
      <c r="C197" s="643"/>
      <c r="D197" s="645">
        <f>H113</f>
        <v>56006984</v>
      </c>
      <c r="F197" s="215"/>
      <c r="G197" s="643"/>
      <c r="H197" s="215"/>
      <c r="I197" s="643"/>
      <c r="J197" s="4"/>
      <c r="K197" s="643"/>
    </row>
    <row r="198" spans="2:13">
      <c r="B198" s="643" t="s">
        <v>353</v>
      </c>
      <c r="C198" s="643"/>
      <c r="D198" s="645">
        <f>H165</f>
        <v>6299332</v>
      </c>
      <c r="F198" s="215"/>
      <c r="G198" s="643"/>
      <c r="H198" s="215"/>
      <c r="I198" s="643"/>
      <c r="J198" s="4"/>
      <c r="K198" s="643"/>
    </row>
    <row r="199" spans="2:13">
      <c r="B199" s="643" t="s">
        <v>352</v>
      </c>
      <c r="C199" s="643"/>
      <c r="D199" s="416">
        <f>+H189</f>
        <v>-26065824</v>
      </c>
      <c r="F199" s="216"/>
      <c r="G199" s="643"/>
      <c r="H199" s="643"/>
      <c r="I199" s="643"/>
      <c r="J199" s="2"/>
      <c r="K199" s="643"/>
    </row>
    <row r="200" spans="2:13">
      <c r="D200" s="73"/>
      <c r="F200" s="643"/>
      <c r="G200" s="643"/>
      <c r="H200" s="643"/>
      <c r="I200" s="643"/>
      <c r="J200" s="2"/>
      <c r="K200" s="643"/>
    </row>
    <row r="201" spans="2:13">
      <c r="B201" s="643" t="s">
        <v>351</v>
      </c>
      <c r="C201" s="643"/>
      <c r="D201" s="644">
        <f>D192-SUM(D193:D199)</f>
        <v>86520051.05419834</v>
      </c>
      <c r="F201" s="215"/>
      <c r="G201" s="643"/>
      <c r="H201" s="215"/>
      <c r="I201" s="643"/>
      <c r="J201" s="643"/>
      <c r="K201" s="643"/>
    </row>
    <row r="202" spans="2:13">
      <c r="B202" s="643" t="s">
        <v>350</v>
      </c>
      <c r="C202" s="643"/>
      <c r="D202" s="645">
        <f>+H178</f>
        <v>3205854</v>
      </c>
      <c r="F202" s="215"/>
      <c r="G202" s="643"/>
      <c r="H202" s="215"/>
      <c r="I202" s="643"/>
      <c r="J202" s="215"/>
      <c r="K202" s="643"/>
    </row>
    <row r="203" spans="2:13">
      <c r="D203" s="63"/>
      <c r="F203" s="643"/>
      <c r="G203" s="643"/>
      <c r="H203" s="643"/>
      <c r="I203" s="643"/>
      <c r="J203" s="643"/>
      <c r="K203" s="643"/>
    </row>
    <row r="204" spans="2:13">
      <c r="B204" s="643" t="s">
        <v>349</v>
      </c>
      <c r="C204" s="643"/>
      <c r="D204" s="642">
        <f>ROUND((D201/D202),2)</f>
        <v>26.99</v>
      </c>
      <c r="F204" s="215"/>
      <c r="G204" s="643"/>
      <c r="H204" s="643"/>
      <c r="I204" s="643"/>
      <c r="J204" s="4"/>
      <c r="K204" s="643"/>
    </row>
    <row r="205" spans="2:13">
      <c r="B205" s="643" t="s">
        <v>348</v>
      </c>
      <c r="C205" s="64">
        <v>1</v>
      </c>
      <c r="D205" s="642">
        <f>ROUND(D204*C205,2)</f>
        <v>26.99</v>
      </c>
      <c r="F205" s="4"/>
      <c r="G205" s="643"/>
      <c r="H205" s="643"/>
      <c r="I205" s="643"/>
      <c r="J205" s="4"/>
      <c r="K205" s="643"/>
    </row>
    <row r="206" spans="2:13">
      <c r="B206" s="148"/>
      <c r="C206" s="148"/>
      <c r="D206" s="93"/>
    </row>
    <row r="207" spans="2:13" ht="15.75">
      <c r="D207" s="127" t="s">
        <v>242</v>
      </c>
      <c r="F207" s="127" t="s">
        <v>254</v>
      </c>
      <c r="H207" s="127" t="s">
        <v>6</v>
      </c>
      <c r="J207" s="127" t="s">
        <v>314</v>
      </c>
      <c r="L207" s="127" t="s">
        <v>111</v>
      </c>
      <c r="M207" s="668" t="s">
        <v>954</v>
      </c>
    </row>
    <row r="208" spans="2:13" ht="15.75">
      <c r="B208" s="643" t="s">
        <v>317</v>
      </c>
      <c r="C208" s="643"/>
      <c r="D208" s="68" t="s">
        <v>136</v>
      </c>
      <c r="F208" s="68" t="s">
        <v>253</v>
      </c>
      <c r="H208" s="68" t="s">
        <v>136</v>
      </c>
      <c r="J208" s="68" t="s">
        <v>304</v>
      </c>
      <c r="L208" s="68" t="s">
        <v>136</v>
      </c>
      <c r="M208" s="668" t="s">
        <v>136</v>
      </c>
    </row>
    <row r="209" spans="2:13" ht="15.75">
      <c r="M209" s="668"/>
    </row>
    <row r="210" spans="2:13" ht="15.75">
      <c r="B210" s="641" t="str">
        <f>+B$32</f>
        <v xml:space="preserve">  Secondary</v>
      </c>
      <c r="D210" s="61">
        <f>D205</f>
        <v>26.99</v>
      </c>
      <c r="F210" s="66">
        <f>F173</f>
        <v>1</v>
      </c>
      <c r="G210" s="147"/>
      <c r="H210" s="61">
        <f>ROUND((D210*F210),2)</f>
        <v>26.99</v>
      </c>
      <c r="I210" s="147"/>
      <c r="J210" s="65">
        <f>F184</f>
        <v>0</v>
      </c>
      <c r="L210" s="61">
        <f>H210+J210</f>
        <v>26.99</v>
      </c>
      <c r="M210" s="668">
        <v>24.13</v>
      </c>
    </row>
    <row r="211" spans="2:13" ht="15.75">
      <c r="B211" s="641" t="str">
        <f>+B$33</f>
        <v xml:space="preserve">  Primary</v>
      </c>
      <c r="D211" s="61">
        <f>D210</f>
        <v>26.99</v>
      </c>
      <c r="F211" s="66">
        <f>F174</f>
        <v>0.99000312994982598</v>
      </c>
      <c r="G211" s="147"/>
      <c r="H211" s="61">
        <f>ROUND((D211*F211),2)</f>
        <v>26.72</v>
      </c>
      <c r="I211" s="147"/>
      <c r="J211" s="65">
        <f>F185</f>
        <v>-2.75</v>
      </c>
      <c r="L211" s="61">
        <f>H211+J211</f>
        <v>23.97</v>
      </c>
      <c r="M211" s="668">
        <v>20.57</v>
      </c>
    </row>
    <row r="212" spans="2:13" ht="15.75">
      <c r="B212" s="641" t="str">
        <f>+B$34</f>
        <v xml:space="preserve">  Subtransmission</v>
      </c>
      <c r="D212" s="61">
        <f>D211</f>
        <v>26.99</v>
      </c>
      <c r="F212" s="66">
        <f>F175</f>
        <v>0.98334487304733798</v>
      </c>
      <c r="G212" s="147"/>
      <c r="H212" s="61">
        <f>ROUND((D212*F212),2)</f>
        <v>26.54</v>
      </c>
      <c r="I212" s="147"/>
      <c r="J212" s="65">
        <f>F186</f>
        <v>-9.379999999999999</v>
      </c>
      <c r="L212" s="61">
        <f>H212+J212</f>
        <v>17.16</v>
      </c>
      <c r="M212" s="668">
        <v>13.69</v>
      </c>
    </row>
    <row r="213" spans="2:13" ht="15.75">
      <c r="B213" s="641" t="str">
        <f>+B$35</f>
        <v xml:space="preserve">  Transmission</v>
      </c>
      <c r="D213" s="61">
        <f>D212</f>
        <v>26.99</v>
      </c>
      <c r="F213" s="66">
        <f>F176</f>
        <v>0.97327212542562558</v>
      </c>
      <c r="G213" s="147"/>
      <c r="H213" s="61">
        <f>ROUND((D213*F213),2)</f>
        <v>26.27</v>
      </c>
      <c r="I213" s="147"/>
      <c r="J213" s="65">
        <f>F187</f>
        <v>-9.379999999999999</v>
      </c>
      <c r="L213" s="61">
        <f>H213+J213</f>
        <v>16.89</v>
      </c>
      <c r="M213" s="668">
        <v>13.26</v>
      </c>
    </row>
    <row r="214" spans="2:13">
      <c r="D214" s="61"/>
      <c r="F214" s="66"/>
      <c r="G214" s="147"/>
      <c r="H214" s="61"/>
      <c r="I214" s="147"/>
      <c r="J214" s="65"/>
      <c r="L214" s="61"/>
    </row>
    <row r="215" spans="2:13">
      <c r="B215" s="643" t="s">
        <v>347</v>
      </c>
    </row>
    <row r="216" spans="2:13">
      <c r="D216" s="127" t="s">
        <v>43</v>
      </c>
      <c r="F216" s="69" t="s">
        <v>111</v>
      </c>
    </row>
    <row r="217" spans="2:13">
      <c r="C217" s="643"/>
      <c r="D217" s="68" t="s">
        <v>6</v>
      </c>
      <c r="F217" s="68" t="s">
        <v>136</v>
      </c>
      <c r="H217" s="68" t="s">
        <v>1</v>
      </c>
    </row>
    <row r="219" spans="2:13">
      <c r="B219" s="641" t="str">
        <f>+B$32</f>
        <v xml:space="preserve">  Secondary</v>
      </c>
      <c r="D219" s="645">
        <f>D173</f>
        <v>30611.186440677968</v>
      </c>
      <c r="F219" s="61">
        <f>L210</f>
        <v>26.99</v>
      </c>
      <c r="G219" s="645"/>
      <c r="H219" s="645">
        <f>ROUND((F219*D219),0)</f>
        <v>826196</v>
      </c>
    </row>
    <row r="220" spans="2:13">
      <c r="B220" s="641" t="str">
        <f>+B$33</f>
        <v xml:space="preserve">  Primary</v>
      </c>
      <c r="D220" s="645">
        <f>D174</f>
        <v>637125.80064599565</v>
      </c>
      <c r="F220" s="61">
        <f>L211</f>
        <v>23.97</v>
      </c>
      <c r="G220" s="645"/>
      <c r="H220" s="645">
        <f>ROUND((F220*D220),0)</f>
        <v>15271905</v>
      </c>
      <c r="J220" s="367"/>
    </row>
    <row r="221" spans="2:13">
      <c r="B221" s="641" t="str">
        <f>+B$34</f>
        <v xml:space="preserve">  Subtransmission</v>
      </c>
      <c r="D221" s="645">
        <f>D175</f>
        <v>2152811.0824471135</v>
      </c>
      <c r="F221" s="61">
        <f>L212</f>
        <v>17.16</v>
      </c>
      <c r="H221" s="645">
        <f>ROUND((F221*D221),0)</f>
        <v>36942238</v>
      </c>
      <c r="J221" s="367"/>
    </row>
    <row r="222" spans="2:13">
      <c r="B222" s="641" t="str">
        <f>+B$35</f>
        <v xml:space="preserve">  Transmission</v>
      </c>
      <c r="D222" s="645">
        <f>D176</f>
        <v>439270.79629629629</v>
      </c>
      <c r="F222" s="61">
        <f>L213</f>
        <v>16.89</v>
      </c>
      <c r="H222" s="645">
        <f>ROUND((F222*D222),0)</f>
        <v>7419284</v>
      </c>
      <c r="J222" s="367"/>
    </row>
    <row r="223" spans="2:13">
      <c r="D223" s="126" t="s">
        <v>72</v>
      </c>
      <c r="H223" s="126" t="s">
        <v>72</v>
      </c>
    </row>
    <row r="224" spans="2:13">
      <c r="B224" s="641" t="str">
        <f>+B$37</f>
        <v xml:space="preserve">  Total</v>
      </c>
      <c r="D224" s="645">
        <f>SUM(D219:D222)</f>
        <v>3259818.8658300834</v>
      </c>
      <c r="H224" s="644">
        <f>SUM(H219:H222)</f>
        <v>60459623</v>
      </c>
    </row>
    <row r="225" spans="1:12">
      <c r="D225" s="645"/>
      <c r="H225" s="644"/>
    </row>
    <row r="226" spans="1:12" hidden="1">
      <c r="B226" s="643"/>
      <c r="D226" s="645"/>
      <c r="H226" s="644"/>
    </row>
    <row r="227" spans="1:12" hidden="1">
      <c r="D227" s="226"/>
      <c r="F227" s="69"/>
      <c r="H227" s="644"/>
    </row>
    <row r="228" spans="1:12" hidden="1">
      <c r="D228" s="417"/>
      <c r="F228" s="68"/>
      <c r="H228" s="68"/>
    </row>
    <row r="229" spans="1:12" hidden="1">
      <c r="D229" s="645"/>
      <c r="H229" s="644"/>
    </row>
    <row r="230" spans="1:12" hidden="1">
      <c r="D230" s="645"/>
      <c r="F230" s="418"/>
      <c r="H230" s="644"/>
    </row>
    <row r="231" spans="1:12" hidden="1">
      <c r="D231" s="645"/>
      <c r="F231" s="418"/>
      <c r="H231" s="644"/>
    </row>
    <row r="232" spans="1:12" hidden="1">
      <c r="D232" s="645"/>
      <c r="F232" s="418"/>
      <c r="H232" s="644"/>
    </row>
    <row r="233" spans="1:12" hidden="1">
      <c r="D233" s="381"/>
      <c r="F233" s="418"/>
      <c r="H233" s="644"/>
    </row>
    <row r="234" spans="1:12">
      <c r="D234" s="645"/>
      <c r="H234" s="644"/>
    </row>
    <row r="235" spans="1:12">
      <c r="D235" s="61"/>
      <c r="F235" s="66"/>
      <c r="G235" s="147"/>
      <c r="H235" s="61"/>
      <c r="I235" s="147"/>
      <c r="J235" s="94"/>
      <c r="L235" s="61"/>
    </row>
    <row r="236" spans="1:12">
      <c r="D236" s="61"/>
      <c r="F236" s="66"/>
      <c r="G236" s="147"/>
      <c r="H236" s="61"/>
      <c r="I236" s="147"/>
      <c r="J236" s="94"/>
      <c r="L236" s="61"/>
    </row>
    <row r="237" spans="1:12">
      <c r="A237" s="643" t="s">
        <v>82</v>
      </c>
      <c r="B237" s="643" t="s">
        <v>39</v>
      </c>
      <c r="C237" s="643"/>
      <c r="D237" s="68" t="s">
        <v>40</v>
      </c>
      <c r="F237" s="68" t="s">
        <v>136</v>
      </c>
      <c r="H237" s="68" t="s">
        <v>1</v>
      </c>
      <c r="J237" s="68" t="s">
        <v>243</v>
      </c>
      <c r="L237" s="68" t="s">
        <v>42</v>
      </c>
    </row>
    <row r="239" spans="1:12">
      <c r="B239" s="643" t="s">
        <v>242</v>
      </c>
      <c r="C239" s="643" t="s">
        <v>346</v>
      </c>
      <c r="D239" s="645">
        <f>D16</f>
        <v>30611.186440677968</v>
      </c>
      <c r="E239" s="643" t="s">
        <v>144</v>
      </c>
      <c r="F239" s="642">
        <f>L210</f>
        <v>26.99</v>
      </c>
      <c r="G239" s="643" t="s">
        <v>239</v>
      </c>
      <c r="H239" s="644">
        <f t="shared" ref="H239:H244" si="1">ROUND((D239*F239),0)</f>
        <v>826196</v>
      </c>
      <c r="J239" s="419"/>
    </row>
    <row r="240" spans="1:12">
      <c r="B240" s="643"/>
      <c r="C240" s="643" t="s">
        <v>345</v>
      </c>
      <c r="D240" s="645">
        <f>D17</f>
        <v>26255.593220338982</v>
      </c>
      <c r="E240" s="643" t="s">
        <v>144</v>
      </c>
      <c r="F240" s="646">
        <f>+F68</f>
        <v>1.85</v>
      </c>
      <c r="G240" s="643" t="s">
        <v>239</v>
      </c>
      <c r="H240" s="645">
        <f t="shared" si="1"/>
        <v>48573</v>
      </c>
      <c r="J240" s="419"/>
    </row>
    <row r="241" spans="2:11">
      <c r="B241" s="643"/>
      <c r="C241" s="643" t="s">
        <v>344</v>
      </c>
      <c r="D241" s="645">
        <f>D18</f>
        <v>15927.457627118643</v>
      </c>
      <c r="E241" s="643" t="s">
        <v>144</v>
      </c>
      <c r="F241" s="646">
        <f>F160</f>
        <v>29.52</v>
      </c>
      <c r="G241" s="643" t="s">
        <v>239</v>
      </c>
      <c r="H241" s="645">
        <f t="shared" si="1"/>
        <v>470179</v>
      </c>
      <c r="J241" s="419"/>
    </row>
    <row r="242" spans="2:11">
      <c r="B242" s="643"/>
      <c r="C242" s="643" t="s">
        <v>343</v>
      </c>
      <c r="D242" s="645">
        <f>D20</f>
        <v>5261.0847457627115</v>
      </c>
      <c r="E242" s="643" t="s">
        <v>342</v>
      </c>
      <c r="F242" s="646">
        <f>+D55</f>
        <v>0.69</v>
      </c>
      <c r="G242" s="643" t="s">
        <v>341</v>
      </c>
      <c r="H242" s="645">
        <f t="shared" si="1"/>
        <v>3630</v>
      </c>
      <c r="J242" s="419"/>
    </row>
    <row r="243" spans="2:11">
      <c r="B243" s="643"/>
      <c r="C243" s="643" t="s">
        <v>7</v>
      </c>
      <c r="D243" s="645">
        <f>D21</f>
        <v>19524195.254237287</v>
      </c>
      <c r="E243" s="643" t="s">
        <v>44</v>
      </c>
      <c r="F243" s="148">
        <f>F108</f>
        <v>2.9372905586144946E-2</v>
      </c>
      <c r="G243" s="643" t="s">
        <v>23</v>
      </c>
      <c r="H243" s="645">
        <f t="shared" si="1"/>
        <v>573482</v>
      </c>
      <c r="J243" s="419"/>
    </row>
    <row r="244" spans="2:11">
      <c r="B244" s="643"/>
      <c r="C244" s="643" t="s">
        <v>8</v>
      </c>
      <c r="D244" s="645">
        <f>D22</f>
        <v>60</v>
      </c>
      <c r="E244" s="643" t="s">
        <v>46</v>
      </c>
      <c r="F244" s="149">
        <f>+F$42</f>
        <v>276</v>
      </c>
      <c r="G244" s="643" t="s">
        <v>289</v>
      </c>
      <c r="H244" s="645">
        <f t="shared" si="1"/>
        <v>16560</v>
      </c>
    </row>
    <row r="245" spans="2:11">
      <c r="F245" s="150"/>
      <c r="H245" s="63"/>
    </row>
    <row r="246" spans="2:11">
      <c r="B246" s="643"/>
      <c r="C246" s="643" t="s">
        <v>71</v>
      </c>
      <c r="F246" s="147"/>
      <c r="H246" s="644">
        <f>SUM(H239:H244)</f>
        <v>1938620</v>
      </c>
      <c r="J246" s="467">
        <v>1827945</v>
      </c>
      <c r="K246" s="680"/>
    </row>
    <row r="247" spans="2:11">
      <c r="J247" s="467"/>
    </row>
    <row r="248" spans="2:11">
      <c r="J248" s="467"/>
    </row>
    <row r="249" spans="2:11">
      <c r="B249" s="643" t="s">
        <v>241</v>
      </c>
      <c r="C249" s="643" t="s">
        <v>346</v>
      </c>
      <c r="D249" s="645">
        <f>F16</f>
        <v>637125.80064599565</v>
      </c>
      <c r="E249" s="643" t="s">
        <v>144</v>
      </c>
      <c r="F249" s="642">
        <f>L211+0.01</f>
        <v>23.98</v>
      </c>
      <c r="G249" s="643" t="s">
        <v>239</v>
      </c>
      <c r="H249" s="644">
        <f t="shared" ref="H249:H255" si="2">ROUND((D249*F249),0)</f>
        <v>15278277</v>
      </c>
      <c r="J249" s="467"/>
    </row>
    <row r="250" spans="2:11">
      <c r="B250" s="643"/>
      <c r="C250" s="643" t="s">
        <v>345</v>
      </c>
      <c r="D250" s="645">
        <f>F17</f>
        <v>574844.18117218616</v>
      </c>
      <c r="E250" s="643" t="s">
        <v>144</v>
      </c>
      <c r="F250" s="646">
        <f>+F69</f>
        <v>1.83</v>
      </c>
      <c r="G250" s="643" t="s">
        <v>239</v>
      </c>
      <c r="H250" s="645">
        <f t="shared" si="2"/>
        <v>1051965</v>
      </c>
      <c r="J250" s="467"/>
    </row>
    <row r="251" spans="2:11">
      <c r="B251" s="643"/>
      <c r="C251" s="643" t="s">
        <v>344</v>
      </c>
      <c r="D251" s="645">
        <f>F18</f>
        <v>114283.2</v>
      </c>
      <c r="E251" s="643" t="s">
        <v>144</v>
      </c>
      <c r="F251" s="646">
        <f>F161</f>
        <v>26.47</v>
      </c>
      <c r="G251" s="643" t="s">
        <v>239</v>
      </c>
      <c r="H251" s="645">
        <f t="shared" si="2"/>
        <v>3025076</v>
      </c>
      <c r="J251" s="467"/>
    </row>
    <row r="252" spans="2:11">
      <c r="B252" s="643"/>
      <c r="C252" s="643" t="s">
        <v>797</v>
      </c>
      <c r="D252" s="359">
        <v>25800.400000000001</v>
      </c>
      <c r="E252" s="643"/>
      <c r="F252" s="646">
        <v>-3.68</v>
      </c>
      <c r="G252" s="643" t="s">
        <v>239</v>
      </c>
      <c r="H252" s="645">
        <f t="shared" si="2"/>
        <v>-94945</v>
      </c>
      <c r="J252" s="467"/>
    </row>
    <row r="253" spans="2:11">
      <c r="B253" s="643"/>
      <c r="C253" s="643" t="s">
        <v>343</v>
      </c>
      <c r="D253" s="645">
        <f>F20</f>
        <v>159601.13894545456</v>
      </c>
      <c r="E253" s="643" t="s">
        <v>342</v>
      </c>
      <c r="F253" s="646">
        <f>+D56</f>
        <v>0.69</v>
      </c>
      <c r="G253" s="643" t="s">
        <v>341</v>
      </c>
      <c r="H253" s="645">
        <f t="shared" si="2"/>
        <v>110125</v>
      </c>
      <c r="J253" s="467"/>
    </row>
    <row r="254" spans="2:11">
      <c r="B254" s="643"/>
      <c r="C254" s="643" t="s">
        <v>7</v>
      </c>
      <c r="D254" s="645">
        <f>F21</f>
        <v>313016880.23636365</v>
      </c>
      <c r="E254" s="643" t="s">
        <v>44</v>
      </c>
      <c r="F254" s="148">
        <f>F109+0.00001</f>
        <v>2.8990917183980329E-2</v>
      </c>
      <c r="G254" s="643" t="s">
        <v>23</v>
      </c>
      <c r="H254" s="645">
        <f t="shared" si="2"/>
        <v>9074646</v>
      </c>
      <c r="J254" s="467"/>
    </row>
    <row r="255" spans="2:11">
      <c r="B255" s="643"/>
      <c r="C255" s="643" t="s">
        <v>8</v>
      </c>
      <c r="D255" s="645">
        <f>F22</f>
        <v>486</v>
      </c>
      <c r="E255" s="643" t="s">
        <v>46</v>
      </c>
      <c r="F255" s="149">
        <f>+F$43</f>
        <v>276</v>
      </c>
      <c r="G255" s="643" t="s">
        <v>289</v>
      </c>
      <c r="H255" s="645">
        <f t="shared" si="2"/>
        <v>134136</v>
      </c>
      <c r="J255" s="467"/>
    </row>
    <row r="256" spans="2:11">
      <c r="F256" s="150"/>
      <c r="H256" s="63"/>
      <c r="J256" s="467"/>
    </row>
    <row r="257" spans="2:12">
      <c r="B257" s="643"/>
      <c r="C257" s="643" t="s">
        <v>71</v>
      </c>
      <c r="F257" s="147"/>
      <c r="H257" s="644">
        <f>SUM(H249:H255)</f>
        <v>28579280</v>
      </c>
      <c r="J257" s="467">
        <v>25714889</v>
      </c>
      <c r="K257" s="680"/>
    </row>
    <row r="258" spans="2:12">
      <c r="B258" s="643"/>
      <c r="C258" s="643"/>
      <c r="F258" s="147"/>
      <c r="H258" s="644"/>
      <c r="J258" s="467"/>
    </row>
    <row r="259" spans="2:12">
      <c r="J259" s="467"/>
    </row>
    <row r="260" spans="2:12">
      <c r="B260" s="643" t="s">
        <v>266</v>
      </c>
      <c r="C260" s="643" t="s">
        <v>346</v>
      </c>
      <c r="D260" s="645">
        <f>+H16</f>
        <v>2152811.0824471135</v>
      </c>
      <c r="E260" s="641" t="str">
        <f>+E249</f>
        <v>kW</v>
      </c>
      <c r="F260" s="642">
        <f>L212</f>
        <v>17.16</v>
      </c>
      <c r="G260" s="643" t="s">
        <v>738</v>
      </c>
      <c r="H260" s="644">
        <f t="shared" ref="H260:H266" si="3">ROUND((D260*F260),0)</f>
        <v>36942238</v>
      </c>
      <c r="J260" s="467"/>
      <c r="L260" s="420"/>
    </row>
    <row r="261" spans="2:12">
      <c r="B261" s="643"/>
      <c r="C261" s="643" t="s">
        <v>345</v>
      </c>
      <c r="D261" s="645">
        <f>+H17</f>
        <v>1909962.5609637389</v>
      </c>
      <c r="E261" s="643" t="s">
        <v>144</v>
      </c>
      <c r="F261" s="646">
        <f>+F70-0.01</f>
        <v>1.81</v>
      </c>
      <c r="G261" s="643" t="s">
        <v>239</v>
      </c>
      <c r="H261" s="645">
        <f t="shared" si="3"/>
        <v>3457032</v>
      </c>
      <c r="J261" s="467"/>
    </row>
    <row r="262" spans="2:12">
      <c r="B262" s="643"/>
      <c r="C262" s="643" t="s">
        <v>344</v>
      </c>
      <c r="D262" s="645">
        <f>+H18</f>
        <v>101271.60741247403</v>
      </c>
      <c r="E262" s="643" t="s">
        <v>144</v>
      </c>
      <c r="F262" s="646">
        <f>F162</f>
        <v>19.650000000000002</v>
      </c>
      <c r="G262" s="643" t="s">
        <v>239</v>
      </c>
      <c r="H262" s="645">
        <f t="shared" si="3"/>
        <v>1989987</v>
      </c>
      <c r="J262" s="467"/>
      <c r="L262" s="420"/>
    </row>
    <row r="263" spans="2:12">
      <c r="B263" s="643"/>
      <c r="C263" s="643" t="s">
        <v>797</v>
      </c>
      <c r="D263" s="359">
        <v>83040.69767441861</v>
      </c>
      <c r="E263" s="643"/>
      <c r="F263" s="646">
        <v>-3.68</v>
      </c>
      <c r="G263" s="643" t="s">
        <v>239</v>
      </c>
      <c r="H263" s="645">
        <f t="shared" ref="H263" si="4">ROUND((D263*F263),0)</f>
        <v>-305590</v>
      </c>
      <c r="J263" s="467"/>
      <c r="L263" s="420"/>
    </row>
    <row r="264" spans="2:12">
      <c r="B264" s="643"/>
      <c r="C264" s="643" t="s">
        <v>343</v>
      </c>
      <c r="D264" s="645">
        <f>+H20</f>
        <v>197012.46511627905</v>
      </c>
      <c r="E264" s="643" t="s">
        <v>342</v>
      </c>
      <c r="F264" s="646">
        <f>+D57</f>
        <v>0.69</v>
      </c>
      <c r="G264" s="643" t="s">
        <v>341</v>
      </c>
      <c r="H264" s="645">
        <f t="shared" si="3"/>
        <v>135939</v>
      </c>
      <c r="J264" s="467"/>
      <c r="L264" s="420"/>
    </row>
    <row r="265" spans="2:12">
      <c r="B265" s="643"/>
      <c r="C265" s="643" t="s">
        <v>7</v>
      </c>
      <c r="D265" s="645">
        <f>+H21</f>
        <v>1357576815.5426357</v>
      </c>
      <c r="E265" s="641" t="str">
        <f>+E254</f>
        <v>kWh</v>
      </c>
      <c r="F265" s="148">
        <f>F110</f>
        <v>2.8742457589179402E-2</v>
      </c>
      <c r="G265" s="643" t="s">
        <v>23</v>
      </c>
      <c r="H265" s="645">
        <f t="shared" si="3"/>
        <v>39020094</v>
      </c>
      <c r="J265" s="467"/>
      <c r="L265" s="420"/>
    </row>
    <row r="266" spans="2:12">
      <c r="B266" s="643"/>
      <c r="C266" s="643" t="s">
        <v>8</v>
      </c>
      <c r="D266" s="645">
        <f>+H22</f>
        <v>204</v>
      </c>
      <c r="E266" s="641" t="str">
        <f>+E255</f>
        <v>Bills</v>
      </c>
      <c r="F266" s="149">
        <f>+F$44</f>
        <v>794</v>
      </c>
      <c r="G266" s="643" t="s">
        <v>289</v>
      </c>
      <c r="H266" s="645">
        <f t="shared" si="3"/>
        <v>161976</v>
      </c>
      <c r="J266" s="467"/>
      <c r="L266" s="420"/>
    </row>
    <row r="267" spans="2:12">
      <c r="H267" s="63"/>
      <c r="J267" s="467"/>
    </row>
    <row r="268" spans="2:12">
      <c r="B268" s="643"/>
      <c r="C268" s="643" t="s">
        <v>71</v>
      </c>
      <c r="H268" s="644">
        <f>SUM(H260:H266)</f>
        <v>81401676</v>
      </c>
      <c r="J268" s="467">
        <v>72411600</v>
      </c>
      <c r="K268" s="680"/>
    </row>
    <row r="269" spans="2:12">
      <c r="F269" s="151"/>
      <c r="H269" s="73"/>
      <c r="J269" s="467"/>
    </row>
    <row r="270" spans="2:12">
      <c r="J270" s="467"/>
    </row>
    <row r="271" spans="2:12">
      <c r="B271" s="643" t="s">
        <v>303</v>
      </c>
      <c r="C271" s="643" t="s">
        <v>346</v>
      </c>
      <c r="D271" s="645">
        <f>+J16</f>
        <v>439270.79629629629</v>
      </c>
      <c r="E271" s="641" t="str">
        <f>+E260</f>
        <v>kW</v>
      </c>
      <c r="F271" s="642">
        <f>L213+0.01</f>
        <v>16.900000000000002</v>
      </c>
      <c r="G271" s="643" t="s">
        <v>239</v>
      </c>
      <c r="H271" s="644">
        <f t="shared" ref="H271:H277" si="5">ROUND((D271*F271),0)</f>
        <v>7423676</v>
      </c>
      <c r="J271" s="467"/>
    </row>
    <row r="272" spans="2:12">
      <c r="B272" s="643"/>
      <c r="C272" s="643" t="s">
        <v>345</v>
      </c>
      <c r="D272" s="645">
        <f>+J17</f>
        <v>411072.81481481483</v>
      </c>
      <c r="E272" s="643" t="s">
        <v>144</v>
      </c>
      <c r="F272" s="646">
        <f>+F71</f>
        <v>1.8</v>
      </c>
      <c r="G272" s="643" t="s">
        <v>239</v>
      </c>
      <c r="H272" s="645">
        <f t="shared" si="5"/>
        <v>739931</v>
      </c>
      <c r="J272" s="467"/>
    </row>
    <row r="273" spans="2:11">
      <c r="B273" s="643"/>
      <c r="C273" s="643" t="s">
        <v>344</v>
      </c>
      <c r="D273" s="645">
        <f>+J18</f>
        <v>42071.81421663925</v>
      </c>
      <c r="E273" s="643" t="s">
        <v>144</v>
      </c>
      <c r="F273" s="646">
        <f>F163</f>
        <v>19.350000000000001</v>
      </c>
      <c r="G273" s="643" t="s">
        <v>239</v>
      </c>
      <c r="H273" s="645">
        <f t="shared" si="5"/>
        <v>814090</v>
      </c>
      <c r="J273" s="467"/>
    </row>
    <row r="274" spans="2:11">
      <c r="B274" s="643"/>
      <c r="C274" s="643" t="s">
        <v>797</v>
      </c>
      <c r="D274" s="359">
        <v>5654.9629629629635</v>
      </c>
      <c r="E274" s="643"/>
      <c r="F274" s="646">
        <f>F263</f>
        <v>-3.68</v>
      </c>
      <c r="G274" s="643" t="s">
        <v>239</v>
      </c>
      <c r="H274" s="645">
        <f>F274*D274</f>
        <v>-20810.263703703706</v>
      </c>
      <c r="J274" s="467"/>
    </row>
    <row r="275" spans="2:11">
      <c r="B275" s="643"/>
      <c r="C275" s="643" t="s">
        <v>343</v>
      </c>
      <c r="D275" s="645">
        <f>+J20</f>
        <v>71602.037037037036</v>
      </c>
      <c r="E275" s="643" t="s">
        <v>342</v>
      </c>
      <c r="F275" s="646">
        <f>+D58</f>
        <v>0.69</v>
      </c>
      <c r="G275" s="643" t="s">
        <v>341</v>
      </c>
      <c r="H275" s="645">
        <f t="shared" si="5"/>
        <v>49405</v>
      </c>
      <c r="J275" s="467"/>
    </row>
    <row r="276" spans="2:11">
      <c r="B276" s="643"/>
      <c r="C276" s="643" t="s">
        <v>7</v>
      </c>
      <c r="D276" s="645">
        <f>+J21</f>
        <v>257519888.8888889</v>
      </c>
      <c r="E276" s="641" t="str">
        <f>+E265</f>
        <v>kWh</v>
      </c>
      <c r="F276" s="148">
        <f>F111</f>
        <v>2.8510000000000001E-2</v>
      </c>
      <c r="G276" s="643" t="s">
        <v>23</v>
      </c>
      <c r="H276" s="645">
        <f t="shared" si="5"/>
        <v>7341892</v>
      </c>
      <c r="J276" s="467"/>
    </row>
    <row r="277" spans="2:11">
      <c r="B277" s="643"/>
      <c r="C277" s="643" t="s">
        <v>8</v>
      </c>
      <c r="D277" s="645">
        <f>+J22</f>
        <v>42</v>
      </c>
      <c r="E277" s="641" t="str">
        <f>+E266</f>
        <v>Bills</v>
      </c>
      <c r="F277" s="646">
        <f>+F45</f>
        <v>1353</v>
      </c>
      <c r="G277" s="643" t="s">
        <v>289</v>
      </c>
      <c r="H277" s="645">
        <f t="shared" si="5"/>
        <v>56826</v>
      </c>
      <c r="J277" s="467"/>
    </row>
    <row r="278" spans="2:11">
      <c r="H278" s="63"/>
      <c r="J278" s="467"/>
    </row>
    <row r="279" spans="2:11">
      <c r="B279" s="643"/>
      <c r="C279" s="643" t="s">
        <v>71</v>
      </c>
      <c r="H279" s="644">
        <f>SUM(H271:H277)</f>
        <v>16405009.736296296</v>
      </c>
      <c r="J279" s="467">
        <v>14581538</v>
      </c>
      <c r="K279" s="680"/>
    </row>
    <row r="281" spans="2:11">
      <c r="B281" s="643" t="s">
        <v>340</v>
      </c>
      <c r="C281" s="643"/>
      <c r="G281" s="641" t="s">
        <v>75</v>
      </c>
      <c r="H281" s="644">
        <f>H246+H257+H268+H279</f>
        <v>128324585.7362963</v>
      </c>
      <c r="I281" s="644"/>
      <c r="J281" s="679">
        <f>SUM(J246:J279)</f>
        <v>114535972</v>
      </c>
      <c r="K281" s="680"/>
    </row>
    <row r="282" spans="2:11">
      <c r="B282" s="643"/>
      <c r="C282" s="643"/>
      <c r="G282" s="641" t="s">
        <v>74</v>
      </c>
      <c r="H282" s="71">
        <v>0</v>
      </c>
      <c r="J282" s="360"/>
    </row>
    <row r="283" spans="2:11">
      <c r="B283" s="641" t="s">
        <v>141</v>
      </c>
      <c r="G283" s="641" t="s">
        <v>897</v>
      </c>
      <c r="H283" s="648">
        <f>H282+H281</f>
        <v>128324585.7362963</v>
      </c>
    </row>
    <row r="284" spans="2:11">
      <c r="B284" s="641" t="s">
        <v>72</v>
      </c>
    </row>
    <row r="285" spans="2:11">
      <c r="D285" s="372"/>
      <c r="E285" s="372"/>
      <c r="F285" s="372"/>
    </row>
    <row r="286" spans="2:11">
      <c r="H286" s="644">
        <f>J10</f>
        <v>128324395.79049464</v>
      </c>
      <c r="J286" s="71">
        <f>H281-H286</f>
        <v>189.94580166041851</v>
      </c>
    </row>
  </sheetData>
  <printOptions horizontalCentered="1"/>
  <pageMargins left="0.75" right="0.5" top="1.25" bottom="0.5" header="0.5" footer="0.5"/>
  <pageSetup fitToHeight="5" orientation="portrait" r:id="rId1"/>
  <headerFooter alignWithMargins="0">
    <oddHeader>&amp;L&amp;"Arial,Regular"&amp;F
Page &amp;P of &amp;N&amp;C&amp;"Arial,Regular"KENTUCKY POWER COMPANY
IGS Rate Design
Twelve Months Ended December 31, 2016</oddHeader>
  </headerFooter>
  <rowBreaks count="1" manualBreakCount="1">
    <brk id="236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topLeftCell="A40" zoomScaleNormal="100" workbookViewId="0">
      <selection activeCell="B2" sqref="B2:I2"/>
    </sheetView>
  </sheetViews>
  <sheetFormatPr defaultColWidth="9" defaultRowHeight="15"/>
  <cols>
    <col min="1" max="1" width="4.125" style="450" customWidth="1"/>
    <col min="2" max="2" width="33.375" style="450" customWidth="1"/>
    <col min="3" max="3" width="12.375" style="450" bestFit="1" customWidth="1"/>
    <col min="4" max="4" width="10.5" style="450" bestFit="1" customWidth="1"/>
    <col min="5" max="5" width="1.5" style="450" bestFit="1" customWidth="1"/>
    <col min="6" max="6" width="11.25" style="450" bestFit="1" customWidth="1"/>
    <col min="7" max="7" width="2.375" style="450" bestFit="1" customWidth="1"/>
    <col min="8" max="8" width="13.75" style="450" customWidth="1"/>
    <col min="9" max="9" width="9.125" style="450" bestFit="1" customWidth="1"/>
    <col min="10" max="10" width="4.125" style="450" bestFit="1" customWidth="1"/>
    <col min="11" max="11" width="11.125" style="450" bestFit="1" customWidth="1"/>
    <col min="12" max="12" width="9.25" style="450" bestFit="1" customWidth="1"/>
    <col min="13" max="13" width="9.25" style="450" customWidth="1"/>
    <col min="14" max="14" width="10.25" style="450" bestFit="1" customWidth="1"/>
    <col min="15" max="16384" width="9" style="450"/>
  </cols>
  <sheetData>
    <row r="1" spans="1:14">
      <c r="B1" s="796" t="s">
        <v>450</v>
      </c>
      <c r="C1" s="796"/>
      <c r="D1" s="796"/>
      <c r="E1" s="796"/>
      <c r="F1" s="796"/>
      <c r="G1" s="796"/>
      <c r="H1" s="796"/>
      <c r="I1" s="796"/>
    </row>
    <row r="2" spans="1:14">
      <c r="B2" s="796" t="s">
        <v>449</v>
      </c>
      <c r="C2" s="796"/>
      <c r="D2" s="796"/>
      <c r="E2" s="796"/>
      <c r="F2" s="796"/>
      <c r="G2" s="796"/>
      <c r="H2" s="796"/>
      <c r="I2" s="796"/>
    </row>
    <row r="3" spans="1:14">
      <c r="B3" s="796"/>
      <c r="C3" s="796"/>
      <c r="D3" s="796"/>
      <c r="E3" s="796"/>
      <c r="F3" s="796"/>
      <c r="G3" s="796"/>
      <c r="H3" s="796"/>
      <c r="I3" s="796"/>
    </row>
    <row r="4" spans="1:14">
      <c r="B4" s="796"/>
      <c r="C4" s="796"/>
      <c r="D4" s="796"/>
      <c r="E4" s="796"/>
      <c r="F4" s="796"/>
      <c r="G4" s="796"/>
      <c r="H4" s="796"/>
      <c r="I4" s="796"/>
    </row>
    <row r="5" spans="1:14">
      <c r="B5" s="712"/>
      <c r="C5" s="712"/>
      <c r="D5" s="712"/>
      <c r="E5" s="712"/>
      <c r="F5" s="712"/>
      <c r="G5" s="712"/>
      <c r="H5" s="712"/>
      <c r="I5" s="712"/>
    </row>
    <row r="6" spans="1:14">
      <c r="B6" s="165"/>
      <c r="C6" s="165"/>
      <c r="D6" s="163"/>
      <c r="E6" s="163"/>
      <c r="F6" s="165"/>
      <c r="G6" s="165"/>
      <c r="H6" s="165"/>
      <c r="I6" s="165"/>
      <c r="J6" s="165"/>
    </row>
    <row r="7" spans="1:14">
      <c r="A7" s="450" t="s">
        <v>448</v>
      </c>
      <c r="B7" s="166" t="s">
        <v>1</v>
      </c>
      <c r="C7" s="163" t="s">
        <v>2</v>
      </c>
      <c r="D7" s="163"/>
      <c r="E7" s="163"/>
    </row>
    <row r="8" spans="1:14">
      <c r="B8" s="166"/>
      <c r="C8" s="163" t="s">
        <v>3</v>
      </c>
      <c r="D8" s="163"/>
      <c r="E8" s="163"/>
      <c r="F8" s="163" t="s">
        <v>447</v>
      </c>
      <c r="G8" s="163"/>
    </row>
    <row r="9" spans="1:14">
      <c r="B9" s="166"/>
      <c r="C9" s="164" t="s">
        <v>1</v>
      </c>
      <c r="D9" s="164" t="s">
        <v>74</v>
      </c>
      <c r="E9" s="164"/>
      <c r="F9" s="164" t="s">
        <v>1</v>
      </c>
      <c r="G9" s="164"/>
    </row>
    <row r="10" spans="1:14">
      <c r="B10" s="166"/>
      <c r="C10" s="165"/>
      <c r="D10" s="163"/>
      <c r="E10" s="163"/>
    </row>
    <row r="11" spans="1:14">
      <c r="B11" s="163"/>
      <c r="C11" s="165"/>
      <c r="D11" s="163"/>
      <c r="E11" s="163"/>
    </row>
    <row r="12" spans="1:14">
      <c r="B12" s="166" t="s">
        <v>6</v>
      </c>
      <c r="C12" s="170">
        <f>'EX AEV-1'!V21+'EX AEV-1'!V23+'EX AEV-1'!V24</f>
        <v>133598.19596360455</v>
      </c>
      <c r="D12" s="167">
        <f>D15-D13-D14</f>
        <v>0</v>
      </c>
      <c r="E12" s="167"/>
      <c r="F12" s="451">
        <f>C12-D12</f>
        <v>133598.19596360455</v>
      </c>
      <c r="G12" s="451"/>
    </row>
    <row r="13" spans="1:14">
      <c r="B13" s="166" t="s">
        <v>7</v>
      </c>
      <c r="C13" s="170">
        <f>'EX AEV-1'!V22</f>
        <v>60652.986221611725</v>
      </c>
      <c r="D13" s="167">
        <f>D15</f>
        <v>0</v>
      </c>
      <c r="E13" s="167"/>
      <c r="F13" s="451">
        <f>C13-D13</f>
        <v>60652.986221611725</v>
      </c>
      <c r="G13" s="451"/>
    </row>
    <row r="14" spans="1:14">
      <c r="B14" s="168" t="s">
        <v>8</v>
      </c>
      <c r="C14" s="452">
        <f>'EX AEV-1'!V25</f>
        <v>6582.6831830637402</v>
      </c>
      <c r="D14" s="169">
        <v>0</v>
      </c>
      <c r="E14" s="169"/>
      <c r="F14" s="452">
        <f>C14-D14</f>
        <v>6582.6831830637402</v>
      </c>
      <c r="G14" s="170"/>
    </row>
    <row r="15" spans="1:14">
      <c r="B15" s="166" t="s">
        <v>9</v>
      </c>
      <c r="C15" s="170">
        <f>SUM(C12:C14)</f>
        <v>200833.86536828004</v>
      </c>
      <c r="D15" s="170">
        <v>0</v>
      </c>
      <c r="E15" s="170"/>
      <c r="F15" s="451">
        <f>SUM(F12:F14)</f>
        <v>200833.86536828004</v>
      </c>
      <c r="G15" s="451"/>
    </row>
    <row r="16" spans="1:14">
      <c r="B16" s="165"/>
      <c r="C16" s="170"/>
      <c r="D16" s="170"/>
      <c r="E16" s="170"/>
      <c r="F16" s="170"/>
      <c r="G16" s="170"/>
      <c r="H16" s="170"/>
      <c r="I16" s="170"/>
      <c r="J16" s="170"/>
      <c r="K16" s="451"/>
      <c r="L16" s="451"/>
      <c r="M16" s="451"/>
      <c r="N16" s="451"/>
    </row>
    <row r="17" spans="1:10">
      <c r="B17" s="165"/>
      <c r="C17" s="165"/>
      <c r="D17" s="165"/>
      <c r="E17" s="165"/>
      <c r="F17" s="165"/>
      <c r="G17" s="165"/>
      <c r="H17" s="165"/>
      <c r="I17" s="165"/>
      <c r="J17" s="165"/>
    </row>
    <row r="18" spans="1:10">
      <c r="A18" s="450" t="s">
        <v>219</v>
      </c>
      <c r="B18" s="165" t="s">
        <v>13</v>
      </c>
      <c r="C18" s="165"/>
      <c r="D18" s="165"/>
      <c r="E18" s="165"/>
      <c r="F18" s="165"/>
      <c r="G18" s="165"/>
      <c r="H18" s="165"/>
      <c r="I18" s="165"/>
      <c r="J18" s="165"/>
    </row>
    <row r="19" spans="1:10">
      <c r="B19" s="165"/>
      <c r="C19" s="165"/>
      <c r="D19" s="165"/>
      <c r="E19" s="165"/>
      <c r="F19" s="165"/>
      <c r="G19" s="165"/>
      <c r="H19" s="165"/>
      <c r="I19" s="165"/>
      <c r="J19" s="165"/>
    </row>
    <row r="20" spans="1:10">
      <c r="B20" s="165" t="s">
        <v>446</v>
      </c>
      <c r="C20" s="171">
        <f>F14</f>
        <v>6582.6831830637402</v>
      </c>
      <c r="D20" s="163" t="s">
        <v>151</v>
      </c>
      <c r="E20" s="163"/>
      <c r="F20" s="757">
        <v>108</v>
      </c>
      <c r="G20" s="172"/>
      <c r="H20" s="165" t="s">
        <v>238</v>
      </c>
      <c r="I20" s="173">
        <f>C20/F20</f>
        <v>60.950770213553149</v>
      </c>
      <c r="J20" s="174" t="s">
        <v>14</v>
      </c>
    </row>
    <row r="21" spans="1:10">
      <c r="B21" s="165"/>
      <c r="C21" s="165"/>
      <c r="D21" s="165"/>
      <c r="E21" s="165"/>
      <c r="F21" s="165"/>
      <c r="G21" s="165"/>
      <c r="H21" s="165"/>
      <c r="I21" s="165"/>
      <c r="J21" s="165"/>
    </row>
    <row r="22" spans="1:10">
      <c r="B22" s="165"/>
      <c r="C22" s="165"/>
      <c r="F22" s="165"/>
      <c r="G22" s="165"/>
      <c r="H22" s="165" t="s">
        <v>445</v>
      </c>
      <c r="I22" s="453">
        <v>25</v>
      </c>
      <c r="J22" s="174" t="s">
        <v>14</v>
      </c>
    </row>
    <row r="23" spans="1:10">
      <c r="C23" s="165"/>
      <c r="D23" s="165"/>
      <c r="E23" s="165"/>
      <c r="F23" s="165"/>
      <c r="G23" s="165"/>
      <c r="H23" s="165"/>
      <c r="I23" s="165"/>
      <c r="J23" s="165"/>
    </row>
    <row r="24" spans="1:10">
      <c r="B24" s="165" t="s">
        <v>17</v>
      </c>
      <c r="C24" s="175">
        <f>F20</f>
        <v>108</v>
      </c>
      <c r="D24" s="165" t="s">
        <v>444</v>
      </c>
      <c r="E24" s="165"/>
      <c r="F24" s="176">
        <f>I22</f>
        <v>25</v>
      </c>
      <c r="G24" s="176"/>
      <c r="H24" s="174" t="s">
        <v>14</v>
      </c>
      <c r="I24" s="171">
        <f>ROUND(C24*F24,0)</f>
        <v>2700</v>
      </c>
      <c r="J24" s="165"/>
    </row>
    <row r="25" spans="1:10">
      <c r="B25" s="165"/>
      <c r="C25" s="165"/>
      <c r="D25" s="165"/>
      <c r="E25" s="165"/>
      <c r="F25" s="165"/>
      <c r="G25" s="165"/>
      <c r="H25" s="165"/>
      <c r="I25" s="165"/>
      <c r="J25" s="165"/>
    </row>
    <row r="26" spans="1:10">
      <c r="B26" s="165"/>
      <c r="C26" s="165"/>
      <c r="D26" s="165"/>
      <c r="E26" s="165"/>
      <c r="F26" s="165"/>
      <c r="G26" s="165"/>
      <c r="H26" s="165"/>
      <c r="I26" s="165"/>
      <c r="J26" s="165"/>
    </row>
    <row r="27" spans="1:10">
      <c r="A27" s="450" t="s">
        <v>18</v>
      </c>
      <c r="B27" s="165" t="s">
        <v>276</v>
      </c>
      <c r="C27" s="165"/>
      <c r="D27" s="165"/>
      <c r="E27" s="165"/>
      <c r="F27" s="165"/>
      <c r="G27" s="165"/>
      <c r="H27" s="165"/>
      <c r="I27" s="165"/>
      <c r="J27" s="165"/>
    </row>
    <row r="28" spans="1:10">
      <c r="B28" s="165"/>
      <c r="C28" s="165"/>
      <c r="D28" s="165"/>
      <c r="E28" s="165"/>
      <c r="F28" s="165"/>
      <c r="G28" s="165"/>
      <c r="H28" s="165"/>
      <c r="I28" s="165"/>
      <c r="J28" s="165"/>
    </row>
    <row r="29" spans="1:10">
      <c r="B29" s="165" t="s">
        <v>443</v>
      </c>
      <c r="C29" s="171">
        <f>F12</f>
        <v>133598.19596360455</v>
      </c>
      <c r="D29" s="165"/>
      <c r="E29" s="165"/>
      <c r="F29" s="165"/>
      <c r="G29" s="165"/>
      <c r="H29" s="165"/>
      <c r="I29" s="165"/>
      <c r="J29" s="165"/>
    </row>
    <row r="30" spans="1:10" ht="15.75">
      <c r="B30" s="165" t="s">
        <v>442</v>
      </c>
      <c r="C30" s="170">
        <v>3690</v>
      </c>
      <c r="D30" s="177"/>
      <c r="E30" s="165"/>
      <c r="F30" s="165"/>
      <c r="G30" s="165"/>
      <c r="H30" s="165"/>
      <c r="I30" s="165"/>
      <c r="J30" s="165"/>
    </row>
    <row r="31" spans="1:10">
      <c r="B31" s="165" t="s">
        <v>359</v>
      </c>
      <c r="C31" s="178">
        <f>C29/C30</f>
        <v>36.205473160868443</v>
      </c>
      <c r="D31" s="165"/>
      <c r="E31" s="165"/>
      <c r="F31" s="163"/>
      <c r="G31" s="163"/>
      <c r="H31" s="165"/>
      <c r="I31" s="165"/>
      <c r="J31" s="165"/>
    </row>
    <row r="32" spans="1:10">
      <c r="B32" s="165"/>
      <c r="C32" s="178"/>
      <c r="D32" s="165"/>
      <c r="E32" s="165"/>
      <c r="F32" s="164"/>
      <c r="G32" s="164"/>
      <c r="H32" s="165"/>
      <c r="I32" s="165"/>
      <c r="J32" s="165"/>
    </row>
    <row r="33" spans="1:10">
      <c r="B33" s="165" t="s">
        <v>441</v>
      </c>
      <c r="C33" s="178">
        <v>8.89</v>
      </c>
      <c r="D33" s="163"/>
      <c r="E33" s="163"/>
      <c r="F33" s="179"/>
      <c r="G33" s="180"/>
      <c r="H33" s="181"/>
      <c r="I33" s="165"/>
      <c r="J33" s="165"/>
    </row>
    <row r="34" spans="1:10">
      <c r="B34" s="165" t="s">
        <v>837</v>
      </c>
      <c r="C34" s="758">
        <v>0.1</v>
      </c>
      <c r="D34" s="163"/>
      <c r="E34" s="163"/>
      <c r="F34" s="179"/>
      <c r="G34" s="180"/>
      <c r="H34" s="181"/>
      <c r="I34" s="165"/>
      <c r="J34" s="165"/>
    </row>
    <row r="35" spans="1:10">
      <c r="B35" s="165" t="s">
        <v>791</v>
      </c>
      <c r="C35" s="182">
        <f>ROUND(C33*(1+C34),2)</f>
        <v>9.7799999999999994</v>
      </c>
      <c r="D35" s="165"/>
      <c r="E35" s="165"/>
      <c r="F35" s="165"/>
      <c r="G35" s="165"/>
      <c r="H35" s="165"/>
      <c r="I35" s="165"/>
      <c r="J35" s="165"/>
    </row>
    <row r="36" spans="1:10">
      <c r="B36" s="165"/>
      <c r="C36" s="178"/>
      <c r="D36" s="165"/>
      <c r="E36" s="165"/>
      <c r="F36" s="165"/>
      <c r="G36" s="165"/>
      <c r="H36" s="165"/>
      <c r="I36" s="165"/>
      <c r="J36" s="165"/>
    </row>
    <row r="37" spans="1:10">
      <c r="B37" s="165" t="s">
        <v>440</v>
      </c>
      <c r="C37" s="757">
        <v>949</v>
      </c>
      <c r="D37" s="165"/>
      <c r="E37" s="165"/>
      <c r="F37" s="172"/>
      <c r="G37" s="172"/>
      <c r="H37" s="183"/>
      <c r="I37" s="171"/>
      <c r="J37" s="165"/>
    </row>
    <row r="38" spans="1:10">
      <c r="B38" s="165"/>
      <c r="C38" s="172"/>
      <c r="D38" s="165"/>
      <c r="E38" s="165"/>
      <c r="F38" s="172"/>
      <c r="G38" s="172"/>
      <c r="H38" s="175"/>
      <c r="I38" s="183"/>
      <c r="J38" s="165"/>
    </row>
    <row r="39" spans="1:10">
      <c r="B39" s="165" t="s">
        <v>439</v>
      </c>
      <c r="C39" s="171">
        <f>C37*C35</f>
        <v>9281.2199999999993</v>
      </c>
      <c r="D39" s="165"/>
      <c r="E39" s="165"/>
      <c r="F39" s="172"/>
      <c r="G39" s="172"/>
      <c r="H39" s="175"/>
      <c r="I39" s="183"/>
      <c r="J39" s="165"/>
    </row>
    <row r="40" spans="1:10">
      <c r="B40" s="165"/>
      <c r="C40" s="172"/>
      <c r="D40" s="165"/>
      <c r="E40" s="165"/>
      <c r="F40" s="172"/>
      <c r="G40" s="172"/>
      <c r="H40" s="175"/>
      <c r="I40" s="183"/>
      <c r="J40" s="165"/>
    </row>
    <row r="41" spans="1:10">
      <c r="A41" s="450" t="s">
        <v>438</v>
      </c>
      <c r="B41" s="165" t="s">
        <v>437</v>
      </c>
      <c r="C41" s="165"/>
      <c r="D41" s="165"/>
      <c r="E41" s="165"/>
      <c r="F41" s="165"/>
      <c r="G41" s="165"/>
      <c r="H41" s="165"/>
      <c r="I41" s="165"/>
      <c r="J41" s="165"/>
    </row>
    <row r="42" spans="1:10">
      <c r="B42" s="165"/>
      <c r="C42" s="165"/>
      <c r="D42" s="165"/>
      <c r="E42" s="165"/>
      <c r="F42" s="165"/>
      <c r="G42" s="165"/>
      <c r="H42" s="165"/>
      <c r="I42" s="165"/>
      <c r="J42" s="165"/>
    </row>
    <row r="43" spans="1:10">
      <c r="B43" s="165" t="s">
        <v>20</v>
      </c>
      <c r="C43" s="165"/>
      <c r="D43" s="165"/>
      <c r="E43" s="165"/>
      <c r="F43" s="165"/>
      <c r="G43" s="165"/>
      <c r="H43" s="165"/>
      <c r="I43" s="165"/>
      <c r="J43" s="165"/>
    </row>
    <row r="44" spans="1:10">
      <c r="B44" s="165" t="s">
        <v>436</v>
      </c>
      <c r="C44" s="171">
        <f>F15</f>
        <v>200833.86536828004</v>
      </c>
      <c r="D44" s="165"/>
      <c r="E44" s="165"/>
      <c r="F44" s="165"/>
      <c r="G44" s="165"/>
      <c r="H44" s="165"/>
      <c r="I44" s="165"/>
      <c r="J44" s="165"/>
    </row>
    <row r="45" spans="1:10">
      <c r="B45" s="165" t="s">
        <v>32</v>
      </c>
      <c r="C45" s="175">
        <f>I24</f>
        <v>2700</v>
      </c>
      <c r="D45" s="165"/>
      <c r="E45" s="165"/>
      <c r="F45" s="165"/>
      <c r="G45" s="165"/>
      <c r="H45" s="165"/>
      <c r="I45" s="165"/>
      <c r="J45" s="165"/>
    </row>
    <row r="46" spans="1:10">
      <c r="B46" s="165" t="s">
        <v>435</v>
      </c>
      <c r="C46" s="184">
        <f>C39</f>
        <v>9281.2199999999993</v>
      </c>
      <c r="D46" s="165"/>
      <c r="E46" s="165"/>
      <c r="F46" s="165"/>
      <c r="G46" s="165"/>
      <c r="H46" s="165"/>
      <c r="I46" s="165"/>
      <c r="J46" s="165"/>
    </row>
    <row r="47" spans="1:10">
      <c r="B47" s="165" t="s">
        <v>434</v>
      </c>
      <c r="C47" s="171">
        <f>C44-C45-C46</f>
        <v>188852.64536828003</v>
      </c>
      <c r="D47" s="165"/>
      <c r="E47" s="165"/>
      <c r="F47" s="165"/>
      <c r="G47" s="165"/>
      <c r="H47" s="165"/>
      <c r="I47" s="165"/>
      <c r="J47" s="165"/>
    </row>
    <row r="48" spans="1:10">
      <c r="B48" s="165"/>
      <c r="C48" s="171"/>
      <c r="D48" s="165"/>
      <c r="E48" s="165"/>
      <c r="F48" s="165"/>
      <c r="G48" s="165"/>
      <c r="H48" s="165"/>
      <c r="I48" s="165"/>
      <c r="J48" s="165"/>
    </row>
    <row r="49" spans="1:10">
      <c r="B49" s="165" t="s">
        <v>433</v>
      </c>
      <c r="C49" s="759">
        <v>1832822</v>
      </c>
      <c r="D49" s="165"/>
      <c r="E49" s="165"/>
      <c r="F49" s="165"/>
      <c r="G49" s="165"/>
      <c r="H49" s="165"/>
      <c r="I49" s="165"/>
      <c r="J49" s="165"/>
    </row>
    <row r="50" spans="1:10">
      <c r="B50" s="165"/>
      <c r="C50" s="175"/>
      <c r="D50" s="165"/>
      <c r="E50" s="165"/>
      <c r="F50" s="165"/>
      <c r="G50" s="165"/>
      <c r="H50" s="165"/>
      <c r="I50" s="165"/>
      <c r="J50" s="165"/>
    </row>
    <row r="51" spans="1:10">
      <c r="B51" s="165" t="s">
        <v>432</v>
      </c>
      <c r="C51" s="185">
        <f>ROUND(C47/C49,5)</f>
        <v>0.10304000000000001</v>
      </c>
      <c r="D51" s="165"/>
      <c r="E51" s="165"/>
      <c r="F51" s="165"/>
      <c r="G51" s="165"/>
      <c r="H51" s="165"/>
      <c r="I51" s="165"/>
      <c r="J51" s="165"/>
    </row>
    <row r="52" spans="1:10">
      <c r="B52" s="165"/>
      <c r="C52" s="183"/>
      <c r="D52" s="165"/>
      <c r="E52" s="165"/>
      <c r="F52" s="165"/>
      <c r="G52" s="165"/>
      <c r="H52" s="165"/>
      <c r="I52" s="165"/>
      <c r="J52" s="165"/>
    </row>
    <row r="53" spans="1:10">
      <c r="B53" s="165"/>
      <c r="C53" s="165"/>
      <c r="D53" s="165"/>
      <c r="E53" s="165"/>
      <c r="F53" s="165"/>
      <c r="G53" s="165"/>
      <c r="H53" s="165"/>
      <c r="I53" s="165"/>
      <c r="J53" s="165"/>
    </row>
    <row r="54" spans="1:10">
      <c r="A54" s="450" t="s">
        <v>187</v>
      </c>
      <c r="B54" s="165" t="s">
        <v>39</v>
      </c>
      <c r="D54" s="163" t="s">
        <v>274</v>
      </c>
      <c r="E54" s="163"/>
      <c r="F54" s="165"/>
      <c r="G54" s="165"/>
      <c r="H54" s="163" t="s">
        <v>431</v>
      </c>
      <c r="I54" s="163"/>
      <c r="J54" s="165"/>
    </row>
    <row r="55" spans="1:10">
      <c r="B55" s="174"/>
      <c r="C55" s="186" t="s">
        <v>40</v>
      </c>
      <c r="D55" s="164" t="s">
        <v>245</v>
      </c>
      <c r="E55" s="163"/>
      <c r="F55" s="164" t="s">
        <v>1</v>
      </c>
      <c r="G55" s="164"/>
      <c r="H55" s="164" t="s">
        <v>1</v>
      </c>
      <c r="I55" s="164" t="s">
        <v>42</v>
      </c>
      <c r="J55" s="174"/>
    </row>
    <row r="56" spans="1:10">
      <c r="B56" s="174"/>
      <c r="C56" s="165"/>
      <c r="D56" s="163"/>
      <c r="E56" s="163"/>
      <c r="F56" s="163"/>
      <c r="G56" s="163"/>
      <c r="H56" s="163"/>
      <c r="I56" s="163"/>
      <c r="J56" s="174"/>
    </row>
    <row r="57" spans="1:10">
      <c r="B57" s="165" t="s">
        <v>7</v>
      </c>
      <c r="C57" s="172">
        <f>C49</f>
        <v>1832822</v>
      </c>
      <c r="D57" s="187">
        <f>C51</f>
        <v>0.10304000000000001</v>
      </c>
      <c r="E57" s="163"/>
      <c r="F57" s="175">
        <f>ROUND(C57*D57,0)</f>
        <v>188854</v>
      </c>
      <c r="G57" s="175"/>
      <c r="H57" s="165"/>
      <c r="I57" s="165"/>
      <c r="J57" s="165"/>
    </row>
    <row r="58" spans="1:10">
      <c r="B58" s="165" t="s">
        <v>6</v>
      </c>
      <c r="C58" s="172">
        <f>C37</f>
        <v>949</v>
      </c>
      <c r="D58" s="181">
        <f>C35</f>
        <v>9.7799999999999994</v>
      </c>
      <c r="E58" s="188"/>
      <c r="F58" s="175">
        <f>ROUND(C58*D58,0)</f>
        <v>9281</v>
      </c>
      <c r="G58" s="175"/>
      <c r="H58" s="165"/>
      <c r="I58" s="165"/>
      <c r="J58" s="165"/>
    </row>
    <row r="59" spans="1:10">
      <c r="B59" s="165" t="s">
        <v>8</v>
      </c>
      <c r="C59" s="172">
        <f>F20</f>
        <v>108</v>
      </c>
      <c r="D59" s="189">
        <f>I22</f>
        <v>25</v>
      </c>
      <c r="E59" s="189"/>
      <c r="F59" s="184">
        <f>ROUND(C59*D59,0)</f>
        <v>2700</v>
      </c>
      <c r="G59" s="175"/>
      <c r="H59" s="165"/>
      <c r="I59" s="165"/>
      <c r="J59" s="165"/>
    </row>
    <row r="60" spans="1:10">
      <c r="B60" s="165"/>
      <c r="C60" s="165"/>
      <c r="D60" s="165"/>
      <c r="E60" s="165"/>
      <c r="F60" s="165"/>
      <c r="G60" s="165"/>
      <c r="H60" s="165"/>
      <c r="I60" s="165"/>
      <c r="J60" s="165"/>
    </row>
    <row r="61" spans="1:10">
      <c r="B61" s="165" t="s">
        <v>430</v>
      </c>
      <c r="C61" s="175"/>
      <c r="D61" s="165"/>
      <c r="E61" s="165"/>
      <c r="F61" s="175">
        <f>SUM(F57:F59)</f>
        <v>200835</v>
      </c>
      <c r="G61" s="175"/>
      <c r="H61" s="170">
        <f>F15</f>
        <v>200833.86536828004</v>
      </c>
      <c r="I61" s="175">
        <f>F61-H61</f>
        <v>1.1346317199640907</v>
      </c>
      <c r="J61" s="165"/>
    </row>
    <row r="62" spans="1:10">
      <c r="B62" s="165"/>
      <c r="C62" s="175"/>
      <c r="D62" s="165"/>
      <c r="E62" s="165"/>
      <c r="F62" s="175"/>
      <c r="G62" s="175"/>
      <c r="H62" s="165"/>
      <c r="I62" s="165"/>
      <c r="J62" s="165"/>
    </row>
    <row r="63" spans="1:10">
      <c r="B63" s="165"/>
      <c r="C63" s="165"/>
      <c r="D63" s="174"/>
      <c r="E63" s="174"/>
      <c r="F63" s="190"/>
      <c r="G63" s="190"/>
      <c r="H63" s="190"/>
      <c r="I63" s="170"/>
      <c r="J63" s="165"/>
    </row>
    <row r="64" spans="1:10">
      <c r="B64" s="165"/>
      <c r="C64" s="165"/>
      <c r="D64" s="165"/>
      <c r="E64" s="165"/>
      <c r="F64" s="183"/>
      <c r="G64" s="183"/>
      <c r="H64" s="165"/>
      <c r="I64" s="165"/>
      <c r="J64" s="165"/>
    </row>
    <row r="65" spans="2:10">
      <c r="B65" s="165"/>
      <c r="C65" s="165"/>
      <c r="D65" s="165"/>
      <c r="E65" s="165"/>
      <c r="F65" s="175"/>
      <c r="G65" s="175"/>
      <c r="H65" s="165"/>
      <c r="I65" s="165"/>
      <c r="J65" s="165"/>
    </row>
    <row r="66" spans="2:10">
      <c r="B66" s="165"/>
      <c r="C66" s="165"/>
      <c r="D66" s="165"/>
      <c r="E66" s="165"/>
      <c r="F66" s="165"/>
      <c r="G66" s="165"/>
      <c r="H66" s="165"/>
      <c r="I66" s="165"/>
      <c r="J66" s="165"/>
    </row>
    <row r="67" spans="2:10">
      <c r="B67" s="165"/>
      <c r="C67" s="165"/>
      <c r="D67" s="165"/>
      <c r="E67" s="165"/>
      <c r="F67" s="165"/>
      <c r="G67" s="165"/>
      <c r="H67" s="165"/>
      <c r="I67" s="165"/>
      <c r="J67" s="165"/>
    </row>
    <row r="68" spans="2:10">
      <c r="B68" s="165"/>
      <c r="C68" s="165"/>
      <c r="D68" s="165"/>
      <c r="E68" s="165"/>
      <c r="F68" s="165"/>
      <c r="G68" s="165"/>
      <c r="H68" s="165"/>
      <c r="I68" s="165"/>
      <c r="J68" s="165"/>
    </row>
    <row r="69" spans="2:10">
      <c r="B69" s="165"/>
      <c r="C69" s="165"/>
      <c r="D69" s="165"/>
      <c r="E69" s="165"/>
      <c r="F69" s="165"/>
      <c r="G69" s="165"/>
      <c r="H69" s="165"/>
      <c r="I69" s="165"/>
      <c r="J69" s="165"/>
    </row>
    <row r="70" spans="2:10">
      <c r="B70" s="165"/>
      <c r="C70" s="165"/>
      <c r="D70" s="165"/>
      <c r="E70" s="165"/>
      <c r="F70" s="165"/>
      <c r="G70" s="165"/>
      <c r="H70" s="165"/>
      <c r="I70" s="165"/>
      <c r="J70" s="165"/>
    </row>
    <row r="71" spans="2:10">
      <c r="B71" s="165"/>
      <c r="C71" s="165"/>
      <c r="D71" s="165"/>
      <c r="E71" s="165"/>
      <c r="F71" s="165"/>
      <c r="G71" s="165"/>
      <c r="H71" s="165"/>
      <c r="I71" s="165"/>
      <c r="J71" s="165"/>
    </row>
    <row r="72" spans="2:10">
      <c r="B72" s="165"/>
      <c r="C72" s="165"/>
      <c r="D72" s="165"/>
      <c r="E72" s="165"/>
      <c r="F72" s="165"/>
      <c r="G72" s="165"/>
      <c r="H72" s="165"/>
      <c r="I72" s="165"/>
      <c r="J72" s="165"/>
    </row>
    <row r="73" spans="2:10">
      <c r="B73" s="165"/>
      <c r="C73" s="165"/>
      <c r="D73" s="165"/>
      <c r="E73" s="165"/>
      <c r="F73" s="165"/>
      <c r="G73" s="165"/>
      <c r="H73" s="165"/>
      <c r="I73" s="165"/>
      <c r="J73" s="165"/>
    </row>
    <row r="74" spans="2:10">
      <c r="B74" s="165"/>
      <c r="C74" s="165"/>
      <c r="D74" s="165"/>
      <c r="E74" s="165"/>
      <c r="F74" s="165"/>
      <c r="G74" s="165"/>
      <c r="H74" s="165"/>
      <c r="I74" s="165"/>
      <c r="J74" s="165"/>
    </row>
    <row r="75" spans="2:10">
      <c r="B75" s="165"/>
      <c r="C75" s="165"/>
      <c r="D75" s="165"/>
      <c r="E75" s="165"/>
      <c r="F75" s="165"/>
      <c r="G75" s="165"/>
      <c r="H75" s="165"/>
      <c r="I75" s="165"/>
      <c r="J75" s="165"/>
    </row>
    <row r="76" spans="2:10">
      <c r="B76" s="165"/>
      <c r="C76" s="165"/>
      <c r="D76" s="165"/>
      <c r="E76" s="165"/>
      <c r="F76" s="165"/>
      <c r="G76" s="165"/>
      <c r="H76" s="165"/>
      <c r="I76" s="165"/>
      <c r="J76" s="165"/>
    </row>
    <row r="77" spans="2:10">
      <c r="B77" s="165"/>
      <c r="C77" s="165"/>
      <c r="D77" s="165"/>
      <c r="E77" s="165"/>
      <c r="F77" s="165"/>
      <c r="G77" s="165"/>
      <c r="H77" s="165"/>
      <c r="I77" s="165"/>
      <c r="J77" s="165"/>
    </row>
    <row r="78" spans="2:10">
      <c r="B78" s="165"/>
      <c r="C78" s="165"/>
      <c r="D78" s="165"/>
      <c r="E78" s="165"/>
      <c r="F78" s="165"/>
      <c r="G78" s="165"/>
      <c r="H78" s="165"/>
      <c r="I78" s="165"/>
      <c r="J78" s="165"/>
    </row>
    <row r="79" spans="2:10">
      <c r="B79" s="165"/>
      <c r="C79" s="165"/>
      <c r="D79" s="165"/>
      <c r="E79" s="165"/>
      <c r="F79" s="165"/>
      <c r="G79" s="165"/>
      <c r="H79" s="165"/>
      <c r="I79" s="165"/>
      <c r="J79" s="165"/>
    </row>
    <row r="80" spans="2:10">
      <c r="B80" s="165"/>
      <c r="C80" s="165"/>
      <c r="D80" s="165"/>
      <c r="E80" s="165"/>
      <c r="F80" s="165"/>
      <c r="G80" s="165"/>
      <c r="H80" s="165"/>
      <c r="I80" s="165"/>
      <c r="J80" s="165"/>
    </row>
    <row r="81" spans="2:10">
      <c r="B81" s="165"/>
      <c r="C81" s="165"/>
      <c r="D81" s="165"/>
      <c r="E81" s="165"/>
      <c r="F81" s="165"/>
      <c r="G81" s="165"/>
      <c r="H81" s="165"/>
      <c r="I81" s="165"/>
      <c r="J81" s="165"/>
    </row>
    <row r="82" spans="2:10">
      <c r="B82" s="165"/>
      <c r="C82" s="165"/>
      <c r="D82" s="165"/>
      <c r="E82" s="165"/>
      <c r="F82" s="165"/>
      <c r="G82" s="165"/>
      <c r="H82" s="165"/>
      <c r="I82" s="165"/>
      <c r="J82" s="165"/>
    </row>
    <row r="83" spans="2:10">
      <c r="B83" s="165"/>
      <c r="C83" s="165"/>
      <c r="D83" s="165"/>
      <c r="E83" s="165"/>
      <c r="F83" s="165"/>
      <c r="G83" s="165"/>
      <c r="H83" s="165"/>
      <c r="I83" s="165"/>
      <c r="J83" s="165"/>
    </row>
    <row r="84" spans="2:10">
      <c r="B84" s="165"/>
      <c r="C84" s="165"/>
      <c r="D84" s="165"/>
      <c r="E84" s="165"/>
      <c r="F84" s="165"/>
      <c r="G84" s="165"/>
      <c r="H84" s="165"/>
      <c r="I84" s="165"/>
      <c r="J84" s="165"/>
    </row>
    <row r="85" spans="2:10">
      <c r="B85" s="165"/>
      <c r="C85" s="165"/>
      <c r="D85" s="165"/>
      <c r="E85" s="165"/>
      <c r="F85" s="165"/>
      <c r="G85" s="165"/>
      <c r="H85" s="165"/>
      <c r="I85" s="165"/>
      <c r="J85" s="165"/>
    </row>
    <row r="86" spans="2:10">
      <c r="B86" s="165"/>
      <c r="C86" s="165"/>
      <c r="D86" s="165"/>
      <c r="E86" s="165"/>
      <c r="F86" s="165"/>
      <c r="G86" s="165"/>
      <c r="H86" s="165"/>
      <c r="I86" s="165"/>
      <c r="J86" s="165"/>
    </row>
    <row r="87" spans="2:10">
      <c r="B87" s="165"/>
      <c r="C87" s="165"/>
      <c r="D87" s="165"/>
      <c r="E87" s="165"/>
      <c r="F87" s="165"/>
      <c r="G87" s="165"/>
      <c r="H87" s="165"/>
      <c r="I87" s="165"/>
      <c r="J87" s="165"/>
    </row>
    <row r="88" spans="2:10">
      <c r="B88" s="165"/>
      <c r="C88" s="165"/>
      <c r="D88" s="165"/>
      <c r="E88" s="165"/>
      <c r="F88" s="165"/>
      <c r="G88" s="165"/>
      <c r="H88" s="165"/>
      <c r="I88" s="165"/>
      <c r="J88" s="165"/>
    </row>
    <row r="89" spans="2:10">
      <c r="B89" s="165"/>
      <c r="C89" s="165"/>
      <c r="D89" s="165"/>
      <c r="E89" s="165"/>
      <c r="F89" s="165"/>
      <c r="G89" s="165"/>
      <c r="H89" s="165"/>
      <c r="I89" s="165"/>
      <c r="J89" s="165"/>
    </row>
    <row r="90" spans="2:10">
      <c r="B90" s="165"/>
      <c r="C90" s="165"/>
      <c r="D90" s="165"/>
      <c r="E90" s="165"/>
      <c r="F90" s="165"/>
      <c r="G90" s="165"/>
      <c r="H90" s="165"/>
      <c r="I90" s="165"/>
      <c r="J90" s="165"/>
    </row>
    <row r="91" spans="2:10">
      <c r="B91" s="165"/>
      <c r="C91" s="165"/>
      <c r="D91" s="165"/>
      <c r="E91" s="165"/>
      <c r="F91" s="165"/>
      <c r="G91" s="165"/>
      <c r="H91" s="165"/>
      <c r="I91" s="165"/>
      <c r="J91" s="165"/>
    </row>
    <row r="92" spans="2:10">
      <c r="B92" s="165"/>
      <c r="C92" s="165"/>
      <c r="D92" s="165"/>
      <c r="E92" s="165"/>
      <c r="F92" s="165"/>
      <c r="G92" s="165"/>
      <c r="H92" s="165"/>
      <c r="I92" s="165"/>
      <c r="J92" s="165"/>
    </row>
    <row r="93" spans="2:10">
      <c r="B93" s="165"/>
      <c r="C93" s="165"/>
      <c r="D93" s="165"/>
      <c r="E93" s="165"/>
      <c r="F93" s="165"/>
      <c r="G93" s="165"/>
      <c r="H93" s="165"/>
      <c r="I93" s="165"/>
      <c r="J93" s="165"/>
    </row>
    <row r="94" spans="2:10">
      <c r="B94" s="165"/>
      <c r="C94" s="165"/>
      <c r="D94" s="165"/>
      <c r="E94" s="165"/>
      <c r="F94" s="165"/>
      <c r="G94" s="165"/>
      <c r="H94" s="165"/>
      <c r="I94" s="165"/>
      <c r="J94" s="165"/>
    </row>
    <row r="95" spans="2:10">
      <c r="B95" s="165"/>
      <c r="C95" s="165"/>
      <c r="D95" s="165"/>
      <c r="E95" s="165"/>
      <c r="F95" s="165"/>
      <c r="G95" s="165"/>
      <c r="H95" s="165"/>
      <c r="I95" s="165"/>
      <c r="J95" s="165"/>
    </row>
    <row r="96" spans="2:10">
      <c r="B96" s="165"/>
      <c r="C96" s="165"/>
      <c r="D96" s="165"/>
      <c r="E96" s="165"/>
      <c r="F96" s="165"/>
      <c r="G96" s="165"/>
      <c r="H96" s="165"/>
      <c r="I96" s="165"/>
      <c r="J96" s="165"/>
    </row>
    <row r="97" spans="2:10">
      <c r="B97" s="165"/>
      <c r="C97" s="165"/>
      <c r="D97" s="165"/>
      <c r="E97" s="165"/>
      <c r="F97" s="165"/>
      <c r="G97" s="165"/>
      <c r="H97" s="165"/>
      <c r="I97" s="165"/>
      <c r="J97" s="165"/>
    </row>
    <row r="98" spans="2:10">
      <c r="B98" s="165"/>
      <c r="C98" s="165"/>
      <c r="D98" s="165"/>
      <c r="E98" s="165"/>
      <c r="F98" s="165"/>
      <c r="G98" s="165"/>
      <c r="H98" s="165"/>
      <c r="I98" s="165"/>
      <c r="J98" s="165"/>
    </row>
    <row r="99" spans="2:10">
      <c r="B99" s="165"/>
      <c r="C99" s="165"/>
      <c r="D99" s="165"/>
      <c r="E99" s="165"/>
      <c r="F99" s="165"/>
      <c r="G99" s="165"/>
      <c r="H99" s="165"/>
      <c r="I99" s="165"/>
      <c r="J99" s="165"/>
    </row>
    <row r="100" spans="2:10">
      <c r="B100" s="165"/>
      <c r="C100" s="165"/>
      <c r="D100" s="165"/>
      <c r="E100" s="165"/>
      <c r="F100" s="165"/>
      <c r="G100" s="165"/>
      <c r="H100" s="165"/>
      <c r="I100" s="165"/>
      <c r="J100" s="165"/>
    </row>
    <row r="101" spans="2:10">
      <c r="B101" s="165"/>
      <c r="C101" s="165"/>
      <c r="D101" s="165"/>
      <c r="E101" s="165"/>
      <c r="F101" s="165"/>
      <c r="G101" s="165"/>
      <c r="H101" s="165"/>
      <c r="I101" s="165"/>
      <c r="J101" s="165"/>
    </row>
    <row r="102" spans="2:10">
      <c r="B102" s="165"/>
      <c r="C102" s="165"/>
      <c r="D102" s="165"/>
      <c r="E102" s="165"/>
      <c r="F102" s="165"/>
      <c r="G102" s="165"/>
      <c r="H102" s="165"/>
      <c r="I102" s="165"/>
      <c r="J102" s="165"/>
    </row>
    <row r="103" spans="2:10">
      <c r="B103" s="165"/>
      <c r="C103" s="165"/>
      <c r="D103" s="165"/>
      <c r="E103" s="165"/>
      <c r="F103" s="165"/>
      <c r="G103" s="165"/>
      <c r="H103" s="165"/>
      <c r="I103" s="165"/>
      <c r="J103" s="165"/>
    </row>
    <row r="104" spans="2:10">
      <c r="B104" s="165"/>
      <c r="C104" s="165"/>
      <c r="D104" s="165"/>
      <c r="E104" s="165"/>
      <c r="F104" s="165"/>
      <c r="G104" s="165"/>
      <c r="H104" s="165"/>
      <c r="I104" s="165"/>
      <c r="J104" s="165"/>
    </row>
    <row r="105" spans="2:10">
      <c r="B105" s="165"/>
      <c r="C105" s="165"/>
      <c r="D105" s="165"/>
      <c r="E105" s="165"/>
      <c r="F105" s="165"/>
      <c r="G105" s="165"/>
      <c r="H105" s="165"/>
      <c r="I105" s="165"/>
      <c r="J105" s="165"/>
    </row>
    <row r="106" spans="2:10">
      <c r="B106" s="165"/>
      <c r="C106" s="165"/>
      <c r="D106" s="165"/>
      <c r="E106" s="165"/>
      <c r="F106" s="165"/>
      <c r="G106" s="165"/>
      <c r="H106" s="165"/>
      <c r="I106" s="165"/>
      <c r="J106" s="165"/>
    </row>
    <row r="107" spans="2:10">
      <c r="B107" s="165"/>
      <c r="C107" s="165"/>
      <c r="D107" s="165"/>
      <c r="E107" s="165"/>
      <c r="F107" s="165"/>
      <c r="G107" s="165"/>
      <c r="H107" s="165"/>
      <c r="I107" s="165"/>
      <c r="J107" s="165"/>
    </row>
    <row r="108" spans="2:10">
      <c r="B108" s="165"/>
      <c r="C108" s="165"/>
      <c r="D108" s="165"/>
      <c r="E108" s="165"/>
      <c r="F108" s="165"/>
      <c r="G108" s="165"/>
      <c r="H108" s="165"/>
      <c r="I108" s="165"/>
      <c r="J108" s="165"/>
    </row>
    <row r="109" spans="2:10">
      <c r="B109" s="165"/>
      <c r="C109" s="165"/>
      <c r="D109" s="165"/>
      <c r="E109" s="165"/>
      <c r="F109" s="165"/>
      <c r="G109" s="165"/>
      <c r="H109" s="165"/>
      <c r="I109" s="165"/>
      <c r="J109" s="165"/>
    </row>
    <row r="110" spans="2:10">
      <c r="B110" s="165"/>
      <c r="C110" s="165"/>
      <c r="D110" s="165"/>
      <c r="E110" s="165"/>
      <c r="F110" s="165"/>
      <c r="G110" s="165"/>
      <c r="H110" s="165"/>
      <c r="I110" s="165"/>
      <c r="J110" s="165"/>
    </row>
    <row r="111" spans="2:10">
      <c r="B111" s="165"/>
      <c r="C111" s="165"/>
      <c r="D111" s="165"/>
      <c r="E111" s="165"/>
      <c r="F111" s="165"/>
      <c r="G111" s="165"/>
      <c r="H111" s="165"/>
      <c r="I111" s="165"/>
      <c r="J111" s="165"/>
    </row>
    <row r="112" spans="2:10">
      <c r="B112" s="165"/>
      <c r="C112" s="165"/>
      <c r="D112" s="165"/>
      <c r="E112" s="165"/>
      <c r="F112" s="165"/>
      <c r="G112" s="165"/>
      <c r="H112" s="165"/>
      <c r="I112" s="165"/>
      <c r="J112" s="165"/>
    </row>
  </sheetData>
  <mergeCells count="4">
    <mergeCell ref="B1:I1"/>
    <mergeCell ref="B2:I2"/>
    <mergeCell ref="B3:I3"/>
    <mergeCell ref="B4:I4"/>
  </mergeCells>
  <printOptions horizontalCentered="1"/>
  <pageMargins left="0.75" right="0.5" top="0.5" bottom="0.5" header="0.5" footer="0.5"/>
  <pageSetup scale="78" orientation="portrait" r:id="rId1"/>
  <headerFooter alignWithMargins="0">
    <oddHeader>&amp;L&amp;F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W77"/>
  <sheetViews>
    <sheetView showOutlineSymbols="0" topLeftCell="A34" zoomScaleNormal="100" workbookViewId="0">
      <selection activeCell="I50" sqref="I50"/>
    </sheetView>
  </sheetViews>
  <sheetFormatPr defaultColWidth="15.5" defaultRowHeight="15"/>
  <cols>
    <col min="1" max="1" width="12.625" style="103" customWidth="1"/>
    <col min="2" max="2" width="37.25" style="103" bestFit="1" customWidth="1"/>
    <col min="3" max="3" width="10.375" style="103" customWidth="1"/>
    <col min="4" max="4" width="2.125" style="103" customWidth="1"/>
    <col min="5" max="5" width="7.25" style="103" customWidth="1"/>
    <col min="6" max="6" width="2" style="103" customWidth="1"/>
    <col min="7" max="7" width="11.375" style="103" customWidth="1"/>
    <col min="8" max="8" width="2" style="103" customWidth="1"/>
    <col min="9" max="9" width="8.25" style="103" customWidth="1"/>
    <col min="10" max="10" width="2" style="103" customWidth="1"/>
    <col min="11" max="11" width="9.125" style="103" customWidth="1"/>
    <col min="12" max="12" width="2" style="103" customWidth="1"/>
    <col min="13" max="13" width="12.625" style="103" customWidth="1"/>
    <col min="14" max="14" width="2" style="103" customWidth="1"/>
    <col min="15" max="15" width="11.375" style="103" customWidth="1"/>
    <col min="16" max="16" width="2" style="103" customWidth="1"/>
    <col min="17" max="17" width="9" style="103" customWidth="1"/>
    <col min="18" max="18" width="3.625" style="103" customWidth="1"/>
    <col min="19" max="19" width="12.125" style="103" bestFit="1" customWidth="1"/>
    <col min="20" max="20" width="10" style="103" bestFit="1" customWidth="1"/>
    <col min="21" max="21" width="10.875" style="103" bestFit="1" customWidth="1"/>
    <col min="22" max="22" width="15" style="103" bestFit="1" customWidth="1"/>
    <col min="23" max="16384" width="15.5" style="103"/>
  </cols>
  <sheetData>
    <row r="1" spans="1:22" ht="15.75">
      <c r="A1" s="103" t="s">
        <v>1040</v>
      </c>
      <c r="B1" s="454"/>
      <c r="C1" s="455" t="s">
        <v>490</v>
      </c>
      <c r="D1" s="455"/>
      <c r="G1" s="454"/>
      <c r="H1" s="456"/>
      <c r="I1" s="455" t="s">
        <v>387</v>
      </c>
      <c r="J1" s="455"/>
      <c r="K1" s="101"/>
      <c r="L1" s="101"/>
      <c r="M1" s="454"/>
      <c r="N1" s="454"/>
      <c r="O1" s="454"/>
      <c r="P1" s="454"/>
      <c r="Q1" s="454"/>
    </row>
    <row r="2" spans="1:22" ht="15.75">
      <c r="B2" s="455" t="s">
        <v>494</v>
      </c>
      <c r="C2" s="455" t="s">
        <v>493</v>
      </c>
      <c r="D2" s="455"/>
      <c r="E2" s="457" t="s">
        <v>492</v>
      </c>
      <c r="F2" s="457"/>
      <c r="G2" s="458"/>
      <c r="H2" s="456"/>
      <c r="I2" s="455" t="s">
        <v>491</v>
      </c>
      <c r="J2" s="455"/>
      <c r="K2" s="457" t="s">
        <v>111</v>
      </c>
      <c r="L2" s="457"/>
      <c r="M2" s="458"/>
      <c r="N2" s="458"/>
      <c r="O2" s="459" t="s">
        <v>490</v>
      </c>
      <c r="P2" s="459"/>
      <c r="Q2" s="459" t="s">
        <v>489</v>
      </c>
      <c r="S2" s="460"/>
      <c r="T2" s="460" t="s">
        <v>801</v>
      </c>
      <c r="U2" s="461" t="s">
        <v>802</v>
      </c>
    </row>
    <row r="3" spans="1:22" ht="15.75">
      <c r="B3" s="462" t="s">
        <v>488</v>
      </c>
      <c r="C3" s="462" t="s">
        <v>487</v>
      </c>
      <c r="D3" s="462"/>
      <c r="E3" s="463" t="s">
        <v>136</v>
      </c>
      <c r="F3" s="463"/>
      <c r="G3" s="463" t="s">
        <v>1</v>
      </c>
      <c r="H3" s="456"/>
      <c r="I3" s="464" t="s">
        <v>136</v>
      </c>
      <c r="J3" s="464"/>
      <c r="K3" s="463" t="s">
        <v>136</v>
      </c>
      <c r="L3" s="463"/>
      <c r="M3" s="463" t="s">
        <v>1</v>
      </c>
      <c r="N3" s="463"/>
      <c r="O3" s="462" t="s">
        <v>255</v>
      </c>
      <c r="P3" s="462"/>
      <c r="Q3" s="462" t="s">
        <v>255</v>
      </c>
      <c r="S3" s="460" t="s">
        <v>799</v>
      </c>
      <c r="T3" s="460" t="s">
        <v>800</v>
      </c>
      <c r="U3" s="461" t="s">
        <v>133</v>
      </c>
      <c r="V3" s="103" t="s">
        <v>803</v>
      </c>
    </row>
    <row r="4" spans="1:22" ht="15.75">
      <c r="B4" s="459" t="s">
        <v>118</v>
      </c>
      <c r="C4" s="459" t="s">
        <v>119</v>
      </c>
      <c r="D4" s="459"/>
      <c r="E4" s="459" t="s">
        <v>486</v>
      </c>
      <c r="F4" s="459"/>
      <c r="G4" s="459" t="s">
        <v>485</v>
      </c>
      <c r="H4" s="456"/>
      <c r="I4" s="459" t="s">
        <v>484</v>
      </c>
      <c r="J4" s="459"/>
      <c r="K4" s="459" t="s">
        <v>483</v>
      </c>
      <c r="L4" s="459"/>
      <c r="M4" s="459" t="s">
        <v>482</v>
      </c>
      <c r="N4" s="459"/>
      <c r="O4" s="459" t="s">
        <v>481</v>
      </c>
      <c r="P4" s="459"/>
      <c r="Q4" s="455" t="s">
        <v>480</v>
      </c>
      <c r="T4" s="109">
        <v>2.8510000000000001E-2</v>
      </c>
    </row>
    <row r="6" spans="1:22" ht="16.5" customHeight="1">
      <c r="A6" s="465" t="s">
        <v>479</v>
      </c>
      <c r="B6" s="102" t="s">
        <v>478</v>
      </c>
      <c r="K6" s="111"/>
      <c r="L6" s="101"/>
    </row>
    <row r="7" spans="1:22">
      <c r="A7" s="460">
        <v>94</v>
      </c>
      <c r="B7" s="101" t="s">
        <v>477</v>
      </c>
      <c r="C7" s="99">
        <v>254150.2626978349</v>
      </c>
      <c r="D7" s="100"/>
      <c r="E7" s="466">
        <v>9.3000000000000007</v>
      </c>
      <c r="F7" s="111"/>
      <c r="G7" s="98">
        <f>ROUND((C7*E7),0)</f>
        <v>2363597</v>
      </c>
      <c r="H7" s="98"/>
      <c r="I7" s="111">
        <f>'OL 2'!$Q$8</f>
        <v>9.9908333333333346</v>
      </c>
      <c r="J7" s="111"/>
      <c r="K7" s="111">
        <f>ROUND(IF(I7*$C$66&gt;(1+$C$64)*E7,(1+$C$64)*E7,MAX(I7*$C$66,E7))*20,0)/20</f>
        <v>9.3000000000000007</v>
      </c>
      <c r="L7" s="111" t="s">
        <v>72</v>
      </c>
      <c r="M7" s="98">
        <f>ROUND((C7*K7),0)</f>
        <v>2363597</v>
      </c>
      <c r="N7" s="98"/>
      <c r="O7" s="98">
        <f t="shared" ref="O7:O18" si="0">M7-G7</f>
        <v>0</v>
      </c>
      <c r="P7" s="98"/>
      <c r="Q7" s="130">
        <f>ROUND(((K7/E7)-1),4)</f>
        <v>0</v>
      </c>
      <c r="S7" s="103">
        <f>'OL 2'!K8</f>
        <v>40.299999999999997</v>
      </c>
      <c r="T7" s="467">
        <f>ROUND(S7*T$4,2)</f>
        <v>1.1499999999999999</v>
      </c>
      <c r="U7" s="760">
        <f>K7</f>
        <v>9.3000000000000007</v>
      </c>
      <c r="V7" s="468"/>
    </row>
    <row r="8" spans="1:22">
      <c r="A8" s="460">
        <v>113</v>
      </c>
      <c r="B8" s="101" t="s">
        <v>476</v>
      </c>
      <c r="C8" s="99">
        <v>264684.29615065362</v>
      </c>
      <c r="D8" s="100"/>
      <c r="E8" s="466">
        <v>10.58</v>
      </c>
      <c r="F8" s="111"/>
      <c r="G8" s="98">
        <f>ROUND((C8*E8),0)</f>
        <v>2800360</v>
      </c>
      <c r="H8" s="98"/>
      <c r="I8" s="111">
        <f>'OL 2'!$Q$9</f>
        <v>11.4925</v>
      </c>
      <c r="J8" s="111"/>
      <c r="K8" s="111">
        <f>ROUND(IF(I8*$C$66&gt;(1+$C$64)*E8,(1+$C$64)*E8,MAX(I8*$C$66,E8))*20,0)/20</f>
        <v>10.65</v>
      </c>
      <c r="L8" s="111"/>
      <c r="M8" s="98">
        <f t="shared" ref="M8:M18" si="1">ROUND((C8*K8),0)</f>
        <v>2818888</v>
      </c>
      <c r="N8" s="98"/>
      <c r="O8" s="98">
        <f t="shared" si="0"/>
        <v>18528</v>
      </c>
      <c r="P8" s="98"/>
      <c r="Q8" s="130">
        <f t="shared" ref="Q8:Q18" si="2">ROUND(((K8/E8)-1),4)</f>
        <v>6.6E-3</v>
      </c>
      <c r="S8" s="103">
        <f>'OL 2'!K9</f>
        <v>58.7</v>
      </c>
      <c r="T8" s="467">
        <f>ROUND(S8*T$4,2)</f>
        <v>1.67</v>
      </c>
      <c r="U8" s="760">
        <f t="shared" ref="U8:U18" si="3">K8</f>
        <v>10.65</v>
      </c>
      <c r="V8" s="468"/>
    </row>
    <row r="9" spans="1:22">
      <c r="A9" s="460">
        <v>97</v>
      </c>
      <c r="B9" s="101" t="s">
        <v>475</v>
      </c>
      <c r="C9" s="99">
        <v>20422.780061860354</v>
      </c>
      <c r="D9" s="100"/>
      <c r="E9" s="466">
        <v>12.3</v>
      </c>
      <c r="F9" s="111"/>
      <c r="G9" s="98">
        <f>ROUND((C9*E9),0)</f>
        <v>251200</v>
      </c>
      <c r="H9" s="98"/>
      <c r="I9" s="111">
        <f>'OL 2'!$Q$10</f>
        <v>14.260833333333332</v>
      </c>
      <c r="J9" s="111"/>
      <c r="K9" s="111">
        <f>ROUND(IF(I9*$C$66&gt;(1+$C$64)*E9,(1+$C$64)*E9,MAX(I9*$C$66,E9))*20,0)/20</f>
        <v>13.2</v>
      </c>
      <c r="L9" s="111"/>
      <c r="M9" s="98">
        <f t="shared" si="1"/>
        <v>269581</v>
      </c>
      <c r="N9" s="98"/>
      <c r="O9" s="98">
        <f t="shared" si="0"/>
        <v>18381</v>
      </c>
      <c r="P9" s="98"/>
      <c r="Q9" s="130">
        <f t="shared" si="2"/>
        <v>7.3200000000000001E-2</v>
      </c>
      <c r="S9" s="103">
        <f>'OL 2'!K10</f>
        <v>84.3</v>
      </c>
      <c r="T9" s="467">
        <f t="shared" ref="T9:T18" si="4">ROUND(S9*T$4,2)</f>
        <v>2.4</v>
      </c>
      <c r="U9" s="760">
        <f t="shared" si="3"/>
        <v>13.2</v>
      </c>
      <c r="V9" s="468"/>
    </row>
    <row r="10" spans="1:22">
      <c r="A10" s="460">
        <v>103</v>
      </c>
      <c r="B10" s="101" t="s">
        <v>474</v>
      </c>
      <c r="C10" s="684">
        <v>24</v>
      </c>
      <c r="D10" s="100"/>
      <c r="E10" s="466">
        <v>17.63</v>
      </c>
      <c r="F10" s="111"/>
      <c r="G10" s="98"/>
      <c r="H10" s="98"/>
      <c r="I10" s="111">
        <f>'OL 2'!$Q$11</f>
        <v>18.810833333333335</v>
      </c>
      <c r="J10" s="111"/>
      <c r="K10" s="111">
        <f>ROUND((I10)*20,0)/20</f>
        <v>18.8</v>
      </c>
      <c r="L10" s="111"/>
      <c r="M10" s="98">
        <f t="shared" si="1"/>
        <v>451</v>
      </c>
      <c r="N10" s="98"/>
      <c r="O10" s="98">
        <f t="shared" si="0"/>
        <v>451</v>
      </c>
      <c r="P10" s="98"/>
      <c r="Q10" s="130">
        <f t="shared" si="2"/>
        <v>6.6400000000000001E-2</v>
      </c>
      <c r="S10" s="103">
        <f>'OL 2'!K11</f>
        <v>103</v>
      </c>
      <c r="T10" s="467">
        <f t="shared" si="4"/>
        <v>2.94</v>
      </c>
      <c r="U10" s="760">
        <f t="shared" si="3"/>
        <v>18.8</v>
      </c>
      <c r="V10" s="468"/>
    </row>
    <row r="11" spans="1:22">
      <c r="A11" s="460">
        <v>98</v>
      </c>
      <c r="B11" s="101" t="s">
        <v>459</v>
      </c>
      <c r="C11" s="99">
        <v>2712</v>
      </c>
      <c r="D11" s="100"/>
      <c r="E11" s="466">
        <v>19.010000000000002</v>
      </c>
      <c r="F11" s="111"/>
      <c r="G11" s="98">
        <f t="shared" ref="G11:G18" si="5">ROUND((C11*E11),0)</f>
        <v>51555</v>
      </c>
      <c r="H11" s="98"/>
      <c r="I11" s="111">
        <f>'OL 2'!$Q$12</f>
        <v>22.516666666666666</v>
      </c>
      <c r="J11" s="111"/>
      <c r="K11" s="111">
        <f>ROUND(IF(I11*$C$66&gt;(1+$C$64)*E11,(1+$C$64)*E11,MAX(I11*$C$66,E11))*20,0)/20</f>
        <v>20.85</v>
      </c>
      <c r="L11" s="111"/>
      <c r="M11" s="98">
        <f t="shared" si="1"/>
        <v>56545</v>
      </c>
      <c r="N11" s="98"/>
      <c r="O11" s="98">
        <f t="shared" si="0"/>
        <v>4990</v>
      </c>
      <c r="P11" s="98"/>
      <c r="Q11" s="130">
        <f t="shared" si="2"/>
        <v>9.6799999999999997E-2</v>
      </c>
      <c r="S11" s="103">
        <f>'OL 2'!K12</f>
        <v>166.7</v>
      </c>
      <c r="T11" s="467">
        <f t="shared" si="4"/>
        <v>4.75</v>
      </c>
      <c r="U11" s="760">
        <f t="shared" si="3"/>
        <v>20.85</v>
      </c>
      <c r="V11" s="468"/>
    </row>
    <row r="12" spans="1:22">
      <c r="A12" s="460">
        <v>111</v>
      </c>
      <c r="B12" s="101" t="s">
        <v>473</v>
      </c>
      <c r="C12" s="99">
        <v>9514</v>
      </c>
      <c r="D12" s="99"/>
      <c r="E12" s="466">
        <v>14.1</v>
      </c>
      <c r="F12" s="111"/>
      <c r="G12" s="98">
        <f t="shared" si="5"/>
        <v>134147</v>
      </c>
      <c r="H12" s="98"/>
      <c r="I12" s="111">
        <f>'OL 2'!$Q$14</f>
        <v>28.356666666666669</v>
      </c>
      <c r="J12" s="111"/>
      <c r="K12" s="111">
        <f>ROUND(IF(I12*$C$66&gt;(1+$C$64)*E12,(1+$C$64)*E12,MAX(I12*$C$66,E12))*20,0)/20</f>
        <v>16.850000000000001</v>
      </c>
      <c r="M12" s="98">
        <f t="shared" si="1"/>
        <v>160311</v>
      </c>
      <c r="N12" s="98"/>
      <c r="O12" s="98">
        <f t="shared" si="0"/>
        <v>26164</v>
      </c>
      <c r="P12" s="98"/>
      <c r="Q12" s="130">
        <f t="shared" si="2"/>
        <v>0.19500000000000001</v>
      </c>
      <c r="S12" s="103">
        <f>S7</f>
        <v>40.299999999999997</v>
      </c>
      <c r="T12" s="467">
        <f t="shared" si="4"/>
        <v>1.1499999999999999</v>
      </c>
      <c r="U12" s="760">
        <f t="shared" si="3"/>
        <v>16.850000000000001</v>
      </c>
      <c r="V12" s="468"/>
    </row>
    <row r="13" spans="1:22">
      <c r="A13" s="460">
        <v>122</v>
      </c>
      <c r="B13" s="101" t="s">
        <v>472</v>
      </c>
      <c r="C13" s="99">
        <v>811</v>
      </c>
      <c r="D13" s="99"/>
      <c r="E13" s="466">
        <v>23.13</v>
      </c>
      <c r="F13" s="111"/>
      <c r="G13" s="98">
        <f t="shared" si="5"/>
        <v>18758</v>
      </c>
      <c r="H13" s="98"/>
      <c r="I13" s="111">
        <f>'OL 2'!$Q$15</f>
        <v>29.972499999999997</v>
      </c>
      <c r="J13" s="111"/>
      <c r="K13" s="111">
        <f>ROUND(IF(I13*$C$66&gt;(1+$C$64)*E13,(1+$C$64)*E13,MAX(I13*$C$66,E13))*20,0)/20</f>
        <v>27.65</v>
      </c>
      <c r="L13" s="111"/>
      <c r="M13" s="98">
        <f t="shared" si="1"/>
        <v>22424</v>
      </c>
      <c r="N13" s="98"/>
      <c r="O13" s="98">
        <f t="shared" si="0"/>
        <v>3666</v>
      </c>
      <c r="P13" s="98"/>
      <c r="Q13" s="130">
        <f t="shared" si="2"/>
        <v>0.19539999999999999</v>
      </c>
      <c r="S13" s="103">
        <f t="shared" ref="S13:S14" si="6">S8</f>
        <v>58.7</v>
      </c>
      <c r="T13" s="467">
        <f t="shared" si="4"/>
        <v>1.67</v>
      </c>
      <c r="U13" s="760">
        <f t="shared" si="3"/>
        <v>27.65</v>
      </c>
      <c r="V13" s="468"/>
    </row>
    <row r="14" spans="1:22">
      <c r="A14" s="460">
        <v>107</v>
      </c>
      <c r="B14" s="101" t="s">
        <v>471</v>
      </c>
      <c r="C14" s="99">
        <v>20936</v>
      </c>
      <c r="D14" s="99"/>
      <c r="E14" s="466">
        <v>14.4</v>
      </c>
      <c r="F14" s="469"/>
      <c r="G14" s="98">
        <f t="shared" si="5"/>
        <v>301478</v>
      </c>
      <c r="H14" s="98"/>
      <c r="I14" s="111">
        <f>'OL 2'!$Q$17</f>
        <v>16.400833333333331</v>
      </c>
      <c r="J14" s="111"/>
      <c r="K14" s="111">
        <f>ROUND(IF(I14*$C$66&gt;(1+$C$64)*E14,(1+$C$64)*E14,MAX(I14*$C$66,E14))*20,0)/20</f>
        <v>15.15</v>
      </c>
      <c r="L14" s="111"/>
      <c r="M14" s="98">
        <f t="shared" si="1"/>
        <v>317180</v>
      </c>
      <c r="N14" s="98"/>
      <c r="O14" s="98">
        <f t="shared" si="0"/>
        <v>15702</v>
      </c>
      <c r="P14" s="98"/>
      <c r="Q14" s="130">
        <f t="shared" si="2"/>
        <v>5.21E-2</v>
      </c>
      <c r="S14" s="103">
        <f t="shared" si="6"/>
        <v>84.3</v>
      </c>
      <c r="T14" s="467">
        <f t="shared" si="4"/>
        <v>2.4</v>
      </c>
      <c r="U14" s="760">
        <f t="shared" si="3"/>
        <v>15.15</v>
      </c>
      <c r="V14" s="468"/>
    </row>
    <row r="15" spans="1:22">
      <c r="A15" s="460">
        <v>109</v>
      </c>
      <c r="B15" s="101" t="s">
        <v>465</v>
      </c>
      <c r="C15" s="99">
        <v>48580</v>
      </c>
      <c r="D15" s="99"/>
      <c r="E15" s="466">
        <v>20.16</v>
      </c>
      <c r="F15" s="469"/>
      <c r="G15" s="98">
        <f t="shared" si="5"/>
        <v>979373</v>
      </c>
      <c r="H15" s="98"/>
      <c r="I15" s="111">
        <f>'OL 2'!$Q$18</f>
        <v>23.906666666666666</v>
      </c>
      <c r="J15" s="111"/>
      <c r="K15" s="111">
        <f>ROUND(IF(I15*$C$66&gt;(1+$C$64)*E15,(1+$C$64)*E15,MAX(I15*$C$66,E15))*20,0)/20</f>
        <v>22.1</v>
      </c>
      <c r="L15" s="111"/>
      <c r="M15" s="98">
        <f t="shared" si="1"/>
        <v>1073618</v>
      </c>
      <c r="N15" s="98"/>
      <c r="O15" s="98">
        <f t="shared" si="0"/>
        <v>94245</v>
      </c>
      <c r="P15" s="98"/>
      <c r="Q15" s="130">
        <f t="shared" si="2"/>
        <v>9.6199999999999994E-2</v>
      </c>
      <c r="S15" s="103">
        <f>S11</f>
        <v>166.7</v>
      </c>
      <c r="T15" s="467">
        <f>ROUND(S15*T$4,2)</f>
        <v>4.75</v>
      </c>
      <c r="U15" s="760">
        <f t="shared" si="3"/>
        <v>22.1</v>
      </c>
      <c r="V15" s="468"/>
    </row>
    <row r="16" spans="1:22">
      <c r="A16" s="460">
        <v>121</v>
      </c>
      <c r="B16" s="101" t="s">
        <v>470</v>
      </c>
      <c r="C16" s="684">
        <v>0</v>
      </c>
      <c r="D16" s="100"/>
      <c r="E16" s="466">
        <v>32.85</v>
      </c>
      <c r="F16" s="469"/>
      <c r="G16" s="98">
        <f t="shared" si="5"/>
        <v>0</v>
      </c>
      <c r="H16" s="98"/>
      <c r="I16" s="111">
        <f>'OL 2'!$Q$20</f>
        <v>30.58666666666667</v>
      </c>
      <c r="J16" s="111"/>
      <c r="K16" s="111">
        <f>ROUND((I16)*20,0)/20</f>
        <v>30.6</v>
      </c>
      <c r="L16" s="111"/>
      <c r="M16" s="98">
        <f t="shared" si="1"/>
        <v>0</v>
      </c>
      <c r="N16" s="98"/>
      <c r="O16" s="98">
        <f t="shared" si="0"/>
        <v>0</v>
      </c>
      <c r="P16" s="98"/>
      <c r="Q16" s="130">
        <f t="shared" si="2"/>
        <v>-6.8500000000000005E-2</v>
      </c>
      <c r="S16" s="103">
        <f>S7</f>
        <v>40.299999999999997</v>
      </c>
      <c r="T16" s="467">
        <f t="shared" si="4"/>
        <v>1.1499999999999999</v>
      </c>
      <c r="U16" s="760">
        <f t="shared" si="3"/>
        <v>30.6</v>
      </c>
      <c r="V16" s="468"/>
    </row>
    <row r="17" spans="1:22">
      <c r="A17" s="460">
        <v>120</v>
      </c>
      <c r="B17" s="101" t="s">
        <v>469</v>
      </c>
      <c r="C17" s="99">
        <v>24</v>
      </c>
      <c r="D17" s="99"/>
      <c r="E17" s="466">
        <v>25.83</v>
      </c>
      <c r="F17" s="469"/>
      <c r="G17" s="98">
        <f t="shared" si="5"/>
        <v>620</v>
      </c>
      <c r="H17" s="98"/>
      <c r="I17" s="111">
        <f>'OL 2'!$Q$21</f>
        <v>36.280833333333334</v>
      </c>
      <c r="J17" s="111"/>
      <c r="K17" s="111">
        <f>ROUND(IF(I17*$C$66&gt;(1+$C$64)*E17,(1+$C$64)*E17,MAX(I17*$C$66,E17))*20,0)/20</f>
        <v>30.85</v>
      </c>
      <c r="L17" s="111"/>
      <c r="M17" s="98">
        <f t="shared" si="1"/>
        <v>740</v>
      </c>
      <c r="N17" s="98"/>
      <c r="O17" s="98">
        <f t="shared" si="0"/>
        <v>120</v>
      </c>
      <c r="P17" s="98"/>
      <c r="Q17" s="130">
        <f t="shared" si="2"/>
        <v>0.1943</v>
      </c>
      <c r="S17" s="103">
        <f>S10</f>
        <v>103</v>
      </c>
      <c r="T17" s="467">
        <f t="shared" si="4"/>
        <v>2.94</v>
      </c>
      <c r="U17" s="760">
        <f t="shared" si="3"/>
        <v>30.85</v>
      </c>
      <c r="V17" s="468"/>
    </row>
    <row r="18" spans="1:22">
      <c r="A18" s="460">
        <v>126</v>
      </c>
      <c r="B18" s="101" t="s">
        <v>468</v>
      </c>
      <c r="C18" s="684">
        <v>36</v>
      </c>
      <c r="D18" s="100"/>
      <c r="E18" s="466">
        <v>42.96</v>
      </c>
      <c r="F18" s="469"/>
      <c r="G18" s="98">
        <f t="shared" si="5"/>
        <v>1547</v>
      </c>
      <c r="H18" s="98"/>
      <c r="I18" s="111">
        <f>'OL 2'!$Q$22</f>
        <v>41.99666666666667</v>
      </c>
      <c r="J18" s="111"/>
      <c r="K18" s="111">
        <f>ROUND((I18)*20,0)/20</f>
        <v>42</v>
      </c>
      <c r="L18" s="111"/>
      <c r="M18" s="98">
        <f t="shared" si="1"/>
        <v>1512</v>
      </c>
      <c r="N18" s="98"/>
      <c r="O18" s="98">
        <f t="shared" si="0"/>
        <v>-35</v>
      </c>
      <c r="P18" s="98"/>
      <c r="Q18" s="130">
        <f t="shared" si="2"/>
        <v>-2.23E-2</v>
      </c>
      <c r="S18" s="103">
        <f>S11</f>
        <v>166.7</v>
      </c>
      <c r="T18" s="467">
        <f t="shared" si="4"/>
        <v>4.75</v>
      </c>
      <c r="U18" s="760">
        <f t="shared" si="3"/>
        <v>42</v>
      </c>
      <c r="V18" s="468"/>
    </row>
    <row r="19" spans="1:22">
      <c r="A19" s="460"/>
      <c r="C19" s="100"/>
      <c r="D19" s="100"/>
      <c r="E19" s="466"/>
      <c r="F19" s="111"/>
      <c r="G19" s="98"/>
      <c r="H19" s="98"/>
      <c r="I19" s="111"/>
      <c r="J19" s="111"/>
      <c r="K19" s="111" t="s">
        <v>72</v>
      </c>
      <c r="L19" s="111"/>
      <c r="M19" s="98"/>
      <c r="N19" s="98"/>
      <c r="O19" s="98"/>
      <c r="P19" s="98"/>
      <c r="Q19" s="130"/>
      <c r="T19" s="467"/>
    </row>
    <row r="20" spans="1:22" ht="15.75">
      <c r="A20" s="460"/>
      <c r="B20" s="102" t="s">
        <v>467</v>
      </c>
      <c r="C20" s="100"/>
      <c r="D20" s="100"/>
      <c r="E20" s="466"/>
      <c r="F20" s="111"/>
      <c r="G20" s="98"/>
      <c r="H20" s="98"/>
      <c r="I20" s="111"/>
      <c r="J20" s="111"/>
      <c r="K20" s="111" t="s">
        <v>72</v>
      </c>
      <c r="L20" s="111"/>
      <c r="M20" s="98"/>
      <c r="N20" s="98"/>
      <c r="O20" s="98"/>
      <c r="P20" s="98"/>
      <c r="Q20" s="130"/>
      <c r="T20" s="467"/>
    </row>
    <row r="21" spans="1:22">
      <c r="A21" s="460">
        <v>110</v>
      </c>
      <c r="B21" s="101" t="s">
        <v>466</v>
      </c>
      <c r="C21" s="99">
        <v>1671</v>
      </c>
      <c r="D21" s="99"/>
      <c r="E21" s="466">
        <v>17.88</v>
      </c>
      <c r="F21" s="111"/>
      <c r="G21" s="98">
        <f>ROUND((C21*E21),0)</f>
        <v>29877</v>
      </c>
      <c r="H21" s="98"/>
      <c r="I21" s="111">
        <f>+'OL 2'!Q27</f>
        <v>18.796666666666667</v>
      </c>
      <c r="J21" s="111"/>
      <c r="K21" s="111">
        <f>ROUND(IF(I21*$C$66&gt;(1+$C$64)*E21,(1+$C$64)*E21,MAX(I21*$C$66,E21))*20,0)/20</f>
        <v>17.899999999999999</v>
      </c>
      <c r="L21" s="111"/>
      <c r="M21" s="98">
        <f>ROUND((C21*K21),0)</f>
        <v>29911</v>
      </c>
      <c r="N21" s="98"/>
      <c r="O21" s="98">
        <f>M21-G21</f>
        <v>34</v>
      </c>
      <c r="P21" s="98"/>
      <c r="Q21" s="130">
        <f>ROUND(((K21/E21)-1),4)</f>
        <v>1.1000000000000001E-3</v>
      </c>
      <c r="S21" s="103">
        <f>'OL 2'!K27</f>
        <v>100.3</v>
      </c>
      <c r="T21" s="467">
        <f t="shared" ref="T21:T25" si="7">ROUND(S21*T$4,2)</f>
        <v>2.86</v>
      </c>
      <c r="U21" s="760">
        <f t="shared" ref="U21:U25" si="8">K21</f>
        <v>17.899999999999999</v>
      </c>
      <c r="V21" s="468"/>
    </row>
    <row r="22" spans="1:22">
      <c r="A22" s="460">
        <v>116</v>
      </c>
      <c r="B22" s="101" t="s">
        <v>465</v>
      </c>
      <c r="C22" s="99">
        <v>11279</v>
      </c>
      <c r="D22" s="99"/>
      <c r="E22" s="466">
        <v>22.57</v>
      </c>
      <c r="F22" s="469"/>
      <c r="G22" s="98">
        <f>ROUND((C22*E22),0)</f>
        <v>254567</v>
      </c>
      <c r="H22" s="98"/>
      <c r="I22" s="111">
        <f>'OL 2'!$Q$28</f>
        <v>24.006666666666668</v>
      </c>
      <c r="J22" s="111"/>
      <c r="K22" s="111">
        <f>ROUND(IF(I22*$C$66&gt;(1+$C$64)*E22,(1+$C$64)*E22,MAX(I22*$C$66,E22))*20,0)/20</f>
        <v>22.55</v>
      </c>
      <c r="L22" s="111"/>
      <c r="M22" s="98">
        <f>ROUND((C22*K22),0)</f>
        <v>254341</v>
      </c>
      <c r="N22" s="98"/>
      <c r="O22" s="98">
        <f>M22-G22</f>
        <v>-226</v>
      </c>
      <c r="P22" s="98"/>
      <c r="Q22" s="130">
        <f>ROUND(((K22/E22)-1),4)</f>
        <v>-8.9999999999999998E-4</v>
      </c>
      <c r="S22" s="103">
        <f>'OL 2'!K28</f>
        <v>158</v>
      </c>
      <c r="T22" s="467">
        <f t="shared" si="7"/>
        <v>4.5</v>
      </c>
      <c r="U22" s="760">
        <f t="shared" si="8"/>
        <v>22.55</v>
      </c>
      <c r="V22" s="468"/>
    </row>
    <row r="23" spans="1:22">
      <c r="A23" s="460">
        <v>131</v>
      </c>
      <c r="B23" s="101" t="s">
        <v>464</v>
      </c>
      <c r="C23" s="99">
        <v>1148</v>
      </c>
      <c r="D23" s="99"/>
      <c r="E23" s="466">
        <v>41.06</v>
      </c>
      <c r="F23" s="469"/>
      <c r="G23" s="98">
        <f>ROUND((C23*E23),0)</f>
        <v>47137</v>
      </c>
      <c r="H23" s="98"/>
      <c r="I23" s="111">
        <f>'OL 2'!$Q$29</f>
        <v>44.865833333333335</v>
      </c>
      <c r="J23" s="111"/>
      <c r="K23" s="111">
        <f>ROUND(IF(I23*$C$66&gt;(1+$C$64)*E23,(1+$C$64)*E23,MAX(I23*$C$66,E23))*20,0)/20</f>
        <v>41.5</v>
      </c>
      <c r="L23" s="111"/>
      <c r="M23" s="98">
        <f>ROUND((C23*K23),0)</f>
        <v>47642</v>
      </c>
      <c r="N23" s="98"/>
      <c r="O23" s="98">
        <f>M23-G23</f>
        <v>505</v>
      </c>
      <c r="P23" s="98"/>
      <c r="Q23" s="130">
        <f>ROUND(((K23/E23)-1),4)</f>
        <v>1.0699999999999999E-2</v>
      </c>
      <c r="S23" s="103">
        <f>'OL 2'!K29</f>
        <v>378.3</v>
      </c>
      <c r="T23" s="467">
        <f t="shared" si="7"/>
        <v>10.79</v>
      </c>
      <c r="U23" s="760">
        <f t="shared" si="8"/>
        <v>41.5</v>
      </c>
      <c r="V23" s="468"/>
    </row>
    <row r="24" spans="1:22">
      <c r="A24" s="460">
        <v>130</v>
      </c>
      <c r="B24" s="101" t="s">
        <v>463</v>
      </c>
      <c r="C24" s="684">
        <v>47</v>
      </c>
      <c r="D24" s="99"/>
      <c r="E24" s="466">
        <v>24.63</v>
      </c>
      <c r="F24" s="469"/>
      <c r="G24" s="98">
        <f>ROUND((C24*E24),0)</f>
        <v>1158</v>
      </c>
      <c r="H24" s="98"/>
      <c r="I24" s="111">
        <f>'OL 2'!$Q$31</f>
        <v>24.136666666666667</v>
      </c>
      <c r="J24" s="111"/>
      <c r="K24" s="111">
        <f>ROUND((I24)*20,0)/20</f>
        <v>24.15</v>
      </c>
      <c r="L24" s="111"/>
      <c r="M24" s="98">
        <f>ROUND((C24*K24),0)</f>
        <v>1135</v>
      </c>
      <c r="N24" s="98"/>
      <c r="O24" s="98">
        <f>M24-G24</f>
        <v>-23</v>
      </c>
      <c r="P24" s="98"/>
      <c r="Q24" s="130">
        <f>ROUND(((K24/E24)-1),4)</f>
        <v>-1.95E-2</v>
      </c>
      <c r="S24" s="103">
        <f>S21</f>
        <v>100.3</v>
      </c>
      <c r="T24" s="467">
        <f t="shared" si="7"/>
        <v>2.86</v>
      </c>
      <c r="U24" s="760">
        <f t="shared" si="8"/>
        <v>24.15</v>
      </c>
      <c r="V24" s="468"/>
    </row>
    <row r="25" spans="1:22">
      <c r="A25" s="460">
        <v>136</v>
      </c>
      <c r="B25" s="101" t="s">
        <v>462</v>
      </c>
      <c r="C25" s="684">
        <v>19</v>
      </c>
      <c r="D25" s="100"/>
      <c r="E25" s="466">
        <v>29.42</v>
      </c>
      <c r="F25" s="469"/>
      <c r="G25" s="98">
        <f>ROUND((C25*E25),0)</f>
        <v>559</v>
      </c>
      <c r="H25" s="98"/>
      <c r="I25" s="111">
        <f>'OL 2'!$Q$32</f>
        <v>29.376666666666669</v>
      </c>
      <c r="J25" s="111"/>
      <c r="K25" s="111">
        <f>ROUND((I25)*20,0)/20</f>
        <v>29.4</v>
      </c>
      <c r="L25" s="111"/>
      <c r="M25" s="98">
        <f>ROUND((C25*K25),0)</f>
        <v>559</v>
      </c>
      <c r="N25" s="98"/>
      <c r="O25" s="98">
        <f>M25-G25</f>
        <v>0</v>
      </c>
      <c r="P25" s="98"/>
      <c r="Q25" s="130">
        <f>ROUND(((K25/E25)-1),4)</f>
        <v>-6.9999999999999999E-4</v>
      </c>
      <c r="S25" s="103">
        <f>S22</f>
        <v>158</v>
      </c>
      <c r="T25" s="467">
        <f t="shared" si="7"/>
        <v>4.5</v>
      </c>
      <c r="U25" s="760">
        <f t="shared" si="8"/>
        <v>29.4</v>
      </c>
      <c r="V25" s="468"/>
    </row>
    <row r="26" spans="1:22">
      <c r="A26" s="460"/>
      <c r="B26" s="101"/>
      <c r="C26" s="100"/>
      <c r="D26" s="100"/>
      <c r="E26" s="466"/>
      <c r="F26" s="469"/>
      <c r="G26" s="98"/>
      <c r="H26" s="98"/>
      <c r="I26" s="111"/>
      <c r="J26" s="111"/>
      <c r="K26" s="111"/>
      <c r="L26" s="111"/>
      <c r="M26" s="98"/>
      <c r="N26" s="98"/>
      <c r="O26" s="98"/>
      <c r="P26" s="98"/>
      <c r="Q26" s="470"/>
      <c r="T26" s="467"/>
    </row>
    <row r="27" spans="1:22">
      <c r="A27" s="460"/>
      <c r="C27" s="100"/>
      <c r="D27" s="100"/>
      <c r="E27" s="466"/>
      <c r="F27" s="111"/>
      <c r="G27" s="98"/>
      <c r="H27" s="98"/>
      <c r="I27" s="111"/>
      <c r="J27" s="111"/>
      <c r="K27" s="111"/>
      <c r="L27" s="111"/>
      <c r="M27" s="98"/>
      <c r="N27" s="98"/>
      <c r="O27" s="98"/>
      <c r="P27" s="98"/>
      <c r="Q27" s="470"/>
      <c r="T27" s="467"/>
    </row>
    <row r="28" spans="1:22" ht="15.75">
      <c r="A28" s="460"/>
      <c r="B28" s="102" t="s">
        <v>461</v>
      </c>
      <c r="C28" s="100"/>
      <c r="D28" s="100"/>
      <c r="E28" s="466"/>
      <c r="F28" s="111"/>
      <c r="G28" s="98"/>
      <c r="H28" s="98"/>
      <c r="I28" s="111"/>
      <c r="J28" s="111"/>
      <c r="K28" s="111"/>
      <c r="L28" s="111"/>
      <c r="M28" s="98"/>
      <c r="N28" s="98"/>
      <c r="O28" s="98"/>
      <c r="P28" s="98"/>
      <c r="Q28" s="130"/>
      <c r="T28" s="467"/>
    </row>
    <row r="29" spans="1:22">
      <c r="A29" s="460">
        <v>93</v>
      </c>
      <c r="B29" s="101" t="s">
        <v>460</v>
      </c>
      <c r="C29" s="99">
        <v>8117</v>
      </c>
      <c r="D29" s="99"/>
      <c r="E29" s="466">
        <v>10.47</v>
      </c>
      <c r="F29" s="111"/>
      <c r="G29" s="98">
        <f>ROUND((C29*E29),0)</f>
        <v>84985</v>
      </c>
      <c r="H29" s="98"/>
      <c r="I29" s="471"/>
      <c r="K29" s="111">
        <f>ROUND(E29*(1+C$63)*20,0)/20</f>
        <v>11.85</v>
      </c>
      <c r="L29" s="111"/>
      <c r="M29" s="98">
        <f>ROUND((C29*K29),0)</f>
        <v>96186</v>
      </c>
      <c r="N29" s="98"/>
      <c r="O29" s="98">
        <f>M29-G29</f>
        <v>11201</v>
      </c>
      <c r="P29" s="98"/>
      <c r="Q29" s="130">
        <f>ROUND(((K29/E29)-1),4)</f>
        <v>0.1318</v>
      </c>
      <c r="S29" s="472">
        <f>864/12</f>
        <v>72</v>
      </c>
      <c r="T29" s="467">
        <f t="shared" ref="T29:T31" si="9">ROUND(S29*T$4,2)</f>
        <v>2.0499999999999998</v>
      </c>
      <c r="U29" s="760">
        <f t="shared" ref="U29:U31" si="10">K29</f>
        <v>11.85</v>
      </c>
      <c r="V29" s="468"/>
    </row>
    <row r="30" spans="1:22">
      <c r="A30" s="460">
        <v>95</v>
      </c>
      <c r="B30" s="101" t="s">
        <v>459</v>
      </c>
      <c r="C30" s="99">
        <v>944</v>
      </c>
      <c r="D30" s="99"/>
      <c r="E30" s="466">
        <v>18.07</v>
      </c>
      <c r="F30" s="111"/>
      <c r="G30" s="98">
        <f>ROUND((C30*E30),0)</f>
        <v>17058</v>
      </c>
      <c r="H30" s="98"/>
      <c r="I30" s="471"/>
      <c r="K30" s="111">
        <f>ROUND(E30*(1+C$63)*20,0)/20</f>
        <v>20.399999999999999</v>
      </c>
      <c r="L30" s="111"/>
      <c r="M30" s="98">
        <f>ROUND((C30*K30),0)</f>
        <v>19258</v>
      </c>
      <c r="N30" s="98"/>
      <c r="O30" s="98">
        <f>M30-G30</f>
        <v>2200</v>
      </c>
      <c r="P30" s="98"/>
      <c r="Q30" s="130">
        <f>ROUND(((K30/E30)-1),4)</f>
        <v>0.12889999999999999</v>
      </c>
      <c r="S30" s="103">
        <f>1896/12</f>
        <v>158</v>
      </c>
      <c r="T30" s="467">
        <f t="shared" si="9"/>
        <v>4.5</v>
      </c>
      <c r="U30" s="760">
        <f t="shared" si="10"/>
        <v>20.399999999999999</v>
      </c>
      <c r="V30" s="468"/>
    </row>
    <row r="31" spans="1:22">
      <c r="A31" s="460">
        <v>99</v>
      </c>
      <c r="B31" s="101" t="s">
        <v>458</v>
      </c>
      <c r="C31" s="99">
        <v>109</v>
      </c>
      <c r="D31" s="99"/>
      <c r="E31" s="466">
        <v>12.02</v>
      </c>
      <c r="F31" s="111"/>
      <c r="G31" s="98">
        <f>ROUND((C31*E31),0)</f>
        <v>1310</v>
      </c>
      <c r="H31" s="98"/>
      <c r="I31" s="471"/>
      <c r="K31" s="111">
        <f>ROUND(E31*(1+C$63)*20,0)/20</f>
        <v>13.6</v>
      </c>
      <c r="L31" s="111"/>
      <c r="M31" s="98">
        <f>ROUND((C31*K31),0)</f>
        <v>1482</v>
      </c>
      <c r="N31" s="98"/>
      <c r="O31" s="98">
        <f>M31-G31</f>
        <v>172</v>
      </c>
      <c r="P31" s="98"/>
      <c r="Q31" s="130">
        <f>ROUND(((K31/E31)-1),4)</f>
        <v>0.13139999999999999</v>
      </c>
      <c r="S31" s="472">
        <f>S29</f>
        <v>72</v>
      </c>
      <c r="T31" s="467">
        <f t="shared" si="9"/>
        <v>2.0499999999999998</v>
      </c>
      <c r="U31" s="760">
        <f t="shared" si="10"/>
        <v>13.6</v>
      </c>
      <c r="V31" s="468"/>
    </row>
    <row r="32" spans="1:22">
      <c r="A32" s="460"/>
      <c r="B32" s="101"/>
      <c r="C32" s="100"/>
      <c r="D32" s="100"/>
      <c r="E32" s="466"/>
      <c r="F32" s="111"/>
      <c r="G32" s="98"/>
      <c r="H32" s="98"/>
      <c r="I32" s="111"/>
      <c r="J32" s="111"/>
      <c r="K32" s="111"/>
      <c r="L32" s="111"/>
      <c r="M32" s="98"/>
      <c r="N32" s="98"/>
      <c r="O32" s="98"/>
      <c r="P32" s="98"/>
      <c r="Q32" s="130"/>
    </row>
    <row r="33" spans="1:23" ht="15.75">
      <c r="A33" s="460"/>
      <c r="B33" s="475" t="s">
        <v>980</v>
      </c>
      <c r="C33" s="100"/>
      <c r="D33" s="100"/>
      <c r="E33" s="466"/>
      <c r="F33" s="111"/>
      <c r="G33" s="98"/>
      <c r="H33" s="98"/>
      <c r="I33" s="111"/>
      <c r="J33" s="111"/>
      <c r="K33" s="111"/>
      <c r="L33" s="111"/>
      <c r="M33" s="98"/>
      <c r="N33" s="98"/>
      <c r="O33" s="98"/>
      <c r="P33" s="98"/>
      <c r="Q33" s="130"/>
      <c r="W33" s="103" t="s">
        <v>991</v>
      </c>
    </row>
    <row r="34" spans="1:23">
      <c r="A34" s="460" t="s">
        <v>1031</v>
      </c>
      <c r="B34" s="643" t="s">
        <v>1033</v>
      </c>
      <c r="C34" s="100"/>
      <c r="D34" s="100"/>
      <c r="E34" s="466"/>
      <c r="F34" s="111"/>
      <c r="G34" s="98">
        <f>S34*'OL 2'!$M$2</f>
        <v>1.2739187999999997</v>
      </c>
      <c r="H34" s="98"/>
      <c r="I34" s="111">
        <v>5.3835017112895196</v>
      </c>
      <c r="J34" s="111"/>
      <c r="K34" s="111">
        <f>I34+G34</f>
        <v>6.6574205112895193</v>
      </c>
      <c r="L34" s="111"/>
      <c r="M34" s="98"/>
      <c r="N34" s="98"/>
      <c r="O34" s="98"/>
      <c r="P34" s="98"/>
      <c r="Q34" s="130"/>
      <c r="S34" s="103">
        <v>22.439999999999998</v>
      </c>
      <c r="T34" s="467">
        <f t="shared" ref="T34:T46" si="11">ROUND(S34*T$4,2)</f>
        <v>0.64</v>
      </c>
      <c r="U34" s="760">
        <f>K34</f>
        <v>6.6574205112895193</v>
      </c>
      <c r="V34" s="467"/>
      <c r="W34" s="681"/>
    </row>
    <row r="35" spans="1:23" hidden="1">
      <c r="A35" s="460" t="s">
        <v>1031</v>
      </c>
      <c r="B35" s="643" t="s">
        <v>968</v>
      </c>
      <c r="C35" s="100"/>
      <c r="D35" s="100"/>
      <c r="E35" s="466"/>
      <c r="F35" s="111"/>
      <c r="G35" s="98">
        <f>S35*'OL 2'!$M$2</f>
        <v>1.2739187999999997</v>
      </c>
      <c r="H35" s="98"/>
      <c r="I35" s="111">
        <v>5.3835017112895196</v>
      </c>
      <c r="J35" s="111"/>
      <c r="K35" s="111">
        <f t="shared" ref="K35:K46" si="12">I35+G35</f>
        <v>6.6574205112895193</v>
      </c>
      <c r="L35" s="111"/>
      <c r="M35" s="98"/>
      <c r="N35" s="98"/>
      <c r="O35" s="98"/>
      <c r="P35" s="98"/>
      <c r="Q35" s="130"/>
      <c r="S35" s="103">
        <v>22.439999999999998</v>
      </c>
      <c r="T35" s="467">
        <f t="shared" si="11"/>
        <v>0.64</v>
      </c>
      <c r="U35" s="760">
        <f t="shared" ref="U35:U45" si="13">K35</f>
        <v>6.6574205112895193</v>
      </c>
      <c r="V35" s="467"/>
      <c r="W35" s="681"/>
    </row>
    <row r="36" spans="1:23">
      <c r="A36" s="460" t="s">
        <v>1031</v>
      </c>
      <c r="B36" s="643" t="s">
        <v>1034</v>
      </c>
      <c r="C36" s="100"/>
      <c r="D36" s="100"/>
      <c r="E36" s="466"/>
      <c r="F36" s="111"/>
      <c r="G36" s="98">
        <f>S36*'OL 2'!$M$2</f>
        <v>2.3162159999999994</v>
      </c>
      <c r="H36" s="98"/>
      <c r="I36" s="111">
        <v>6.9441654577541243</v>
      </c>
      <c r="J36" s="111"/>
      <c r="K36" s="111">
        <f t="shared" si="12"/>
        <v>9.2603814577541232</v>
      </c>
      <c r="L36" s="111"/>
      <c r="M36" s="98"/>
      <c r="N36" s="98"/>
      <c r="O36" s="98"/>
      <c r="P36" s="98"/>
      <c r="Q36" s="130"/>
      <c r="S36" s="103">
        <v>40.799999999999997</v>
      </c>
      <c r="T36" s="467">
        <f t="shared" si="11"/>
        <v>1.1599999999999999</v>
      </c>
      <c r="U36" s="760">
        <f t="shared" si="13"/>
        <v>9.2603814577541232</v>
      </c>
      <c r="V36" s="467"/>
      <c r="W36" s="681"/>
    </row>
    <row r="37" spans="1:23" hidden="1">
      <c r="A37" s="460" t="s">
        <v>1031</v>
      </c>
      <c r="B37" s="643" t="s">
        <v>970</v>
      </c>
      <c r="C37" s="100"/>
      <c r="D37" s="100"/>
      <c r="E37" s="466"/>
      <c r="F37" s="111"/>
      <c r="G37" s="98">
        <f>S37*'OL 2'!$M$2</f>
        <v>2.3162159999999994</v>
      </c>
      <c r="H37" s="98"/>
      <c r="I37" s="111">
        <v>6.9441654577541243</v>
      </c>
      <c r="J37" s="111"/>
      <c r="K37" s="111">
        <f t="shared" si="12"/>
        <v>9.2603814577541232</v>
      </c>
      <c r="L37" s="111"/>
      <c r="M37" s="98"/>
      <c r="N37" s="98"/>
      <c r="O37" s="98"/>
      <c r="P37" s="98"/>
      <c r="Q37" s="130"/>
      <c r="S37" s="103">
        <v>40.799999999999997</v>
      </c>
      <c r="T37" s="467">
        <f t="shared" si="11"/>
        <v>1.1599999999999999</v>
      </c>
      <c r="U37" s="760">
        <f t="shared" si="13"/>
        <v>9.2603814577541232</v>
      </c>
      <c r="V37" s="467"/>
      <c r="W37" s="681"/>
    </row>
    <row r="38" spans="1:23">
      <c r="A38" s="460" t="s">
        <v>1031</v>
      </c>
      <c r="B38" s="643" t="s">
        <v>1035</v>
      </c>
      <c r="C38" s="100"/>
      <c r="D38" s="100"/>
      <c r="E38" s="466"/>
      <c r="F38" s="111"/>
      <c r="G38" s="98">
        <f>S38*'OL 2'!$M$2</f>
        <v>4.0533779999999995</v>
      </c>
      <c r="H38" s="98"/>
      <c r="I38" s="111">
        <v>7.6850866303181284</v>
      </c>
      <c r="J38" s="111"/>
      <c r="K38" s="111">
        <f t="shared" si="12"/>
        <v>11.738464630318127</v>
      </c>
      <c r="L38" s="111"/>
      <c r="M38" s="98"/>
      <c r="N38" s="98"/>
      <c r="O38" s="98"/>
      <c r="P38" s="98"/>
      <c r="Q38" s="130"/>
      <c r="S38" s="103">
        <v>71.399999999999991</v>
      </c>
      <c r="T38" s="467">
        <f t="shared" si="11"/>
        <v>2.04</v>
      </c>
      <c r="U38" s="760">
        <f t="shared" si="13"/>
        <v>11.738464630318127</v>
      </c>
      <c r="V38" s="467"/>
      <c r="W38" s="681"/>
    </row>
    <row r="39" spans="1:23" hidden="1">
      <c r="A39" s="460" t="s">
        <v>1031</v>
      </c>
      <c r="B39" s="643" t="s">
        <v>972</v>
      </c>
      <c r="C39" s="100"/>
      <c r="D39" s="100"/>
      <c r="E39" s="466"/>
      <c r="F39" s="111"/>
      <c r="G39" s="98">
        <f>S39*'OL 2'!$M$2</f>
        <v>4.0533779999999995</v>
      </c>
      <c r="H39" s="98"/>
      <c r="I39" s="111">
        <v>7.6850866303181284</v>
      </c>
      <c r="J39" s="111"/>
      <c r="K39" s="111">
        <f t="shared" si="12"/>
        <v>11.738464630318127</v>
      </c>
      <c r="L39" s="111"/>
      <c r="M39" s="98"/>
      <c r="N39" s="98"/>
      <c r="O39" s="98"/>
      <c r="P39" s="98"/>
      <c r="Q39" s="130"/>
      <c r="S39" s="103">
        <v>71.399999999999991</v>
      </c>
      <c r="T39" s="467">
        <f t="shared" si="11"/>
        <v>2.04</v>
      </c>
      <c r="U39" s="760">
        <f t="shared" si="13"/>
        <v>11.738464630318127</v>
      </c>
      <c r="V39" s="467"/>
      <c r="W39" s="681"/>
    </row>
    <row r="40" spans="1:23">
      <c r="A40" s="460" t="s">
        <v>1031</v>
      </c>
      <c r="B40" s="643" t="s">
        <v>1036</v>
      </c>
      <c r="C40" s="100"/>
      <c r="D40" s="100"/>
      <c r="E40" s="466"/>
      <c r="F40" s="111"/>
      <c r="G40" s="98">
        <f>S40*'OL 2'!$M$2</f>
        <v>6.9486479999999986</v>
      </c>
      <c r="H40" s="98"/>
      <c r="I40" s="111">
        <v>11.184756849663003</v>
      </c>
      <c r="J40" s="111"/>
      <c r="K40" s="111">
        <f t="shared" si="12"/>
        <v>18.133404849663002</v>
      </c>
      <c r="L40" s="111"/>
      <c r="M40" s="98"/>
      <c r="N40" s="98"/>
      <c r="O40" s="98"/>
      <c r="P40" s="98"/>
      <c r="Q40" s="130"/>
      <c r="S40" s="103">
        <v>122.39999999999999</v>
      </c>
      <c r="T40" s="467">
        <f t="shared" si="11"/>
        <v>3.49</v>
      </c>
      <c r="U40" s="760">
        <f t="shared" si="13"/>
        <v>18.133404849663002</v>
      </c>
      <c r="V40" s="467"/>
      <c r="W40" s="681"/>
    </row>
    <row r="41" spans="1:23" hidden="1">
      <c r="A41" s="460" t="s">
        <v>1031</v>
      </c>
      <c r="B41" s="643" t="s">
        <v>974</v>
      </c>
      <c r="C41" s="100"/>
      <c r="D41" s="100"/>
      <c r="E41" s="466"/>
      <c r="F41" s="111"/>
      <c r="G41" s="98">
        <f>S41*'OL 2'!$M$2</f>
        <v>6.9486479999999986</v>
      </c>
      <c r="H41" s="98"/>
      <c r="I41" s="111">
        <v>11.184756849663003</v>
      </c>
      <c r="J41" s="111"/>
      <c r="K41" s="111">
        <f t="shared" si="12"/>
        <v>18.133404849663002</v>
      </c>
      <c r="L41" s="111"/>
      <c r="M41" s="98"/>
      <c r="N41" s="98"/>
      <c r="O41" s="98"/>
      <c r="P41" s="98"/>
      <c r="Q41" s="130"/>
      <c r="S41" s="103">
        <v>122.39999999999999</v>
      </c>
      <c r="T41" s="467">
        <f t="shared" si="11"/>
        <v>3.49</v>
      </c>
      <c r="U41" s="760">
        <f t="shared" si="13"/>
        <v>18.133404849663002</v>
      </c>
      <c r="V41" s="467"/>
      <c r="W41" s="681"/>
    </row>
    <row r="42" spans="1:23">
      <c r="A42" s="460" t="s">
        <v>1031</v>
      </c>
      <c r="B42" s="643" t="s">
        <v>1032</v>
      </c>
      <c r="C42" s="100"/>
      <c r="D42" s="100"/>
      <c r="E42" s="466"/>
      <c r="F42" s="111"/>
      <c r="G42" s="98">
        <f>S42*'OL 2'!$M$2</f>
        <v>1.5055403999999999</v>
      </c>
      <c r="H42" s="98"/>
      <c r="I42" s="111">
        <v>17.584739352589271</v>
      </c>
      <c r="J42" s="111"/>
      <c r="K42" s="111">
        <f t="shared" si="12"/>
        <v>19.090279752589272</v>
      </c>
      <c r="L42" s="111"/>
      <c r="M42" s="98"/>
      <c r="N42" s="98"/>
      <c r="O42" s="98"/>
      <c r="P42" s="98"/>
      <c r="Q42" s="130"/>
      <c r="S42" s="103">
        <v>26.52</v>
      </c>
      <c r="T42" s="467">
        <f t="shared" si="11"/>
        <v>0.76</v>
      </c>
      <c r="U42" s="760">
        <f t="shared" si="13"/>
        <v>19.090279752589272</v>
      </c>
      <c r="V42" s="467"/>
      <c r="W42" s="681"/>
    </row>
    <row r="43" spans="1:23">
      <c r="A43" s="460" t="s">
        <v>1031</v>
      </c>
      <c r="B43" s="643" t="s">
        <v>1037</v>
      </c>
      <c r="C43" s="100"/>
      <c r="D43" s="100"/>
      <c r="E43" s="466"/>
      <c r="F43" s="111"/>
      <c r="G43" s="98">
        <f>S43*'OL 2'!$M$2</f>
        <v>4.0533779999999995</v>
      </c>
      <c r="H43" s="98"/>
      <c r="I43" s="111">
        <v>20.813106308533573</v>
      </c>
      <c r="J43" s="111"/>
      <c r="K43" s="111">
        <f t="shared" si="12"/>
        <v>24.866484308533572</v>
      </c>
      <c r="L43" s="111"/>
      <c r="M43" s="98"/>
      <c r="N43" s="98"/>
      <c r="O43" s="98"/>
      <c r="P43" s="98"/>
      <c r="Q43" s="130"/>
      <c r="S43" s="103">
        <v>71.399999999999991</v>
      </c>
      <c r="T43" s="467">
        <f t="shared" si="11"/>
        <v>2.04</v>
      </c>
      <c r="U43" s="760">
        <f t="shared" si="13"/>
        <v>24.866484308533572</v>
      </c>
      <c r="V43" s="467"/>
      <c r="W43" s="681"/>
    </row>
    <row r="44" spans="1:23" hidden="1">
      <c r="A44" s="460" t="s">
        <v>1031</v>
      </c>
      <c r="B44" s="643" t="s">
        <v>977</v>
      </c>
      <c r="C44" s="100"/>
      <c r="D44" s="100"/>
      <c r="E44" s="466"/>
      <c r="F44" s="111"/>
      <c r="G44" s="98">
        <f>S44*'OL 2'!$M$2</f>
        <v>4.0533779999999995</v>
      </c>
      <c r="H44" s="98"/>
      <c r="I44" s="111">
        <v>20.813106308533573</v>
      </c>
      <c r="J44" s="111"/>
      <c r="K44" s="111">
        <f t="shared" si="12"/>
        <v>24.866484308533572</v>
      </c>
      <c r="L44" s="111"/>
      <c r="M44" s="98"/>
      <c r="N44" s="98"/>
      <c r="O44" s="98"/>
      <c r="P44" s="98"/>
      <c r="Q44" s="130"/>
      <c r="S44" s="103">
        <v>71.399999999999991</v>
      </c>
      <c r="T44" s="467">
        <f t="shared" si="11"/>
        <v>2.04</v>
      </c>
      <c r="U44" s="760">
        <f t="shared" si="13"/>
        <v>24.866484308533572</v>
      </c>
      <c r="V44" s="467"/>
      <c r="W44" s="681"/>
    </row>
    <row r="45" spans="1:23">
      <c r="A45" s="460" t="s">
        <v>1031</v>
      </c>
      <c r="B45" s="643" t="s">
        <v>1038</v>
      </c>
      <c r="C45" s="100"/>
      <c r="D45" s="100"/>
      <c r="E45" s="466"/>
      <c r="F45" s="111"/>
      <c r="G45" s="98">
        <f>S45*'OL 2'!$M$2</f>
        <v>6.1379723999999989</v>
      </c>
      <c r="H45" s="98"/>
      <c r="I45" s="111">
        <v>24.438890770017004</v>
      </c>
      <c r="J45" s="111"/>
      <c r="K45" s="111">
        <f t="shared" si="12"/>
        <v>30.576863170017003</v>
      </c>
      <c r="L45" s="111"/>
      <c r="M45" s="98"/>
      <c r="N45" s="98"/>
      <c r="O45" s="98"/>
      <c r="P45" s="98"/>
      <c r="Q45" s="130"/>
      <c r="S45" s="103">
        <v>108.11999999999999</v>
      </c>
      <c r="T45" s="467">
        <f t="shared" si="11"/>
        <v>3.08</v>
      </c>
      <c r="U45" s="760">
        <f t="shared" si="13"/>
        <v>30.576863170017003</v>
      </c>
      <c r="V45" s="467"/>
      <c r="W45" s="681"/>
    </row>
    <row r="46" spans="1:23" hidden="1">
      <c r="A46" s="460" t="s">
        <v>1031</v>
      </c>
      <c r="B46" s="643" t="s">
        <v>979</v>
      </c>
      <c r="C46" s="100"/>
      <c r="D46" s="100"/>
      <c r="E46" s="466"/>
      <c r="F46" s="111"/>
      <c r="G46" s="98">
        <f>S46*'OL 2'!$M$2</f>
        <v>6.1379723999999989</v>
      </c>
      <c r="H46" s="98"/>
      <c r="I46" s="111">
        <v>24.438890770017004</v>
      </c>
      <c r="J46" s="111"/>
      <c r="K46" s="111">
        <f t="shared" si="12"/>
        <v>30.576863170017003</v>
      </c>
      <c r="L46" s="111"/>
      <c r="M46" s="98"/>
      <c r="N46" s="98"/>
      <c r="O46" s="98"/>
      <c r="P46" s="98"/>
      <c r="Q46" s="130"/>
      <c r="S46" s="103">
        <v>108.11999999999999</v>
      </c>
      <c r="T46" s="467">
        <f t="shared" si="11"/>
        <v>3.08</v>
      </c>
      <c r="U46" s="760">
        <f>K46</f>
        <v>30.576863170017003</v>
      </c>
      <c r="V46" s="467"/>
      <c r="W46" s="681"/>
    </row>
    <row r="47" spans="1:23">
      <c r="A47" s="460"/>
      <c r="B47" s="101"/>
      <c r="C47" s="100"/>
      <c r="D47" s="100"/>
      <c r="E47" s="466"/>
      <c r="F47" s="111"/>
      <c r="G47" s="98"/>
      <c r="H47" s="98"/>
      <c r="I47" s="111"/>
      <c r="J47" s="111"/>
      <c r="K47" s="111"/>
      <c r="L47" s="111"/>
      <c r="M47" s="98"/>
      <c r="N47" s="98"/>
      <c r="O47" s="98"/>
      <c r="P47" s="98"/>
      <c r="Q47" s="130"/>
    </row>
    <row r="48" spans="1:23">
      <c r="A48" s="460"/>
      <c r="B48" s="473" t="s">
        <v>457</v>
      </c>
      <c r="C48" s="100"/>
      <c r="D48" s="100"/>
      <c r="E48" s="466"/>
      <c r="F48" s="111"/>
      <c r="G48" s="98"/>
      <c r="H48" s="98"/>
      <c r="I48" s="111"/>
      <c r="J48" s="111"/>
      <c r="K48" s="111"/>
      <c r="L48" s="111"/>
      <c r="M48" s="98"/>
      <c r="N48" s="98"/>
      <c r="O48" s="98"/>
      <c r="P48" s="98"/>
      <c r="Q48" s="130"/>
    </row>
    <row r="49" spans="1:23">
      <c r="A49" s="460"/>
      <c r="B49" s="473" t="s">
        <v>456</v>
      </c>
      <c r="C49" s="474">
        <v>50824.068426641687</v>
      </c>
      <c r="D49" s="99"/>
      <c r="E49" s="466">
        <v>3.1</v>
      </c>
      <c r="F49" s="111"/>
      <c r="G49" s="98">
        <f>C49*E49</f>
        <v>157554.61212258923</v>
      </c>
      <c r="H49" s="98"/>
      <c r="I49" s="111">
        <v>10.024999999999999</v>
      </c>
      <c r="J49" s="111"/>
      <c r="K49" s="111">
        <f>ROUND(IF(I49*$C$66&gt;(1+$C$64)*E49,(1+$C$64)*E49,MAX(I49*$C$66,E49))*20,0)/20</f>
        <v>3.7</v>
      </c>
      <c r="L49" s="111"/>
      <c r="M49" s="98">
        <f>ROUND((C49*K49),0)</f>
        <v>188049</v>
      </c>
      <c r="N49" s="98"/>
      <c r="O49" s="98">
        <f>M49-G49</f>
        <v>30494.387877410772</v>
      </c>
      <c r="P49" s="98"/>
      <c r="Q49" s="130">
        <f>ROUND(((K49/E49)-1),4)</f>
        <v>0.19350000000000001</v>
      </c>
    </row>
    <row r="50" spans="1:23">
      <c r="A50" s="460"/>
      <c r="B50" s="473" t="s">
        <v>455</v>
      </c>
      <c r="C50" s="474">
        <v>54442.462042133673</v>
      </c>
      <c r="D50" s="99"/>
      <c r="E50" s="466">
        <v>1.8</v>
      </c>
      <c r="F50" s="111"/>
      <c r="G50" s="98">
        <f>C50*E50</f>
        <v>97996.43167584062</v>
      </c>
      <c r="H50" s="98"/>
      <c r="I50" s="111">
        <v>2.15</v>
      </c>
      <c r="J50" s="111"/>
      <c r="K50" s="111">
        <f>ROUND(IF(I50*$C$66&gt;(1+$C$64)*E50,(1+$C$64)*E50,MAX(I50*$C$66,E50))*20,0)/20</f>
        <v>2</v>
      </c>
      <c r="L50" s="111"/>
      <c r="M50" s="98">
        <f>ROUND((C50*K50),0)</f>
        <v>108885</v>
      </c>
      <c r="N50" s="98"/>
      <c r="O50" s="98">
        <f>M50-G50</f>
        <v>10888.56832415938</v>
      </c>
      <c r="P50" s="98"/>
      <c r="Q50" s="130">
        <f>ROUND(((K50/E50)-1),4)</f>
        <v>0.1111</v>
      </c>
    </row>
    <row r="51" spans="1:23">
      <c r="A51" s="460"/>
      <c r="B51" s="473" t="s">
        <v>454</v>
      </c>
      <c r="C51" s="474">
        <v>574.47484082783433</v>
      </c>
      <c r="D51" s="99"/>
      <c r="E51" s="466">
        <v>6.75</v>
      </c>
      <c r="F51" s="111"/>
      <c r="G51" s="98">
        <f>C51*E51</f>
        <v>3877.7051755878815</v>
      </c>
      <c r="H51" s="98"/>
      <c r="I51" s="111">
        <v>7.51</v>
      </c>
      <c r="J51" s="111"/>
      <c r="K51" s="111">
        <f>ROUND(IF(I51*$C$66&gt;(1+$C$64)*E51,(1+$C$64)*E51,MAX(I51*$C$66,E51))*20,0)/20</f>
        <v>6.95</v>
      </c>
      <c r="L51" s="111"/>
      <c r="M51" s="98">
        <f>ROUND((C51*K51),0)</f>
        <v>3993</v>
      </c>
      <c r="N51" s="98"/>
      <c r="O51" s="98">
        <f>M51-G51</f>
        <v>115.29482441211849</v>
      </c>
      <c r="P51" s="98"/>
      <c r="Q51" s="130">
        <f>ROUND(((K51/E51)-1),4)</f>
        <v>2.9600000000000001E-2</v>
      </c>
    </row>
    <row r="52" spans="1:23">
      <c r="A52" s="460"/>
      <c r="B52" s="101"/>
      <c r="C52" s="100"/>
      <c r="D52" s="100"/>
      <c r="E52" s="111"/>
      <c r="F52" s="111"/>
      <c r="G52" s="98"/>
      <c r="H52" s="98"/>
      <c r="I52" s="111"/>
      <c r="J52" s="111"/>
      <c r="K52" s="111"/>
      <c r="L52" s="111"/>
      <c r="M52" s="98"/>
      <c r="N52" s="98"/>
      <c r="O52" s="98"/>
      <c r="P52" s="98"/>
      <c r="Q52" s="130"/>
    </row>
    <row r="53" spans="1:23" ht="15.75" thickBot="1">
      <c r="A53" s="460"/>
      <c r="B53" s="101"/>
      <c r="C53" s="100"/>
      <c r="D53" s="100"/>
      <c r="E53" s="111"/>
      <c r="F53" s="111"/>
      <c r="G53" s="98"/>
      <c r="H53" s="98"/>
      <c r="I53" s="111"/>
      <c r="J53" s="111"/>
      <c r="K53" s="111"/>
      <c r="L53" s="111"/>
      <c r="M53" s="98"/>
      <c r="N53" s="98"/>
      <c r="O53" s="98"/>
      <c r="P53" s="98"/>
      <c r="Q53" s="130"/>
    </row>
    <row r="54" spans="1:23" ht="12.75" customHeight="1" thickTop="1">
      <c r="A54" s="460"/>
      <c r="B54" s="475"/>
      <c r="C54" s="100"/>
      <c r="D54" s="100"/>
      <c r="E54" s="111"/>
      <c r="F54" s="111"/>
      <c r="G54" s="476"/>
      <c r="I54" s="111"/>
      <c r="J54" s="111"/>
      <c r="K54" s="111"/>
      <c r="L54" s="111"/>
      <c r="M54" s="476"/>
      <c r="N54" s="476"/>
      <c r="O54" s="476"/>
      <c r="Q54" s="130"/>
    </row>
    <row r="55" spans="1:23">
      <c r="A55" s="460"/>
      <c r="B55" s="101" t="s">
        <v>453</v>
      </c>
      <c r="C55" s="100"/>
      <c r="D55" s="100"/>
      <c r="E55" s="111"/>
      <c r="F55" s="111"/>
      <c r="G55" s="98">
        <f>SUMPRODUCT(E7:E51,C7:C51)</f>
        <v>7599139.2200986808</v>
      </c>
      <c r="I55" s="111"/>
      <c r="J55" s="111"/>
      <c r="K55" s="98"/>
      <c r="L55" s="111"/>
      <c r="M55" s="98">
        <f>SUM(M7:M51)</f>
        <v>7836288</v>
      </c>
      <c r="N55" s="98"/>
      <c r="O55" s="98">
        <f>SUM(O7:O51)</f>
        <v>237573.25102598229</v>
      </c>
      <c r="Q55" s="130"/>
      <c r="V55" s="468"/>
    </row>
    <row r="56" spans="1:23" ht="15.75" thickBot="1">
      <c r="A56" s="460"/>
      <c r="B56" s="101" t="s">
        <v>801</v>
      </c>
      <c r="C56" s="100"/>
      <c r="D56" s="100"/>
      <c r="E56" s="111"/>
      <c r="F56" s="111"/>
      <c r="J56" s="111"/>
      <c r="K56" s="111"/>
      <c r="L56" s="111"/>
      <c r="M56" s="477">
        <v>1133292.6604599999</v>
      </c>
      <c r="N56" s="98"/>
      <c r="O56" s="98"/>
      <c r="Q56" s="130"/>
      <c r="V56" s="468"/>
    </row>
    <row r="57" spans="1:23" ht="15.75" thickTop="1">
      <c r="A57" s="460"/>
      <c r="B57" s="101" t="s">
        <v>9</v>
      </c>
      <c r="C57" s="100"/>
      <c r="D57" s="100"/>
      <c r="E57" s="111"/>
      <c r="F57" s="111"/>
      <c r="I57" s="111"/>
      <c r="J57" s="111"/>
      <c r="K57" s="111"/>
      <c r="L57" s="111"/>
      <c r="M57" s="476">
        <f>SUM(M55:M56)</f>
        <v>8969580.660459999</v>
      </c>
      <c r="N57" s="98"/>
      <c r="O57" s="98"/>
      <c r="P57" s="98"/>
      <c r="Q57" s="130"/>
      <c r="V57" s="468"/>
    </row>
    <row r="58" spans="1:23">
      <c r="A58" s="460"/>
      <c r="C58" s="100"/>
      <c r="D58" s="100"/>
      <c r="E58" s="111"/>
      <c r="F58" s="111"/>
      <c r="G58" s="98"/>
      <c r="I58" s="111"/>
      <c r="J58" s="111"/>
      <c r="K58" s="478"/>
      <c r="L58" s="111"/>
      <c r="M58" s="98"/>
      <c r="N58" s="98"/>
      <c r="O58" s="98"/>
      <c r="P58" s="98"/>
      <c r="Q58" s="130"/>
      <c r="V58" s="468"/>
      <c r="W58" s="103" t="s">
        <v>804</v>
      </c>
    </row>
    <row r="59" spans="1:23">
      <c r="A59" s="460"/>
      <c r="B59" s="101" t="s">
        <v>452</v>
      </c>
      <c r="M59" s="477">
        <f>'EX AEV-1'!W26</f>
        <v>8967518.7723111194</v>
      </c>
      <c r="N59" s="98"/>
      <c r="O59" s="98"/>
      <c r="P59" s="98"/>
      <c r="Q59" s="130"/>
    </row>
    <row r="60" spans="1:23">
      <c r="A60" s="460"/>
      <c r="B60" s="101" t="s">
        <v>72</v>
      </c>
      <c r="C60" s="479"/>
      <c r="D60" s="479"/>
      <c r="E60" s="111"/>
      <c r="F60" s="111"/>
      <c r="G60" s="98"/>
      <c r="H60" s="98"/>
      <c r="I60" s="111"/>
      <c r="J60" s="111"/>
      <c r="K60" s="111"/>
      <c r="L60" s="111"/>
      <c r="M60" s="98"/>
      <c r="N60" s="98"/>
      <c r="O60" s="98"/>
      <c r="P60" s="98"/>
      <c r="Q60" s="130"/>
    </row>
    <row r="61" spans="1:23">
      <c r="A61" s="460"/>
      <c r="B61" s="101" t="s">
        <v>42</v>
      </c>
      <c r="C61" s="100"/>
      <c r="D61" s="100"/>
      <c r="E61" s="111"/>
      <c r="F61" s="111"/>
      <c r="G61" s="98"/>
      <c r="H61" s="98"/>
      <c r="I61" s="111"/>
      <c r="J61" s="111"/>
      <c r="K61" s="111"/>
      <c r="L61" s="111"/>
      <c r="M61" s="98">
        <f>M57-M59</f>
        <v>2061.8881488796324</v>
      </c>
      <c r="N61" s="98"/>
      <c r="O61" s="98"/>
      <c r="P61" s="98"/>
      <c r="Q61" s="130"/>
    </row>
    <row r="62" spans="1:23">
      <c r="A62" s="460"/>
      <c r="B62" s="101"/>
      <c r="C62" s="100"/>
      <c r="D62" s="100"/>
      <c r="E62" s="111"/>
      <c r="F62" s="111"/>
      <c r="G62" s="98"/>
      <c r="H62" s="98"/>
      <c r="I62" s="111"/>
      <c r="J62" s="111"/>
      <c r="K62" s="111"/>
      <c r="L62" s="111"/>
      <c r="M62" s="98"/>
      <c r="N62" s="98"/>
      <c r="O62" s="98"/>
      <c r="P62" s="98"/>
      <c r="Q62" s="130"/>
    </row>
    <row r="63" spans="1:23">
      <c r="A63" s="460"/>
      <c r="B63" s="101" t="s">
        <v>837</v>
      </c>
      <c r="C63" s="480">
        <v>0.12989999999999999</v>
      </c>
      <c r="D63" s="100"/>
      <c r="E63" s="111"/>
      <c r="F63" s="111"/>
      <c r="G63" s="98"/>
      <c r="H63" s="98"/>
      <c r="I63" s="111"/>
      <c r="J63" s="111"/>
      <c r="K63" s="111"/>
      <c r="L63" s="111"/>
      <c r="M63" s="98"/>
      <c r="N63" s="98"/>
      <c r="O63" s="98"/>
      <c r="P63" s="98"/>
      <c r="Q63" s="130"/>
    </row>
    <row r="64" spans="1:23">
      <c r="A64" s="460"/>
      <c r="B64" s="103" t="s">
        <v>839</v>
      </c>
      <c r="C64" s="481">
        <f>C63*1.5</f>
        <v>0.19484999999999997</v>
      </c>
      <c r="D64" s="100"/>
      <c r="E64" s="249"/>
      <c r="F64" s="111"/>
      <c r="G64" s="98"/>
      <c r="H64" s="98"/>
      <c r="I64" s="111"/>
      <c r="J64" s="111"/>
      <c r="K64" s="111"/>
      <c r="L64" s="111"/>
      <c r="M64" s="98"/>
      <c r="N64" s="98"/>
      <c r="O64" s="98"/>
      <c r="P64" s="98"/>
      <c r="Q64" s="130"/>
    </row>
    <row r="65" spans="1:17">
      <c r="A65" s="460"/>
      <c r="C65" s="100"/>
      <c r="D65" s="100"/>
      <c r="E65" s="111"/>
      <c r="F65" s="111"/>
      <c r="G65" s="98"/>
      <c r="H65" s="98"/>
      <c r="I65" s="111"/>
      <c r="J65" s="111"/>
      <c r="K65" s="111"/>
      <c r="L65" s="111"/>
      <c r="M65" s="111"/>
      <c r="N65" s="98"/>
      <c r="O65" s="98"/>
      <c r="P65" s="98"/>
      <c r="Q65" s="130"/>
    </row>
    <row r="66" spans="1:17">
      <c r="A66" s="460"/>
      <c r="B66" s="101" t="s">
        <v>451</v>
      </c>
      <c r="C66" s="482">
        <v>0.92500000000000004</v>
      </c>
      <c r="D66" s="483"/>
      <c r="E66" s="111"/>
      <c r="F66" s="111"/>
      <c r="G66" s="98"/>
      <c r="H66" s="98"/>
      <c r="I66" s="111"/>
      <c r="J66" s="111"/>
      <c r="K66" s="111"/>
      <c r="L66" s="111"/>
      <c r="M66" s="98" t="s">
        <v>72</v>
      </c>
      <c r="N66" s="98"/>
      <c r="O66" s="98"/>
      <c r="P66" s="98"/>
      <c r="Q66" s="130"/>
    </row>
    <row r="67" spans="1:17">
      <c r="A67" s="460"/>
      <c r="C67" s="483"/>
      <c r="D67" s="483"/>
      <c r="E67" s="111"/>
      <c r="F67" s="111"/>
      <c r="G67" s="98"/>
      <c r="H67" s="98"/>
      <c r="I67" s="111"/>
      <c r="J67" s="111"/>
      <c r="K67" s="111"/>
      <c r="L67" s="111"/>
      <c r="M67" s="98"/>
      <c r="N67" s="98"/>
      <c r="O67" s="98"/>
      <c r="P67" s="98"/>
      <c r="Q67" s="130"/>
    </row>
    <row r="68" spans="1:17">
      <c r="A68" s="460"/>
      <c r="B68" s="101"/>
      <c r="C68" s="100"/>
      <c r="D68" s="100"/>
      <c r="E68" s="111"/>
      <c r="F68" s="111"/>
      <c r="G68" s="454"/>
      <c r="H68" s="454"/>
      <c r="I68" s="111"/>
      <c r="J68" s="111"/>
      <c r="K68" s="111"/>
      <c r="L68" s="111"/>
      <c r="M68" s="98"/>
      <c r="N68" s="98"/>
      <c r="O68" s="98"/>
      <c r="P68" s="98"/>
      <c r="Q68" s="130"/>
    </row>
    <row r="69" spans="1:17">
      <c r="A69" s="460"/>
      <c r="C69" s="100"/>
      <c r="D69" s="100"/>
      <c r="E69" s="111"/>
      <c r="F69" s="111"/>
      <c r="G69" s="98"/>
      <c r="H69" s="98"/>
      <c r="I69" s="111"/>
      <c r="J69" s="111"/>
      <c r="K69" s="111"/>
      <c r="L69" s="111"/>
      <c r="M69" s="98"/>
      <c r="N69" s="98"/>
      <c r="O69" s="98"/>
      <c r="P69" s="98"/>
      <c r="Q69" s="130"/>
    </row>
    <row r="70" spans="1:17">
      <c r="B70" s="103" t="s">
        <v>72</v>
      </c>
      <c r="C70" s="100"/>
      <c r="D70" s="100"/>
      <c r="E70" s="111"/>
      <c r="F70" s="111"/>
      <c r="G70" s="98"/>
      <c r="H70" s="98"/>
      <c r="I70" s="111"/>
      <c r="J70" s="111"/>
      <c r="K70" s="111"/>
      <c r="L70" s="111"/>
      <c r="M70" s="98"/>
      <c r="N70" s="98"/>
      <c r="O70" s="98"/>
      <c r="P70" s="98"/>
      <c r="Q70" s="130"/>
    </row>
    <row r="71" spans="1:17">
      <c r="C71" s="100"/>
      <c r="D71" s="100"/>
      <c r="E71" s="111"/>
      <c r="F71" s="111"/>
      <c r="G71" s="98"/>
      <c r="H71" s="98"/>
      <c r="I71" s="111"/>
      <c r="J71" s="111"/>
      <c r="K71" s="111"/>
      <c r="L71" s="111"/>
      <c r="M71" s="98"/>
      <c r="N71" s="98"/>
      <c r="O71" s="98"/>
      <c r="P71" s="98"/>
      <c r="Q71" s="130"/>
    </row>
    <row r="72" spans="1:17">
      <c r="C72" s="100"/>
      <c r="D72" s="100"/>
      <c r="E72" s="111"/>
      <c r="F72" s="111"/>
      <c r="G72" s="98"/>
      <c r="H72" s="98"/>
      <c r="I72" s="111"/>
      <c r="J72" s="111"/>
      <c r="K72" s="111"/>
      <c r="L72" s="111"/>
      <c r="M72" s="98"/>
      <c r="N72" s="98"/>
      <c r="O72" s="98"/>
      <c r="P72" s="98"/>
      <c r="Q72" s="130"/>
    </row>
    <row r="73" spans="1:17">
      <c r="C73" s="100"/>
      <c r="D73" s="100"/>
      <c r="E73" s="111"/>
      <c r="F73" s="111"/>
      <c r="G73" s="98"/>
      <c r="H73" s="98"/>
      <c r="I73" s="111"/>
      <c r="J73" s="111"/>
      <c r="K73" s="111"/>
      <c r="L73" s="111"/>
      <c r="M73" s="98"/>
      <c r="N73" s="98"/>
      <c r="O73" s="98"/>
      <c r="P73" s="98"/>
      <c r="Q73" s="130"/>
    </row>
    <row r="74" spans="1:17">
      <c r="C74" s="100"/>
      <c r="D74" s="100"/>
      <c r="E74" s="111"/>
      <c r="F74" s="111"/>
      <c r="G74" s="98"/>
      <c r="H74" s="98"/>
      <c r="I74" s="111"/>
      <c r="J74" s="111"/>
      <c r="K74" s="111"/>
      <c r="L74" s="111"/>
      <c r="M74" s="98"/>
      <c r="N74" s="98"/>
      <c r="O74" s="98"/>
      <c r="P74" s="98"/>
      <c r="Q74" s="130"/>
    </row>
    <row r="75" spans="1:17">
      <c r="C75" s="100"/>
      <c r="D75" s="100"/>
      <c r="E75" s="111"/>
      <c r="F75" s="111"/>
      <c r="G75" s="98"/>
      <c r="H75" s="98"/>
      <c r="I75" s="111"/>
      <c r="J75" s="111"/>
      <c r="K75" s="111"/>
      <c r="L75" s="111"/>
      <c r="M75" s="98"/>
      <c r="N75" s="98"/>
      <c r="O75" s="98"/>
      <c r="P75" s="98"/>
      <c r="Q75" s="130"/>
    </row>
    <row r="76" spans="1:17">
      <c r="C76" s="100"/>
      <c r="D76" s="100"/>
      <c r="E76" s="111"/>
      <c r="F76" s="111"/>
      <c r="G76" s="98"/>
      <c r="H76" s="98"/>
      <c r="I76" s="111"/>
      <c r="J76" s="111"/>
      <c r="K76" s="111"/>
      <c r="L76" s="111"/>
      <c r="M76" s="98"/>
      <c r="N76" s="98"/>
      <c r="O76" s="98"/>
      <c r="P76" s="98"/>
      <c r="Q76" s="130"/>
    </row>
    <row r="77" spans="1:17">
      <c r="C77" s="100"/>
      <c r="D77" s="100"/>
      <c r="E77" s="111"/>
      <c r="F77" s="111"/>
      <c r="G77" s="98"/>
      <c r="H77" s="98"/>
      <c r="I77" s="111"/>
      <c r="J77" s="111"/>
      <c r="K77" s="111"/>
      <c r="L77" s="111"/>
      <c r="M77" s="98"/>
      <c r="N77" s="98"/>
      <c r="O77" s="98"/>
      <c r="P77" s="98"/>
      <c r="Q77" s="130"/>
    </row>
  </sheetData>
  <printOptions horizontalCentered="1"/>
  <pageMargins left="0.5" right="0.5" top="1.25" bottom="0.5" header="0.5" footer="0.5"/>
  <pageSetup fitToHeight="2" orientation="landscape" r:id="rId1"/>
  <headerFooter alignWithMargins="0">
    <oddHeader>&amp;L&amp;F
Page &amp;P of &amp;N&amp;CKentucky Power Company 
OL Rate Design
Twelve Months Ended March 31, 2013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49"/>
  <sheetViews>
    <sheetView showOutlineSymbols="0" topLeftCell="A10" zoomScale="70" zoomScaleNormal="70" workbookViewId="0">
      <selection activeCell="K46" sqref="A43:K46"/>
    </sheetView>
  </sheetViews>
  <sheetFormatPr defaultColWidth="23.375" defaultRowHeight="15"/>
  <cols>
    <col min="1" max="1" width="23.375" style="103" customWidth="1"/>
    <col min="2" max="2" width="2" style="103" customWidth="1"/>
    <col min="3" max="3" width="10.125" style="103" bestFit="1" customWidth="1"/>
    <col min="4" max="4" width="2" style="103" customWidth="1"/>
    <col min="5" max="5" width="13.625" style="103" bestFit="1" customWidth="1"/>
    <col min="6" max="6" width="2" style="103" customWidth="1"/>
    <col min="7" max="7" width="12.625" style="103" customWidth="1"/>
    <col min="8" max="8" width="2" style="103" customWidth="1"/>
    <col min="9" max="9" width="7.25" style="103" bestFit="1" customWidth="1"/>
    <col min="10" max="10" width="2" style="103" customWidth="1"/>
    <col min="11" max="11" width="14.375" style="103" customWidth="1"/>
    <col min="12" max="12" width="2" style="103" customWidth="1"/>
    <col min="13" max="13" width="14.875" style="103" customWidth="1"/>
    <col min="14" max="14" width="2" style="103" customWidth="1"/>
    <col min="15" max="15" width="12.625" style="103" bestFit="1" customWidth="1"/>
    <col min="16" max="16" width="2" style="103" customWidth="1"/>
    <col min="17" max="17" width="11.875" style="103" bestFit="1" customWidth="1"/>
    <col min="18" max="16384" width="23.375" style="103"/>
  </cols>
  <sheetData>
    <row r="1" spans="1:17">
      <c r="A1" s="103" t="s">
        <v>1041</v>
      </c>
      <c r="C1" s="455" t="s">
        <v>523</v>
      </c>
      <c r="E1" s="455" t="s">
        <v>518</v>
      </c>
      <c r="G1" s="455" t="s">
        <v>490</v>
      </c>
      <c r="M1" s="455" t="s">
        <v>988</v>
      </c>
      <c r="O1" s="455" t="s">
        <v>523</v>
      </c>
      <c r="Q1" s="455" t="s">
        <v>522</v>
      </c>
    </row>
    <row r="2" spans="1:17">
      <c r="A2" s="455" t="s">
        <v>494</v>
      </c>
      <c r="C2" s="455" t="s">
        <v>521</v>
      </c>
      <c r="E2" s="455" t="s">
        <v>520</v>
      </c>
      <c r="G2" s="455" t="s">
        <v>516</v>
      </c>
      <c r="I2" s="457" t="s">
        <v>519</v>
      </c>
      <c r="J2" s="457"/>
      <c r="K2" s="457"/>
      <c r="M2" s="484">
        <f>O49-0.02851</f>
        <v>5.6769999999999994E-2</v>
      </c>
      <c r="O2" s="455" t="s">
        <v>518</v>
      </c>
      <c r="Q2" s="455" t="s">
        <v>387</v>
      </c>
    </row>
    <row r="3" spans="1:17">
      <c r="A3" s="464" t="s">
        <v>488</v>
      </c>
      <c r="B3" s="485"/>
      <c r="C3" s="464" t="s">
        <v>387</v>
      </c>
      <c r="D3" s="485"/>
      <c r="E3" s="464" t="s">
        <v>387</v>
      </c>
      <c r="F3" s="485"/>
      <c r="G3" s="464" t="s">
        <v>387</v>
      </c>
      <c r="H3" s="485"/>
      <c r="I3" s="486" t="s">
        <v>490</v>
      </c>
      <c r="J3" s="487"/>
      <c r="K3" s="486" t="s">
        <v>518</v>
      </c>
      <c r="L3" s="485"/>
      <c r="M3" s="464" t="s">
        <v>517</v>
      </c>
      <c r="N3" s="485"/>
      <c r="O3" s="464" t="s">
        <v>516</v>
      </c>
      <c r="P3" s="485"/>
      <c r="Q3" s="464" t="s">
        <v>515</v>
      </c>
    </row>
    <row r="4" spans="1:17">
      <c r="A4" s="459" t="s">
        <v>118</v>
      </c>
      <c r="C4" s="459" t="s">
        <v>119</v>
      </c>
      <c r="E4" s="455" t="s">
        <v>514</v>
      </c>
      <c r="G4" s="459" t="s">
        <v>134</v>
      </c>
      <c r="I4" s="459" t="s">
        <v>128</v>
      </c>
      <c r="K4" s="459" t="s">
        <v>483</v>
      </c>
      <c r="M4" s="455" t="s">
        <v>513</v>
      </c>
      <c r="O4" s="459" t="s">
        <v>481</v>
      </c>
      <c r="Q4" s="455" t="s">
        <v>512</v>
      </c>
    </row>
    <row r="5" spans="1:17">
      <c r="E5" s="101"/>
      <c r="M5" s="455"/>
      <c r="Q5" s="455"/>
    </row>
    <row r="6" spans="1:17" ht="15.75">
      <c r="A6" s="102" t="s">
        <v>511</v>
      </c>
      <c r="C6" s="111"/>
    </row>
    <row r="7" spans="1:17">
      <c r="O7" s="111"/>
    </row>
    <row r="8" spans="1:17">
      <c r="A8" s="101" t="s">
        <v>477</v>
      </c>
      <c r="C8" s="488">
        <v>283.12</v>
      </c>
      <c r="E8" s="111">
        <f>ROUND(C8*$C45,2)</f>
        <v>4.05</v>
      </c>
      <c r="G8" s="488">
        <f>ROUND((80.07+69.96)*2/10,2)</f>
        <v>30.01</v>
      </c>
      <c r="I8" s="100">
        <v>484</v>
      </c>
      <c r="K8" s="489">
        <f>ROUND(I8/12,1)</f>
        <v>40.299999999999997</v>
      </c>
      <c r="M8" s="111">
        <f>ROUND(K8*$O$49,2)</f>
        <v>3.44</v>
      </c>
      <c r="O8" s="111">
        <f>G8/12</f>
        <v>2.5008333333333335</v>
      </c>
      <c r="Q8" s="111">
        <f>E8+M8+O8</f>
        <v>9.9908333333333346</v>
      </c>
    </row>
    <row r="9" spans="1:17">
      <c r="A9" s="103" t="s">
        <v>476</v>
      </c>
      <c r="C9" s="488">
        <v>280.86</v>
      </c>
      <c r="E9" s="111">
        <f>ROUND(C9*$C45,2)</f>
        <v>4.0199999999999996</v>
      </c>
      <c r="G9" s="488">
        <f>ROUND((77.81+69.96)*2/10,2)</f>
        <v>29.55</v>
      </c>
      <c r="I9" s="100">
        <v>704</v>
      </c>
      <c r="K9" s="489">
        <f>ROUND(I9/12,1)</f>
        <v>58.7</v>
      </c>
      <c r="M9" s="111">
        <f>ROUND(K9*$O$49,2)</f>
        <v>5.01</v>
      </c>
      <c r="O9" s="111">
        <f>G9/12</f>
        <v>2.4624999999999999</v>
      </c>
      <c r="Q9" s="111">
        <f>E9+M9+O9</f>
        <v>11.4925</v>
      </c>
    </row>
    <row r="10" spans="1:17">
      <c r="A10" s="101" t="s">
        <v>475</v>
      </c>
      <c r="C10" s="488">
        <v>321.64999999999998</v>
      </c>
      <c r="E10" s="111">
        <f>ROUND(C10*$C45,2)</f>
        <v>4.5999999999999996</v>
      </c>
      <c r="G10" s="488">
        <f>ROUND((78.3+69.96)*2/10,2)</f>
        <v>29.65</v>
      </c>
      <c r="I10" s="100">
        <v>1012</v>
      </c>
      <c r="K10" s="489">
        <f>ROUND(I10/12,1)</f>
        <v>84.3</v>
      </c>
      <c r="M10" s="111">
        <f>ROUND(K10*$O$49,2)</f>
        <v>7.19</v>
      </c>
      <c r="O10" s="111">
        <f>G10/12</f>
        <v>2.4708333333333332</v>
      </c>
      <c r="Q10" s="111">
        <f>E10+M10+O10</f>
        <v>14.260833333333332</v>
      </c>
    </row>
    <row r="11" spans="1:17">
      <c r="A11" s="101" t="s">
        <v>474</v>
      </c>
      <c r="C11" s="488">
        <v>529.30999999999995</v>
      </c>
      <c r="E11" s="111">
        <f>ROUND(C11*$C45,2)</f>
        <v>7.57</v>
      </c>
      <c r="G11" s="488">
        <f>ROUND((77.67+69.96)*2/10,2)</f>
        <v>29.53</v>
      </c>
      <c r="I11" s="100">
        <v>1236</v>
      </c>
      <c r="K11" s="489">
        <f>ROUND(I11/12,1)</f>
        <v>103</v>
      </c>
      <c r="M11" s="111">
        <f>ROUND(K11*$O$49,2)</f>
        <v>8.7799999999999994</v>
      </c>
      <c r="O11" s="111">
        <f>G11/12</f>
        <v>2.4608333333333334</v>
      </c>
      <c r="Q11" s="111">
        <f>E11+M11+O11</f>
        <v>18.810833333333335</v>
      </c>
    </row>
    <row r="12" spans="1:17">
      <c r="A12" s="101" t="s">
        <v>459</v>
      </c>
      <c r="C12" s="488">
        <v>405.63</v>
      </c>
      <c r="E12" s="111">
        <f>ROUND(C12*$C$45,2)</f>
        <v>5.8</v>
      </c>
      <c r="G12" s="488">
        <f>ROUND((79.82+69.96)*2/10,2)</f>
        <v>29.96</v>
      </c>
      <c r="I12" s="100">
        <v>2000</v>
      </c>
      <c r="K12" s="489">
        <f>ROUND(I12/12,1)</f>
        <v>166.7</v>
      </c>
      <c r="M12" s="111">
        <f>ROUND(K12*$O$49,2)</f>
        <v>14.22</v>
      </c>
      <c r="O12" s="111">
        <f>G12/12</f>
        <v>2.4966666666666666</v>
      </c>
      <c r="Q12" s="111">
        <f>E12+M12+O12</f>
        <v>22.516666666666666</v>
      </c>
    </row>
    <row r="13" spans="1:17">
      <c r="A13" s="101"/>
      <c r="B13" s="101"/>
      <c r="C13" s="101"/>
      <c r="D13" s="101"/>
      <c r="E13" s="101"/>
      <c r="F13" s="101"/>
      <c r="G13" s="101"/>
      <c r="I13" s="100"/>
      <c r="K13" s="489"/>
      <c r="M13" s="111"/>
      <c r="O13" s="111"/>
      <c r="Q13" s="111"/>
    </row>
    <row r="14" spans="1:17">
      <c r="A14" s="101" t="s">
        <v>473</v>
      </c>
      <c r="C14" s="488">
        <v>1572.06</v>
      </c>
      <c r="E14" s="111">
        <f>ROUND(C14*$C$45,2)</f>
        <v>22.48</v>
      </c>
      <c r="G14" s="488">
        <f>ROUND((76.23+69.96)*2/10,2)</f>
        <v>29.24</v>
      </c>
      <c r="I14" s="100">
        <v>484</v>
      </c>
      <c r="K14" s="489">
        <f>ROUND(I14/12,1)</f>
        <v>40.299999999999997</v>
      </c>
      <c r="M14" s="111">
        <f>ROUND(K14*$O$49,2)</f>
        <v>3.44</v>
      </c>
      <c r="O14" s="111">
        <f>G14/12</f>
        <v>2.4366666666666665</v>
      </c>
      <c r="Q14" s="111">
        <f>E14+M14+O14</f>
        <v>28.356666666666669</v>
      </c>
    </row>
    <row r="15" spans="1:17">
      <c r="A15" s="101" t="s">
        <v>472</v>
      </c>
      <c r="C15" s="488">
        <v>1573.64</v>
      </c>
      <c r="E15" s="111">
        <f>ROUND(C15*$C$45,2)</f>
        <v>22.5</v>
      </c>
      <c r="G15" s="488">
        <f>ROUND((77.81+69.96)*2/10,2)</f>
        <v>29.55</v>
      </c>
      <c r="I15" s="100">
        <v>704</v>
      </c>
      <c r="K15" s="489">
        <f>ROUND(I15/12,1)</f>
        <v>58.7</v>
      </c>
      <c r="M15" s="111">
        <f>ROUND(K15*$O$49,2)</f>
        <v>5.01</v>
      </c>
      <c r="O15" s="111">
        <f>G15/12</f>
        <v>2.4624999999999999</v>
      </c>
      <c r="Q15" s="111">
        <f>E15+M15+O15</f>
        <v>29.972499999999997</v>
      </c>
    </row>
    <row r="16" spans="1:17">
      <c r="A16" s="101"/>
      <c r="B16" s="101"/>
      <c r="C16" s="101"/>
      <c r="D16" s="101"/>
      <c r="E16" s="101"/>
      <c r="F16" s="101"/>
      <c r="G16" s="101"/>
      <c r="I16" s="100"/>
      <c r="K16" s="489"/>
      <c r="M16" s="111"/>
      <c r="O16" s="111"/>
      <c r="Q16" s="111"/>
    </row>
    <row r="17" spans="1:17">
      <c r="A17" s="101" t="s">
        <v>471</v>
      </c>
      <c r="C17" s="488">
        <v>471.29</v>
      </c>
      <c r="E17" s="111">
        <f>ROUND(C17*$C$45,2)</f>
        <v>6.74</v>
      </c>
      <c r="G17" s="488">
        <f>ROUND((78.3+69.96)*2/10,2)</f>
        <v>29.65</v>
      </c>
      <c r="I17" s="100">
        <v>1012</v>
      </c>
      <c r="K17" s="490">
        <f>ROUND(I17/12,1)</f>
        <v>84.3</v>
      </c>
      <c r="M17" s="111">
        <f>ROUND(K17*$O$49,2)</f>
        <v>7.19</v>
      </c>
      <c r="O17" s="111">
        <f>G17/12</f>
        <v>2.4708333333333332</v>
      </c>
      <c r="Q17" s="111">
        <f>E17+M17+O17</f>
        <v>16.400833333333331</v>
      </c>
    </row>
    <row r="18" spans="1:17">
      <c r="A18" s="101" t="s">
        <v>465</v>
      </c>
      <c r="C18" s="488">
        <v>503.05</v>
      </c>
      <c r="E18" s="111">
        <f>ROUND(C18*$C$45,2)</f>
        <v>7.19</v>
      </c>
      <c r="G18" s="488">
        <f>ROUND((79.82+69.96)*2/10,2)</f>
        <v>29.96</v>
      </c>
      <c r="I18" s="100">
        <v>2000</v>
      </c>
      <c r="K18" s="489">
        <f>ROUND(I18/12,1)</f>
        <v>166.7</v>
      </c>
      <c r="M18" s="111">
        <f>ROUND(K18*$O$49,2)</f>
        <v>14.22</v>
      </c>
      <c r="O18" s="111">
        <f>G18/12</f>
        <v>2.4966666666666666</v>
      </c>
      <c r="Q18" s="111">
        <f>E18+M18+O18</f>
        <v>23.906666666666666</v>
      </c>
    </row>
    <row r="19" spans="1:17">
      <c r="A19" s="101"/>
      <c r="B19" s="101"/>
      <c r="C19" s="101"/>
      <c r="D19" s="101"/>
      <c r="E19" s="101"/>
      <c r="F19" s="101"/>
      <c r="G19" s="101"/>
      <c r="H19" s="101"/>
      <c r="I19" s="100"/>
      <c r="K19" s="489"/>
      <c r="M19" s="111"/>
      <c r="O19" s="111"/>
      <c r="Q19" s="111"/>
    </row>
    <row r="20" spans="1:17">
      <c r="A20" s="101" t="s">
        <v>470</v>
      </c>
      <c r="C20" s="488">
        <v>1728.32</v>
      </c>
      <c r="E20" s="111">
        <f>ROUND(C20*$C$45,2)</f>
        <v>24.71</v>
      </c>
      <c r="G20" s="488">
        <f t="shared" ref="G20" si="0">ROUND((76.23+69.96)*2/10,2)</f>
        <v>29.24</v>
      </c>
      <c r="I20" s="100">
        <v>484</v>
      </c>
      <c r="K20" s="489">
        <f>ROUND(I20/12,1)</f>
        <v>40.299999999999997</v>
      </c>
      <c r="M20" s="111">
        <f>ROUND(K20*$O$49,2)</f>
        <v>3.44</v>
      </c>
      <c r="O20" s="111">
        <f>G20/12</f>
        <v>2.4366666666666665</v>
      </c>
      <c r="Q20" s="111">
        <f>E20+M20+O20</f>
        <v>30.58666666666667</v>
      </c>
    </row>
    <row r="21" spans="1:17">
      <c r="A21" s="101" t="s">
        <v>469</v>
      </c>
      <c r="C21" s="488">
        <v>1751.27</v>
      </c>
      <c r="E21" s="111">
        <f>ROUND(C21*$C$45,2)</f>
        <v>25.04</v>
      </c>
      <c r="G21" s="488">
        <f>ROUND((77.67+69.96)*2/10,2)</f>
        <v>29.53</v>
      </c>
      <c r="I21" s="100">
        <v>1236</v>
      </c>
      <c r="K21" s="489">
        <f>ROUND(I21/12,1)</f>
        <v>103</v>
      </c>
      <c r="M21" s="111">
        <f>ROUND(K21*$O$49,2)</f>
        <v>8.7799999999999994</v>
      </c>
      <c r="O21" s="111">
        <f>G21/12</f>
        <v>2.4608333333333334</v>
      </c>
      <c r="Q21" s="111">
        <f>E21+M21+O21</f>
        <v>36.280833333333334</v>
      </c>
    </row>
    <row r="22" spans="1:17">
      <c r="A22" s="101" t="s">
        <v>468</v>
      </c>
      <c r="C22" s="488">
        <v>1767.7</v>
      </c>
      <c r="E22" s="111">
        <f>ROUND(C22*$C$45,2)</f>
        <v>25.28</v>
      </c>
      <c r="G22" s="488">
        <f>ROUND((79.82+69.96)*2/10,2)</f>
        <v>29.96</v>
      </c>
      <c r="I22" s="100">
        <v>2000</v>
      </c>
      <c r="K22" s="489">
        <f>ROUND(I22/12,1)</f>
        <v>166.7</v>
      </c>
      <c r="M22" s="111">
        <f>ROUND(K22*$O$49,2)</f>
        <v>14.22</v>
      </c>
      <c r="O22" s="111">
        <f>G22/12</f>
        <v>2.4966666666666666</v>
      </c>
      <c r="Q22" s="111">
        <f>E22+M22+O22</f>
        <v>41.99666666666667</v>
      </c>
    </row>
    <row r="23" spans="1:17">
      <c r="C23" s="111"/>
      <c r="E23" s="111"/>
      <c r="G23" s="111"/>
      <c r="I23" s="100"/>
      <c r="K23" s="460"/>
      <c r="M23" s="111"/>
      <c r="O23" s="111"/>
      <c r="Q23" s="111"/>
    </row>
    <row r="24" spans="1:17">
      <c r="C24" s="111"/>
      <c r="E24" s="111"/>
      <c r="G24" s="111"/>
      <c r="I24" s="100"/>
      <c r="K24" s="460"/>
      <c r="M24" s="111"/>
      <c r="O24" s="111"/>
      <c r="Q24" s="111"/>
    </row>
    <row r="25" spans="1:17" ht="15.75">
      <c r="A25" s="102" t="s">
        <v>467</v>
      </c>
      <c r="C25" s="111"/>
      <c r="E25" s="111"/>
      <c r="G25" s="111"/>
      <c r="I25" s="100"/>
      <c r="K25" s="460"/>
      <c r="M25" s="111"/>
      <c r="O25" s="111"/>
      <c r="Q25" s="111"/>
    </row>
    <row r="26" spans="1:17">
      <c r="C26" s="111"/>
      <c r="E26" s="111"/>
      <c r="G26" s="111"/>
      <c r="I26" s="100"/>
      <c r="K26" s="460"/>
      <c r="M26" s="111"/>
      <c r="O26" s="111"/>
      <c r="Q26" s="111"/>
    </row>
    <row r="27" spans="1:17">
      <c r="A27" s="103" t="s">
        <v>466</v>
      </c>
      <c r="C27" s="488">
        <v>530.46</v>
      </c>
      <c r="E27" s="111">
        <f>ROUND(C27*$C$45,2)</f>
        <v>7.59</v>
      </c>
      <c r="G27" s="488">
        <f>ROUND((89.46+69.96)*2/10,2)</f>
        <v>31.88</v>
      </c>
      <c r="I27" s="100">
        <v>1204</v>
      </c>
      <c r="K27" s="490">
        <f>ROUND(I27/12,1)</f>
        <v>100.3</v>
      </c>
      <c r="M27" s="111">
        <f>ROUND(K27*$O$49,2)</f>
        <v>8.5500000000000007</v>
      </c>
      <c r="O27" s="111">
        <f>G27/12</f>
        <v>2.6566666666666667</v>
      </c>
      <c r="Q27" s="111">
        <f>E27+M27+O27</f>
        <v>18.796666666666667</v>
      </c>
    </row>
    <row r="28" spans="1:17">
      <c r="A28" s="101" t="s">
        <v>465</v>
      </c>
      <c r="C28" s="488">
        <v>547.4</v>
      </c>
      <c r="E28" s="111">
        <f>ROUND(C28*$C$45,2)</f>
        <v>7.83</v>
      </c>
      <c r="G28" s="488">
        <f>ROUND((92.44+69.96)*2/10,2)</f>
        <v>32.479999999999997</v>
      </c>
      <c r="I28" s="100">
        <v>1896</v>
      </c>
      <c r="K28" s="490">
        <f>ROUND(I28/12,1)</f>
        <v>158</v>
      </c>
      <c r="M28" s="111">
        <f>ROUND(K28*$O$49,2)</f>
        <v>13.47</v>
      </c>
      <c r="O28" s="111">
        <f>G28/12</f>
        <v>2.7066666666666666</v>
      </c>
      <c r="Q28" s="111">
        <f>E28+M28+O28</f>
        <v>24.006666666666668</v>
      </c>
    </row>
    <row r="29" spans="1:17">
      <c r="A29" s="101" t="s">
        <v>464</v>
      </c>
      <c r="C29" s="488">
        <v>696.51</v>
      </c>
      <c r="E29" s="111">
        <f>ROUND(C29*$C$45,2)</f>
        <v>9.9600000000000009</v>
      </c>
      <c r="G29" s="488">
        <f>ROUND((88.81+69.96)*2/10,2)</f>
        <v>31.75</v>
      </c>
      <c r="I29" s="100">
        <v>4540</v>
      </c>
      <c r="K29" s="460">
        <f>ROUND(I29/12,1)</f>
        <v>378.3</v>
      </c>
      <c r="M29" s="111">
        <f>ROUND(K29*$O$49,2)</f>
        <v>32.26</v>
      </c>
      <c r="O29" s="111">
        <f>G29/12</f>
        <v>2.6458333333333335</v>
      </c>
      <c r="Q29" s="111">
        <f>E29+M29+O29</f>
        <v>44.865833333333335</v>
      </c>
    </row>
    <row r="30" spans="1:17">
      <c r="A30" s="101"/>
      <c r="B30" s="101"/>
      <c r="C30" s="101"/>
      <c r="D30" s="101"/>
      <c r="E30" s="101"/>
      <c r="F30" s="101"/>
      <c r="G30" s="101"/>
      <c r="H30" s="101"/>
      <c r="I30" s="100"/>
      <c r="K30" s="460"/>
      <c r="M30" s="111"/>
      <c r="O30" s="111"/>
      <c r="Q30" s="111"/>
    </row>
    <row r="31" spans="1:17">
      <c r="A31" s="101" t="s">
        <v>463</v>
      </c>
      <c r="C31" s="488">
        <v>903.89</v>
      </c>
      <c r="E31" s="111">
        <f>ROUND(C31*$C$45,2)</f>
        <v>12.93</v>
      </c>
      <c r="G31" s="111">
        <f>+G27</f>
        <v>31.88</v>
      </c>
      <c r="I31" s="100">
        <v>1204</v>
      </c>
      <c r="K31" s="489">
        <f>ROUND(I31/12,1)</f>
        <v>100.3</v>
      </c>
      <c r="M31" s="111">
        <f>ROUND(K31*$O$49,2)</f>
        <v>8.5500000000000007</v>
      </c>
      <c r="O31" s="111">
        <f>G31/12</f>
        <v>2.6566666666666667</v>
      </c>
      <c r="Q31" s="111">
        <f>E31+M31+O31</f>
        <v>24.136666666666667</v>
      </c>
    </row>
    <row r="32" spans="1:17">
      <c r="A32" s="101" t="s">
        <v>462</v>
      </c>
      <c r="C32" s="488">
        <v>922.89</v>
      </c>
      <c r="E32" s="111">
        <f>ROUND(C32*$C$45,2)</f>
        <v>13.2</v>
      </c>
      <c r="G32" s="111">
        <f>+G28</f>
        <v>32.479999999999997</v>
      </c>
      <c r="I32" s="100">
        <v>1896</v>
      </c>
      <c r="K32" s="489">
        <f>ROUND(I32/12,1)</f>
        <v>158</v>
      </c>
      <c r="M32" s="111">
        <f>ROUND(K32*$O$49,2)</f>
        <v>13.47</v>
      </c>
      <c r="O32" s="111">
        <f>G32/12</f>
        <v>2.7066666666666666</v>
      </c>
      <c r="Q32" s="111">
        <f>E32+M32+O32</f>
        <v>29.376666666666669</v>
      </c>
    </row>
    <row r="33" spans="1:17">
      <c r="A33" s="101"/>
      <c r="C33" s="111"/>
      <c r="E33" s="111"/>
      <c r="G33" s="111"/>
      <c r="I33" s="100"/>
      <c r="M33" s="111"/>
      <c r="O33" s="111"/>
      <c r="Q33" s="111"/>
    </row>
    <row r="34" spans="1:17">
      <c r="C34" s="111"/>
      <c r="E34" s="111"/>
      <c r="G34" s="111"/>
      <c r="I34" s="100"/>
      <c r="M34" s="111"/>
      <c r="O34" s="111"/>
      <c r="Q34" s="111"/>
    </row>
    <row r="36" spans="1:17">
      <c r="C36" s="459" t="s">
        <v>510</v>
      </c>
      <c r="G36" s="491"/>
      <c r="K36" s="492" t="s">
        <v>509</v>
      </c>
    </row>
    <row r="37" spans="1:17">
      <c r="C37" s="462" t="s">
        <v>508</v>
      </c>
      <c r="G37" s="493"/>
      <c r="K37" s="101" t="s">
        <v>72</v>
      </c>
    </row>
    <row r="39" spans="1:17">
      <c r="A39" s="101" t="s">
        <v>507</v>
      </c>
      <c r="C39" s="494">
        <f>'Carrying Charge'!F10/100</f>
        <v>7.0699999999999999E-2</v>
      </c>
      <c r="D39" s="130"/>
      <c r="E39" s="110"/>
      <c r="F39" s="108"/>
      <c r="G39" s="108"/>
      <c r="K39" s="101" t="s">
        <v>443</v>
      </c>
      <c r="O39" s="477">
        <f>'EX AEV-1'!W21+'EX AEV-1'!W24</f>
        <v>940086.13617442502</v>
      </c>
      <c r="Q39" s="109"/>
    </row>
    <row r="40" spans="1:17">
      <c r="A40" s="101" t="s">
        <v>506</v>
      </c>
      <c r="C40" s="494">
        <f>'Carrying Charge'!F12/100</f>
        <v>8.0362103286162417E-2</v>
      </c>
      <c r="D40" s="130"/>
      <c r="E40" s="110"/>
      <c r="F40" s="108"/>
      <c r="G40" s="108"/>
      <c r="K40" s="101" t="s">
        <v>20</v>
      </c>
      <c r="O40" s="477">
        <f>'EX AEV-1'!W22</f>
        <v>1494971.7800627127</v>
      </c>
    </row>
    <row r="41" spans="1:17">
      <c r="A41" s="101" t="s">
        <v>505</v>
      </c>
      <c r="C41" s="494">
        <f>'Carrying Charge'!F14/100</f>
        <v>6.4282223007694197E-3</v>
      </c>
      <c r="D41" s="130"/>
      <c r="E41" s="110"/>
      <c r="F41" s="108"/>
      <c r="G41" s="108"/>
      <c r="K41" s="485" t="s">
        <v>504</v>
      </c>
      <c r="O41" s="109"/>
    </row>
    <row r="42" spans="1:17">
      <c r="A42" s="101" t="s">
        <v>503</v>
      </c>
      <c r="C42" s="494">
        <f>'Carrying Charge'!F16/100</f>
        <v>1.4499999999999999E-2</v>
      </c>
      <c r="D42" s="130"/>
      <c r="E42" s="108"/>
      <c r="F42" s="108"/>
      <c r="G42" s="108"/>
      <c r="K42" s="101" t="s">
        <v>795</v>
      </c>
      <c r="O42" s="477">
        <v>637529</v>
      </c>
    </row>
    <row r="43" spans="1:17">
      <c r="A43" s="495" t="s">
        <v>502</v>
      </c>
      <c r="B43" s="495"/>
      <c r="C43" s="496">
        <f>C39+C40+C41+C42</f>
        <v>0.17199032558693184</v>
      </c>
      <c r="D43" s="495"/>
      <c r="E43" s="107"/>
      <c r="F43" s="107"/>
      <c r="G43" s="106"/>
      <c r="K43" s="101" t="s">
        <v>501</v>
      </c>
      <c r="O43" s="477">
        <v>302830</v>
      </c>
    </row>
    <row r="44" spans="1:17">
      <c r="A44" s="495"/>
      <c r="B44" s="495"/>
      <c r="C44" s="496"/>
      <c r="D44" s="495"/>
      <c r="E44" s="107"/>
      <c r="F44" s="107"/>
      <c r="G44" s="106"/>
      <c r="K44" s="101" t="s">
        <v>500</v>
      </c>
      <c r="O44" s="477">
        <v>122901</v>
      </c>
    </row>
    <row r="45" spans="1:17">
      <c r="A45" s="101" t="s">
        <v>499</v>
      </c>
      <c r="C45" s="130">
        <f>ROUND(C43/12,4)</f>
        <v>1.43E-2</v>
      </c>
      <c r="D45" s="130"/>
      <c r="F45" s="130"/>
      <c r="G45" s="130"/>
      <c r="K45" s="101" t="s">
        <v>498</v>
      </c>
      <c r="O45" s="477">
        <v>0</v>
      </c>
    </row>
    <row r="46" spans="1:17">
      <c r="K46" s="101" t="s">
        <v>497</v>
      </c>
      <c r="O46" s="105">
        <f>SUM(O39:O44)-SUM(O45:O45)</f>
        <v>3498317.9162371377</v>
      </c>
    </row>
    <row r="47" spans="1:17">
      <c r="K47" s="101" t="s">
        <v>496</v>
      </c>
      <c r="O47" s="761">
        <v>41021575</v>
      </c>
    </row>
    <row r="49" spans="11:15">
      <c r="K49" s="101" t="s">
        <v>495</v>
      </c>
      <c r="O49" s="104">
        <f>ROUND(O46/O47,5)</f>
        <v>8.5279999999999995E-2</v>
      </c>
    </row>
  </sheetData>
  <printOptions horizontalCentered="1"/>
  <pageMargins left="0.5" right="0.5" top="1.25" bottom="0.5" header="0.5" footer="0.5"/>
  <pageSetup fitToHeight="2" orientation="landscape" r:id="rId1"/>
  <headerFooter alignWithMargins="0">
    <oddHeader>&amp;L&amp;F
Page &amp;P of &amp;N&amp;CKentucky Power Company 
OL Rate Design
Twelve Months Ended March 31, 2013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75"/>
  <sheetViews>
    <sheetView showOutlineSymbols="0" topLeftCell="A43" zoomScale="90" zoomScaleNormal="90" workbookViewId="0">
      <selection activeCell="I70" sqref="A69:I70"/>
    </sheetView>
  </sheetViews>
  <sheetFormatPr defaultColWidth="10.875" defaultRowHeight="15"/>
  <cols>
    <col min="1" max="1" width="36.625" style="133" customWidth="1"/>
    <col min="2" max="2" width="10.375" style="133" bestFit="1" customWidth="1"/>
    <col min="3" max="3" width="7.625" style="133" customWidth="1"/>
    <col min="4" max="4" width="9.125" style="133" bestFit="1" customWidth="1"/>
    <col min="5" max="5" width="2" style="133" customWidth="1"/>
    <col min="6" max="6" width="6.875" style="133" bestFit="1" customWidth="1"/>
    <col min="7" max="7" width="6.75" style="133" bestFit="1" customWidth="1"/>
    <col min="8" max="8" width="2" style="133" customWidth="1"/>
    <col min="9" max="9" width="7.25" style="133" bestFit="1" customWidth="1"/>
    <col min="10" max="10" width="1.875" style="133" bestFit="1" customWidth="1"/>
    <col min="11" max="11" width="13.375" style="133" bestFit="1" customWidth="1"/>
    <col min="12" max="12" width="2" style="133" customWidth="1"/>
    <col min="13" max="13" width="9.625" style="133" bestFit="1" customWidth="1"/>
    <col min="14" max="14" width="10.125" style="133" bestFit="1" customWidth="1"/>
    <col min="15" max="15" width="2.5" style="133" customWidth="1"/>
    <col min="16" max="18" width="10.875" style="133"/>
    <col min="19" max="19" width="13.625" style="133" bestFit="1" customWidth="1"/>
    <col min="20" max="16384" width="10.875" style="133"/>
  </cols>
  <sheetData>
    <row r="1" spans="1:19">
      <c r="A1" s="497"/>
      <c r="B1" s="498" t="s">
        <v>490</v>
      </c>
      <c r="F1" s="499" t="s">
        <v>543</v>
      </c>
      <c r="G1" s="499"/>
      <c r="I1" s="500"/>
      <c r="J1" s="500"/>
    </row>
    <row r="2" spans="1:19" ht="15.75">
      <c r="A2" s="501" t="s">
        <v>494</v>
      </c>
      <c r="B2" s="498" t="s">
        <v>493</v>
      </c>
      <c r="C2" s="499" t="s">
        <v>492</v>
      </c>
      <c r="D2" s="499"/>
      <c r="F2" s="502"/>
      <c r="G2" s="502" t="s">
        <v>494</v>
      </c>
      <c r="I2" s="499" t="s">
        <v>111</v>
      </c>
      <c r="J2" s="499"/>
      <c r="K2" s="499"/>
      <c r="M2" s="498" t="s">
        <v>490</v>
      </c>
      <c r="N2" s="503" t="s">
        <v>489</v>
      </c>
      <c r="P2" s="460"/>
      <c r="Q2" s="460" t="s">
        <v>801</v>
      </c>
      <c r="R2" s="461" t="s">
        <v>802</v>
      </c>
      <c r="S2" s="103"/>
    </row>
    <row r="3" spans="1:19" ht="15.75">
      <c r="A3" s="504" t="s">
        <v>488</v>
      </c>
      <c r="B3" s="504" t="s">
        <v>487</v>
      </c>
      <c r="C3" s="505" t="s">
        <v>136</v>
      </c>
      <c r="D3" s="505" t="s">
        <v>1</v>
      </c>
      <c r="F3" s="504" t="s">
        <v>494</v>
      </c>
      <c r="G3" s="504" t="s">
        <v>542</v>
      </c>
      <c r="I3" s="505" t="s">
        <v>136</v>
      </c>
      <c r="J3" s="505"/>
      <c r="K3" s="505" t="s">
        <v>1</v>
      </c>
      <c r="M3" s="504" t="s">
        <v>255</v>
      </c>
      <c r="N3" s="506" t="s">
        <v>255</v>
      </c>
      <c r="P3" s="460" t="s">
        <v>799</v>
      </c>
      <c r="Q3" s="460" t="s">
        <v>800</v>
      </c>
      <c r="R3" s="461" t="s">
        <v>133</v>
      </c>
      <c r="S3" s="103" t="s">
        <v>803</v>
      </c>
    </row>
    <row r="4" spans="1:19">
      <c r="A4" s="503" t="s">
        <v>118</v>
      </c>
      <c r="B4" s="503" t="s">
        <v>119</v>
      </c>
      <c r="C4" s="503" t="s">
        <v>486</v>
      </c>
      <c r="D4" s="498" t="s">
        <v>485</v>
      </c>
      <c r="F4" s="503" t="s">
        <v>128</v>
      </c>
      <c r="G4" s="503" t="s">
        <v>483</v>
      </c>
      <c r="H4" s="503"/>
      <c r="I4" s="503" t="s">
        <v>541</v>
      </c>
      <c r="J4" s="503"/>
      <c r="K4" s="498" t="s">
        <v>840</v>
      </c>
      <c r="M4" s="503" t="s">
        <v>540</v>
      </c>
      <c r="N4" s="498" t="s">
        <v>539</v>
      </c>
      <c r="Q4" s="133">
        <f>'OL 1'!T4</f>
        <v>2.8510000000000001E-2</v>
      </c>
    </row>
    <row r="5" spans="1:19">
      <c r="S5" s="507"/>
    </row>
    <row r="6" spans="1:19" ht="15.75">
      <c r="A6" s="508" t="s">
        <v>538</v>
      </c>
      <c r="S6" s="507"/>
    </row>
    <row r="7" spans="1:19" hidden="1">
      <c r="A7" s="509" t="s">
        <v>537</v>
      </c>
      <c r="B7" s="114">
        <v>0</v>
      </c>
      <c r="C7" s="510">
        <v>0</v>
      </c>
      <c r="D7" s="131">
        <f t="shared" ref="D7:D16" si="0">ROUND((B7*C7),0)</f>
        <v>0</v>
      </c>
      <c r="E7" s="131"/>
      <c r="F7" s="498" t="s">
        <v>531</v>
      </c>
      <c r="G7" s="498" t="s">
        <v>531</v>
      </c>
      <c r="H7" s="498"/>
      <c r="I7" s="511">
        <f t="shared" ref="I7:I12" si="1">C7</f>
        <v>0</v>
      </c>
      <c r="J7" s="511"/>
      <c r="K7" s="131">
        <f t="shared" ref="K7:K16" si="2">ROUND((B7*I7),0)</f>
        <v>0</v>
      </c>
      <c r="L7" s="131"/>
      <c r="M7" s="131">
        <f t="shared" ref="M7:M16" si="3">K7-D7</f>
        <v>0</v>
      </c>
      <c r="N7" s="132" t="e">
        <f t="shared" ref="N7:N16" si="4">ROUND(((I7/C7)-1),4)</f>
        <v>#DIV/0!</v>
      </c>
      <c r="S7" s="507"/>
    </row>
    <row r="8" spans="1:19" hidden="1">
      <c r="A8" s="509" t="s">
        <v>536</v>
      </c>
      <c r="B8" s="114">
        <v>0</v>
      </c>
      <c r="C8" s="511">
        <v>0</v>
      </c>
      <c r="D8" s="512">
        <f t="shared" si="0"/>
        <v>0</v>
      </c>
      <c r="E8" s="512"/>
      <c r="F8" s="511" t="e">
        <f>'SL 2'!#REF!</f>
        <v>#REF!</v>
      </c>
      <c r="G8" s="513" t="s">
        <v>531</v>
      </c>
      <c r="H8" s="513"/>
      <c r="I8" s="511">
        <f t="shared" si="1"/>
        <v>0</v>
      </c>
      <c r="J8" s="511"/>
      <c r="K8" s="512">
        <f t="shared" si="2"/>
        <v>0</v>
      </c>
      <c r="L8" s="512"/>
      <c r="M8" s="512">
        <f t="shared" si="3"/>
        <v>0</v>
      </c>
      <c r="N8" s="132" t="e">
        <f t="shared" si="4"/>
        <v>#DIV/0!</v>
      </c>
      <c r="S8" s="507"/>
    </row>
    <row r="9" spans="1:19" hidden="1">
      <c r="A9" s="509" t="s">
        <v>535</v>
      </c>
      <c r="B9" s="114">
        <v>0</v>
      </c>
      <c r="C9" s="511">
        <v>0</v>
      </c>
      <c r="D9" s="512">
        <f t="shared" si="0"/>
        <v>0</v>
      </c>
      <c r="E9" s="512"/>
      <c r="F9" s="511" t="e">
        <f>'SL 2'!#REF!</f>
        <v>#REF!</v>
      </c>
      <c r="G9" s="513" t="s">
        <v>531</v>
      </c>
      <c r="H9" s="513"/>
      <c r="I9" s="511">
        <f t="shared" si="1"/>
        <v>0</v>
      </c>
      <c r="J9" s="511"/>
      <c r="K9" s="512">
        <f t="shared" si="2"/>
        <v>0</v>
      </c>
      <c r="L9" s="512"/>
      <c r="M9" s="512">
        <f t="shared" si="3"/>
        <v>0</v>
      </c>
      <c r="N9" s="132" t="e">
        <f t="shared" si="4"/>
        <v>#DIV/0!</v>
      </c>
      <c r="S9" s="507"/>
    </row>
    <row r="10" spans="1:19" hidden="1">
      <c r="A10" s="509" t="s">
        <v>534</v>
      </c>
      <c r="B10" s="114">
        <v>0</v>
      </c>
      <c r="C10" s="511">
        <v>0</v>
      </c>
      <c r="D10" s="512">
        <f t="shared" si="0"/>
        <v>0</v>
      </c>
      <c r="E10" s="512"/>
      <c r="F10" s="511" t="e">
        <f>'SL 2'!#REF!</f>
        <v>#REF!</v>
      </c>
      <c r="G10" s="513" t="s">
        <v>531</v>
      </c>
      <c r="H10" s="513"/>
      <c r="I10" s="511">
        <f t="shared" si="1"/>
        <v>0</v>
      </c>
      <c r="J10" s="511"/>
      <c r="K10" s="512">
        <f t="shared" si="2"/>
        <v>0</v>
      </c>
      <c r="L10" s="512"/>
      <c r="M10" s="512">
        <f t="shared" si="3"/>
        <v>0</v>
      </c>
      <c r="N10" s="132" t="e">
        <f t="shared" si="4"/>
        <v>#DIV/0!</v>
      </c>
      <c r="S10" s="507"/>
    </row>
    <row r="11" spans="1:19" hidden="1">
      <c r="A11" s="509" t="s">
        <v>533</v>
      </c>
      <c r="B11" s="114">
        <v>0</v>
      </c>
      <c r="C11" s="511">
        <v>0</v>
      </c>
      <c r="D11" s="512">
        <f t="shared" si="0"/>
        <v>0</v>
      </c>
      <c r="E11" s="512"/>
      <c r="F11" s="511" t="e">
        <f>'SL 2'!#REF!</f>
        <v>#REF!</v>
      </c>
      <c r="G11" s="513" t="s">
        <v>531</v>
      </c>
      <c r="H11" s="513"/>
      <c r="I11" s="511">
        <f t="shared" si="1"/>
        <v>0</v>
      </c>
      <c r="J11" s="511"/>
      <c r="K11" s="512">
        <f t="shared" si="2"/>
        <v>0</v>
      </c>
      <c r="L11" s="512"/>
      <c r="M11" s="512">
        <f t="shared" si="3"/>
        <v>0</v>
      </c>
      <c r="N11" s="132" t="e">
        <f t="shared" si="4"/>
        <v>#DIV/0!</v>
      </c>
      <c r="S11" s="507"/>
    </row>
    <row r="12" spans="1:19" hidden="1">
      <c r="A12" s="509" t="s">
        <v>532</v>
      </c>
      <c r="B12" s="114">
        <v>0</v>
      </c>
      <c r="C12" s="511">
        <v>0</v>
      </c>
      <c r="D12" s="512">
        <f t="shared" si="0"/>
        <v>0</v>
      </c>
      <c r="E12" s="512"/>
      <c r="F12" s="511" t="e">
        <f>'SL 2'!#REF!</f>
        <v>#REF!</v>
      </c>
      <c r="G12" s="513" t="s">
        <v>531</v>
      </c>
      <c r="H12" s="513"/>
      <c r="I12" s="511">
        <f t="shared" si="1"/>
        <v>0</v>
      </c>
      <c r="J12" s="511"/>
      <c r="K12" s="512">
        <f t="shared" si="2"/>
        <v>0</v>
      </c>
      <c r="L12" s="512"/>
      <c r="M12" s="512">
        <f t="shared" si="3"/>
        <v>0</v>
      </c>
      <c r="N12" s="132" t="e">
        <f t="shared" si="4"/>
        <v>#DIV/0!</v>
      </c>
      <c r="S12" s="507"/>
    </row>
    <row r="13" spans="1:19">
      <c r="A13" s="509" t="s">
        <v>528</v>
      </c>
      <c r="B13" s="514">
        <v>92621.813891723403</v>
      </c>
      <c r="C13" s="466">
        <v>7.03</v>
      </c>
      <c r="D13" s="512">
        <f t="shared" si="0"/>
        <v>651131</v>
      </c>
      <c r="E13" s="512"/>
      <c r="F13" s="511">
        <f>'SL 2'!$I$8</f>
        <v>8.0274599117271634</v>
      </c>
      <c r="G13" s="513" t="s">
        <v>531</v>
      </c>
      <c r="H13" s="513"/>
      <c r="I13" s="111">
        <f>ROUND(IF(F13*$B$58&gt;(1+$B$56)*C13,(1+$B$56)*C13,MAX(F13*$B$58,C13))*20,0)/20</f>
        <v>7.9</v>
      </c>
      <c r="J13" s="111"/>
      <c r="K13" s="512">
        <f>ROUND((B13*I13),0)</f>
        <v>731712</v>
      </c>
      <c r="L13" s="512"/>
      <c r="M13" s="512">
        <f t="shared" si="3"/>
        <v>80581</v>
      </c>
      <c r="N13" s="132">
        <f t="shared" si="4"/>
        <v>0.12379999999999999</v>
      </c>
      <c r="P13" s="133">
        <f>'SL 2'!F8</f>
        <v>40.299999999999997</v>
      </c>
      <c r="Q13" s="133">
        <f>ROUND(P13*Q$4,2)</f>
        <v>1.1499999999999999</v>
      </c>
      <c r="R13" s="515">
        <f>I13</f>
        <v>7.9</v>
      </c>
      <c r="S13" s="507"/>
    </row>
    <row r="14" spans="1:19">
      <c r="A14" s="509" t="s">
        <v>527</v>
      </c>
      <c r="B14" s="514">
        <v>1338.222340261955</v>
      </c>
      <c r="C14" s="466">
        <v>7.55</v>
      </c>
      <c r="D14" s="512">
        <f t="shared" si="0"/>
        <v>10104</v>
      </c>
      <c r="E14" s="512"/>
      <c r="F14" s="511">
        <f>'SL 2'!$I$9</f>
        <v>8.9190625116996518</v>
      </c>
      <c r="G14" s="513" t="s">
        <v>531</v>
      </c>
      <c r="H14" s="513"/>
      <c r="I14" s="111">
        <f>ROUND(IF(F14*$B$58&gt;(1+$B$56)*C14,(1+$B$56)*C14,MAX(F14*$B$58,C14))*20,0)/20</f>
        <v>8.4499999999999993</v>
      </c>
      <c r="J14" s="111"/>
      <c r="K14" s="512">
        <f t="shared" si="2"/>
        <v>11308</v>
      </c>
      <c r="L14" s="512"/>
      <c r="M14" s="512">
        <f t="shared" si="3"/>
        <v>1204</v>
      </c>
      <c r="N14" s="132">
        <f t="shared" si="4"/>
        <v>0.1192</v>
      </c>
      <c r="P14" s="133">
        <f>'SL 2'!F9</f>
        <v>58.7</v>
      </c>
      <c r="Q14" s="133">
        <f t="shared" ref="Q14:Q16" si="5">ROUND(P14*Q$4,2)</f>
        <v>1.67</v>
      </c>
      <c r="R14" s="515">
        <f t="shared" ref="R14:R16" si="6">I14</f>
        <v>8.4499999999999993</v>
      </c>
      <c r="S14" s="507"/>
    </row>
    <row r="15" spans="1:19">
      <c r="A15" s="509" t="s">
        <v>526</v>
      </c>
      <c r="B15" s="514">
        <v>27295.328422259186</v>
      </c>
      <c r="C15" s="466">
        <v>8.9499999999999993</v>
      </c>
      <c r="D15" s="512">
        <f t="shared" si="0"/>
        <v>244293</v>
      </c>
      <c r="E15" s="512"/>
      <c r="F15" s="511">
        <f>'SL 2'!$I$10</f>
        <v>10.587433458488523</v>
      </c>
      <c r="G15" s="513" t="s">
        <v>531</v>
      </c>
      <c r="H15" s="513"/>
      <c r="I15" s="111">
        <f>ROUND(IF(F15*$B$58&gt;(1+$B$56)*C15,(1+$B$56)*C15,MAX(F15*$B$58,C15))*20,0)/20</f>
        <v>10.050000000000001</v>
      </c>
      <c r="J15" s="111"/>
      <c r="K15" s="512">
        <f t="shared" si="2"/>
        <v>274318</v>
      </c>
      <c r="L15" s="512"/>
      <c r="M15" s="512">
        <f t="shared" si="3"/>
        <v>30025</v>
      </c>
      <c r="N15" s="132">
        <f t="shared" si="4"/>
        <v>0.1229</v>
      </c>
      <c r="P15" s="133">
        <f>'SL 2'!F10</f>
        <v>84.3</v>
      </c>
      <c r="Q15" s="133">
        <f t="shared" si="5"/>
        <v>2.4</v>
      </c>
      <c r="R15" s="515">
        <f t="shared" si="6"/>
        <v>10.050000000000001</v>
      </c>
      <c r="S15" s="507"/>
    </row>
    <row r="16" spans="1:19">
      <c r="A16" s="509" t="s">
        <v>525</v>
      </c>
      <c r="B16" s="514">
        <v>252.41918394162624</v>
      </c>
      <c r="C16" s="466">
        <v>11.71</v>
      </c>
      <c r="D16" s="512">
        <f t="shared" si="0"/>
        <v>2956</v>
      </c>
      <c r="E16" s="512"/>
      <c r="F16" s="511">
        <f>'SL 2'!$I$11</f>
        <v>14.687636222948679</v>
      </c>
      <c r="G16" s="513" t="s">
        <v>531</v>
      </c>
      <c r="H16" s="513"/>
      <c r="I16" s="111">
        <f>ROUND(IF(F16*$B$58&gt;(1+$B$56)*C16,(1+$B$56)*C16,MAX(F16*$B$58,C16))*20,0)/20</f>
        <v>13.15</v>
      </c>
      <c r="J16" s="111"/>
      <c r="K16" s="512">
        <f t="shared" si="2"/>
        <v>3319</v>
      </c>
      <c r="L16" s="512"/>
      <c r="M16" s="512">
        <f t="shared" si="3"/>
        <v>363</v>
      </c>
      <c r="N16" s="132">
        <f t="shared" si="4"/>
        <v>0.123</v>
      </c>
      <c r="P16" s="133">
        <f>'SL 2'!F11</f>
        <v>166.7</v>
      </c>
      <c r="Q16" s="133">
        <f t="shared" si="5"/>
        <v>4.75</v>
      </c>
      <c r="R16" s="515">
        <f t="shared" si="6"/>
        <v>13.15</v>
      </c>
      <c r="S16" s="507"/>
    </row>
    <row r="17" spans="1:19">
      <c r="A17" s="509"/>
      <c r="B17" s="514"/>
      <c r="C17" s="466"/>
      <c r="D17" s="512"/>
      <c r="E17" s="512"/>
      <c r="F17" s="511"/>
      <c r="G17" s="513"/>
      <c r="H17" s="513"/>
      <c r="I17" s="111"/>
      <c r="J17" s="111"/>
      <c r="K17" s="512"/>
      <c r="L17" s="512"/>
      <c r="M17" s="512"/>
      <c r="N17" s="132"/>
      <c r="R17" s="515"/>
      <c r="S17" s="507"/>
    </row>
    <row r="18" spans="1:19">
      <c r="A18" s="509"/>
      <c r="B18" s="514"/>
      <c r="C18" s="466"/>
      <c r="D18" s="512"/>
      <c r="E18" s="512"/>
      <c r="F18" s="511"/>
      <c r="G18" s="513"/>
      <c r="H18" s="513"/>
      <c r="I18" s="111"/>
      <c r="J18" s="111"/>
      <c r="K18" s="512"/>
      <c r="L18" s="512"/>
      <c r="M18" s="512"/>
      <c r="N18" s="132"/>
      <c r="R18" s="515"/>
      <c r="S18" s="507"/>
    </row>
    <row r="19" spans="1:19">
      <c r="A19" s="509"/>
      <c r="B19" s="514"/>
      <c r="C19" s="466"/>
      <c r="D19" s="512"/>
      <c r="E19" s="512"/>
      <c r="F19" s="511"/>
      <c r="G19" s="513"/>
      <c r="H19" s="513"/>
      <c r="I19" s="111"/>
      <c r="J19" s="111"/>
      <c r="K19" s="512"/>
      <c r="L19" s="512"/>
      <c r="M19" s="512"/>
      <c r="N19" s="132"/>
      <c r="R19" s="515"/>
      <c r="S19" s="507"/>
    </row>
    <row r="20" spans="1:19">
      <c r="A20" s="509"/>
      <c r="B20" s="514"/>
      <c r="C20" s="466"/>
      <c r="D20" s="512"/>
      <c r="E20" s="512"/>
      <c r="F20" s="511"/>
      <c r="G20" s="513"/>
      <c r="H20" s="513"/>
      <c r="I20" s="111"/>
      <c r="J20" s="111"/>
      <c r="K20" s="512"/>
      <c r="L20" s="512"/>
      <c r="M20" s="512"/>
      <c r="N20" s="132"/>
      <c r="R20" s="515"/>
      <c r="S20" s="507"/>
    </row>
    <row r="21" spans="1:19">
      <c r="B21" s="114"/>
      <c r="C21" s="113"/>
      <c r="D21" s="131"/>
      <c r="E21" s="131"/>
      <c r="F21" s="113"/>
      <c r="G21" s="113"/>
      <c r="H21" s="113"/>
      <c r="I21" s="113"/>
      <c r="J21" s="111"/>
      <c r="K21" s="131"/>
      <c r="L21" s="131"/>
      <c r="M21" s="131"/>
      <c r="N21" s="132"/>
      <c r="S21" s="507"/>
    </row>
    <row r="22" spans="1:19">
      <c r="B22" s="114"/>
      <c r="C22" s="113"/>
      <c r="D22" s="131"/>
      <c r="E22" s="131"/>
      <c r="F22" s="113"/>
      <c r="G22" s="516"/>
      <c r="H22" s="516"/>
      <c r="I22" s="113"/>
      <c r="J22" s="111"/>
      <c r="K22" s="131"/>
      <c r="L22" s="131"/>
      <c r="M22" s="131"/>
      <c r="N22" s="132"/>
      <c r="S22" s="507"/>
    </row>
    <row r="23" spans="1:19">
      <c r="B23" s="114"/>
      <c r="C23" s="113"/>
      <c r="D23" s="131"/>
      <c r="E23" s="131"/>
      <c r="F23" s="113"/>
      <c r="G23" s="516"/>
      <c r="H23" s="516"/>
      <c r="I23" s="113"/>
      <c r="J23" s="111"/>
      <c r="K23" s="131"/>
      <c r="L23" s="131"/>
      <c r="M23" s="131"/>
      <c r="N23" s="132"/>
      <c r="S23" s="507"/>
    </row>
    <row r="24" spans="1:19" ht="15.75">
      <c r="A24" s="508" t="s">
        <v>530</v>
      </c>
      <c r="B24" s="114"/>
      <c r="C24" s="113"/>
      <c r="D24" s="131"/>
      <c r="E24" s="131"/>
      <c r="F24" s="113"/>
      <c r="G24" s="516"/>
      <c r="H24" s="516"/>
      <c r="I24" s="113"/>
      <c r="J24" s="111"/>
      <c r="K24" s="131"/>
      <c r="L24" s="131"/>
      <c r="M24" s="131"/>
      <c r="N24" s="132"/>
      <c r="S24" s="507"/>
    </row>
    <row r="25" spans="1:19">
      <c r="A25" s="509" t="s">
        <v>528</v>
      </c>
      <c r="B25" s="514">
        <v>5433.0224353150033</v>
      </c>
      <c r="C25" s="466">
        <v>10.8</v>
      </c>
      <c r="D25" s="512">
        <f>ROUND((B25*C25),0)</f>
        <v>58677</v>
      </c>
      <c r="E25" s="512"/>
      <c r="F25" s="511">
        <f>F13</f>
        <v>8.0274599117271634</v>
      </c>
      <c r="G25" s="511">
        <f>'SL 2'!$L$26</f>
        <v>14.120053740764071</v>
      </c>
      <c r="H25" s="511"/>
      <c r="I25" s="111">
        <f>ROUND(IF(G25*$B$58&gt;(1+$B$56)*C25,(1+$B$56)*C25,MAX(G25*$B$58,C25))*20,0)/20</f>
        <v>12.1</v>
      </c>
      <c r="J25" s="512"/>
      <c r="K25" s="512">
        <f>ROUND((B25*I25),0)</f>
        <v>65740</v>
      </c>
      <c r="L25" s="512"/>
      <c r="M25" s="512">
        <f>K25-D25</f>
        <v>7063</v>
      </c>
      <c r="N25" s="132">
        <f>ROUND(((I25/C25)-1),4)</f>
        <v>0.12039999999999999</v>
      </c>
      <c r="P25" s="133">
        <f>P13</f>
        <v>40.299999999999997</v>
      </c>
      <c r="Q25" s="133">
        <f t="shared" ref="Q25:Q28" si="7">ROUND(P25*Q$4,2)</f>
        <v>1.1499999999999999</v>
      </c>
      <c r="R25" s="515">
        <f t="shared" ref="R25:R28" si="8">I25</f>
        <v>12.1</v>
      </c>
      <c r="S25" s="507"/>
    </row>
    <row r="26" spans="1:19">
      <c r="A26" s="509" t="s">
        <v>527</v>
      </c>
      <c r="B26" s="514">
        <v>336.55891192216831</v>
      </c>
      <c r="C26" s="466">
        <v>11.55</v>
      </c>
      <c r="D26" s="512">
        <f>ROUND((B26*C26),0)</f>
        <v>3887</v>
      </c>
      <c r="E26" s="512"/>
      <c r="F26" s="511">
        <f>F14</f>
        <v>8.9190625116996518</v>
      </c>
      <c r="G26" s="511">
        <f>'SL 2'!$L$27</f>
        <v>15.011656340736559</v>
      </c>
      <c r="H26" s="511"/>
      <c r="I26" s="111">
        <f>ROUND(IF(G26*$B$58&gt;(1+$B$56)*C26,(1+$B$56)*C26,MAX(G26*$B$58,C26))*20,0)/20</f>
        <v>12.95</v>
      </c>
      <c r="J26" s="111"/>
      <c r="K26" s="512">
        <f>ROUND((B26*I26),0)</f>
        <v>4358</v>
      </c>
      <c r="L26" s="512"/>
      <c r="M26" s="512">
        <f>K26-D26</f>
        <v>471</v>
      </c>
      <c r="N26" s="132">
        <f>ROUND(((I26/C26)-1),4)</f>
        <v>0.1212</v>
      </c>
      <c r="P26" s="133">
        <f>P14</f>
        <v>58.7</v>
      </c>
      <c r="Q26" s="133">
        <f t="shared" si="7"/>
        <v>1.67</v>
      </c>
      <c r="R26" s="515">
        <f t="shared" si="8"/>
        <v>12.95</v>
      </c>
      <c r="S26" s="507"/>
    </row>
    <row r="27" spans="1:19">
      <c r="A27" s="509" t="s">
        <v>526</v>
      </c>
      <c r="B27" s="514">
        <v>6370.5794042410434</v>
      </c>
      <c r="C27" s="466">
        <v>12.95</v>
      </c>
      <c r="D27" s="512">
        <f>ROUND((B27*C27),0)</f>
        <v>82499</v>
      </c>
      <c r="E27" s="512"/>
      <c r="F27" s="511">
        <f>F15</f>
        <v>10.587433458488523</v>
      </c>
      <c r="G27" s="511">
        <f>'SL 2'!$L$28</f>
        <v>16.68002728752543</v>
      </c>
      <c r="H27" s="511"/>
      <c r="I27" s="111">
        <f>ROUND(IF(G27*$B$58&gt;(1+$B$56)*C27,(1+$B$56)*C27,MAX(G27*$B$58,C27))*20,0)/20</f>
        <v>14.55</v>
      </c>
      <c r="J27" s="512"/>
      <c r="K27" s="512">
        <f>ROUND((B27*I27),0)</f>
        <v>92692</v>
      </c>
      <c r="L27" s="512"/>
      <c r="M27" s="512">
        <f>K27-D27</f>
        <v>10193</v>
      </c>
      <c r="N27" s="132">
        <f>ROUND(((I27/C27)-1),4)</f>
        <v>0.1236</v>
      </c>
      <c r="P27" s="133">
        <f>P15</f>
        <v>84.3</v>
      </c>
      <c r="Q27" s="133">
        <f t="shared" si="7"/>
        <v>2.4</v>
      </c>
      <c r="R27" s="515">
        <f t="shared" si="8"/>
        <v>14.55</v>
      </c>
      <c r="S27" s="507"/>
    </row>
    <row r="28" spans="1:19">
      <c r="A28" s="509" t="s">
        <v>525</v>
      </c>
      <c r="B28" s="514">
        <v>5930.8491591998772</v>
      </c>
      <c r="C28" s="466">
        <v>16.61</v>
      </c>
      <c r="D28" s="512">
        <f>ROUND((B28*C28),0)</f>
        <v>98511</v>
      </c>
      <c r="E28" s="512"/>
      <c r="F28" s="511">
        <f>F16</f>
        <v>14.687636222948679</v>
      </c>
      <c r="G28" s="511">
        <f>'SL 2'!$L$29</f>
        <v>20.780230051985587</v>
      </c>
      <c r="H28" s="511"/>
      <c r="I28" s="111">
        <f>ROUND(IF(G28*$B$58&gt;(1+$B$56)*C28,(1+$B$56)*C28,MAX(G28*$B$58,C28))*20,0)/20</f>
        <v>18.649999999999999</v>
      </c>
      <c r="J28" s="111"/>
      <c r="K28" s="512">
        <f>ROUND((B28*I28),0)</f>
        <v>110610</v>
      </c>
      <c r="L28" s="512"/>
      <c r="M28" s="512">
        <f>K28-D28</f>
        <v>12099</v>
      </c>
      <c r="N28" s="132">
        <f>ROUND(((I28/C28)-1),4)</f>
        <v>0.12280000000000001</v>
      </c>
      <c r="P28" s="133">
        <f>P16</f>
        <v>166.7</v>
      </c>
      <c r="Q28" s="133">
        <f t="shared" si="7"/>
        <v>4.75</v>
      </c>
      <c r="R28" s="515">
        <f t="shared" si="8"/>
        <v>18.649999999999999</v>
      </c>
      <c r="S28" s="507"/>
    </row>
    <row r="29" spans="1:19">
      <c r="B29" s="114"/>
      <c r="C29" s="113"/>
      <c r="D29" s="131"/>
      <c r="E29" s="131"/>
      <c r="F29" s="113"/>
      <c r="G29" s="113"/>
      <c r="H29" s="113"/>
      <c r="I29" s="113"/>
      <c r="J29" s="111"/>
      <c r="K29" s="131"/>
      <c r="L29" s="131"/>
      <c r="M29" s="131"/>
      <c r="N29" s="132"/>
      <c r="S29" s="507"/>
    </row>
    <row r="30" spans="1:19">
      <c r="B30" s="114"/>
      <c r="C30" s="113"/>
      <c r="D30" s="131"/>
      <c r="E30" s="131"/>
      <c r="F30" s="113"/>
      <c r="G30" s="113"/>
      <c r="H30" s="113"/>
      <c r="I30" s="113"/>
      <c r="J30" s="111"/>
      <c r="K30" s="131"/>
      <c r="L30" s="131"/>
      <c r="M30" s="131"/>
      <c r="N30" s="132"/>
      <c r="S30" s="507"/>
    </row>
    <row r="31" spans="1:19">
      <c r="B31" s="114"/>
      <c r="C31" s="113"/>
      <c r="D31" s="131"/>
      <c r="E31" s="131"/>
      <c r="F31" s="113"/>
      <c r="G31" s="113"/>
      <c r="H31" s="113"/>
      <c r="I31" s="113"/>
      <c r="J31" s="111"/>
      <c r="K31" s="131"/>
      <c r="L31" s="131"/>
      <c r="M31" s="131"/>
      <c r="N31" s="132"/>
      <c r="S31" s="507"/>
    </row>
    <row r="32" spans="1:19">
      <c r="B32" s="114"/>
      <c r="C32" s="113"/>
      <c r="D32" s="131"/>
      <c r="E32" s="131"/>
      <c r="F32" s="113"/>
      <c r="G32" s="113"/>
      <c r="H32" s="113"/>
      <c r="I32" s="113"/>
      <c r="J32" s="111"/>
      <c r="K32" s="131"/>
      <c r="L32" s="131"/>
      <c r="M32" s="131"/>
      <c r="N32" s="132"/>
      <c r="S32" s="507"/>
    </row>
    <row r="33" spans="1:20">
      <c r="B33" s="114"/>
      <c r="C33" s="113"/>
      <c r="D33" s="131"/>
      <c r="E33" s="131"/>
      <c r="F33" s="113"/>
      <c r="G33" s="113"/>
      <c r="H33" s="113"/>
      <c r="I33" s="113"/>
      <c r="J33" s="111"/>
      <c r="K33" s="131"/>
      <c r="L33" s="131"/>
      <c r="M33" s="131"/>
      <c r="N33" s="132"/>
      <c r="S33" s="507"/>
    </row>
    <row r="34" spans="1:20">
      <c r="B34" s="114"/>
      <c r="C34" s="113"/>
      <c r="D34" s="131"/>
      <c r="E34" s="131"/>
      <c r="F34" s="113"/>
      <c r="G34" s="113"/>
      <c r="H34" s="113"/>
      <c r="I34" s="113"/>
      <c r="J34" s="111"/>
      <c r="K34" s="131"/>
      <c r="L34" s="131"/>
      <c r="M34" s="131"/>
      <c r="N34" s="132"/>
      <c r="S34" s="507"/>
    </row>
    <row r="35" spans="1:20" ht="15.75">
      <c r="A35" s="508" t="s">
        <v>529</v>
      </c>
      <c r="B35" s="114"/>
      <c r="C35" s="113"/>
      <c r="D35" s="131"/>
      <c r="E35" s="131"/>
      <c r="F35" s="113"/>
      <c r="G35" s="516"/>
      <c r="H35" s="516"/>
      <c r="I35" s="113"/>
      <c r="J35" s="111"/>
      <c r="K35" s="131"/>
      <c r="L35" s="131"/>
      <c r="M35" s="131"/>
      <c r="N35" s="132"/>
      <c r="S35" s="507"/>
    </row>
    <row r="36" spans="1:20">
      <c r="A36" s="509" t="s">
        <v>528</v>
      </c>
      <c r="B36" s="514">
        <v>0</v>
      </c>
      <c r="C36" s="466">
        <v>27.45</v>
      </c>
      <c r="D36" s="512">
        <f>ROUND((B36*C36),0)</f>
        <v>0</v>
      </c>
      <c r="E36" s="512"/>
      <c r="F36" s="511">
        <f>F13</f>
        <v>8.0274599117271634</v>
      </c>
      <c r="G36" s="511">
        <f>'SL 2'!L43</f>
        <v>26.750160873349472</v>
      </c>
      <c r="H36" s="511"/>
      <c r="I36" s="111">
        <f>ROUND((G36)*20,0)/20</f>
        <v>26.75</v>
      </c>
      <c r="J36" s="111"/>
      <c r="K36" s="512">
        <f>ROUND((B36*I36),0)</f>
        <v>0</v>
      </c>
      <c r="L36" s="512"/>
      <c r="M36" s="512">
        <f>K36-D36</f>
        <v>0</v>
      </c>
      <c r="N36" s="132">
        <f>ROUND(((I36/C36)-1),4)</f>
        <v>-2.5499999999999998E-2</v>
      </c>
      <c r="P36" s="133">
        <f>P25</f>
        <v>40.299999999999997</v>
      </c>
      <c r="Q36" s="133">
        <f t="shared" ref="Q36:Q39" si="9">ROUND(P36*Q$4,2)</f>
        <v>1.1499999999999999</v>
      </c>
      <c r="R36" s="515">
        <f>I36</f>
        <v>26.75</v>
      </c>
      <c r="S36" s="507"/>
    </row>
    <row r="37" spans="1:20">
      <c r="A37" s="509" t="s">
        <v>527</v>
      </c>
      <c r="B37" s="514">
        <v>0</v>
      </c>
      <c r="C37" s="466">
        <v>28.15</v>
      </c>
      <c r="D37" s="512">
        <f>ROUND((B37*C37),0)</f>
        <v>0</v>
      </c>
      <c r="E37" s="512"/>
      <c r="F37" s="511">
        <f>F14</f>
        <v>8.9190625116996518</v>
      </c>
      <c r="G37" s="511">
        <f>'SL 2'!L44</f>
        <v>27.641763473321955</v>
      </c>
      <c r="H37" s="511"/>
      <c r="I37" s="111">
        <f>ROUND((G37)*20,0)/20</f>
        <v>27.65</v>
      </c>
      <c r="J37" s="111"/>
      <c r="K37" s="512">
        <f>ROUND((B37*I37),0)</f>
        <v>0</v>
      </c>
      <c r="L37" s="512"/>
      <c r="M37" s="512">
        <f>K37-D37</f>
        <v>0</v>
      </c>
      <c r="N37" s="132">
        <f>ROUND(((I37/C37)-1),4)</f>
        <v>-1.78E-2</v>
      </c>
      <c r="P37" s="133">
        <f>P26</f>
        <v>58.7</v>
      </c>
      <c r="Q37" s="133">
        <f t="shared" si="9"/>
        <v>1.67</v>
      </c>
      <c r="R37" s="515">
        <f t="shared" ref="R37:R39" si="10">I37</f>
        <v>27.65</v>
      </c>
      <c r="S37" s="507"/>
    </row>
    <row r="38" spans="1:20" ht="15" customHeight="1">
      <c r="A38" s="509" t="s">
        <v>526</v>
      </c>
      <c r="B38" s="514">
        <v>0</v>
      </c>
      <c r="C38" s="466">
        <v>26.7</v>
      </c>
      <c r="D38" s="512">
        <f>ROUND((B38*C38),0)</f>
        <v>0</v>
      </c>
      <c r="E38" s="512"/>
      <c r="F38" s="511">
        <f>F15</f>
        <v>10.587433458488523</v>
      </c>
      <c r="G38" s="511">
        <f>'SL 2'!L45</f>
        <v>29.310134420110828</v>
      </c>
      <c r="H38" s="511"/>
      <c r="I38" s="111">
        <f>ROUND(IF(G38*$B$58&gt;(1+$B$56)*C38,(1+$B$56)*C38,MAX(G38*$B$58,C38))*20,0)/20</f>
        <v>29.3</v>
      </c>
      <c r="J38" s="111"/>
      <c r="K38" s="512">
        <f>ROUND((B38*I38),0)</f>
        <v>0</v>
      </c>
      <c r="L38" s="512"/>
      <c r="M38" s="512">
        <f>K38-D38</f>
        <v>0</v>
      </c>
      <c r="N38" s="132">
        <f>ROUND(((I38/C38)-1),4)</f>
        <v>9.74E-2</v>
      </c>
      <c r="P38" s="133">
        <f>P27</f>
        <v>84.3</v>
      </c>
      <c r="Q38" s="133">
        <f t="shared" si="9"/>
        <v>2.4</v>
      </c>
      <c r="R38" s="515">
        <f t="shared" si="10"/>
        <v>29.3</v>
      </c>
      <c r="S38" s="507"/>
    </row>
    <row r="39" spans="1:20">
      <c r="A39" s="517" t="s">
        <v>525</v>
      </c>
      <c r="B39" s="514">
        <v>1936</v>
      </c>
      <c r="C39" s="466">
        <v>27.11</v>
      </c>
      <c r="D39" s="518">
        <f>ROUND((B39*C39),0)</f>
        <v>52485</v>
      </c>
      <c r="E39" s="518"/>
      <c r="F39" s="519">
        <f>F16</f>
        <v>14.687636222948679</v>
      </c>
      <c r="G39" s="519">
        <f>'SL 2'!L46</f>
        <v>33.410337184570984</v>
      </c>
      <c r="H39" s="519"/>
      <c r="I39" s="111">
        <f>ROUND(IF(G39*$B$58&gt;(1+$B$56)*C39,(1+$B$56)*C39,MAX(G39*$B$58,C39))*20,0)/20</f>
        <v>30.4</v>
      </c>
      <c r="J39" s="111"/>
      <c r="K39" s="518">
        <f>ROUND((B39*I39),0)</f>
        <v>58854</v>
      </c>
      <c r="L39" s="518"/>
      <c r="M39" s="518">
        <f>K39-D39</f>
        <v>6369</v>
      </c>
      <c r="N39" s="520">
        <f>ROUND(((I39/C39)-1),4)</f>
        <v>0.12139999999999999</v>
      </c>
      <c r="P39" s="133">
        <f>P28</f>
        <v>166.7</v>
      </c>
      <c r="Q39" s="133">
        <f t="shared" si="9"/>
        <v>4.75</v>
      </c>
      <c r="R39" s="515">
        <f t="shared" si="10"/>
        <v>30.4</v>
      </c>
      <c r="S39" s="507"/>
    </row>
    <row r="40" spans="1:20">
      <c r="A40" s="517"/>
      <c r="B40" s="514"/>
      <c r="C40" s="466"/>
      <c r="D40" s="518"/>
      <c r="E40" s="518"/>
      <c r="F40" s="519"/>
      <c r="G40" s="519"/>
      <c r="H40" s="519"/>
      <c r="I40" s="111"/>
      <c r="J40" s="111"/>
      <c r="K40" s="518"/>
      <c r="L40" s="518"/>
      <c r="M40" s="518"/>
      <c r="N40" s="520"/>
      <c r="R40" s="515"/>
      <c r="S40" s="507"/>
    </row>
    <row r="41" spans="1:20">
      <c r="A41" s="517"/>
      <c r="B41" s="514"/>
      <c r="C41" s="466"/>
      <c r="D41" s="518"/>
      <c r="E41" s="518"/>
      <c r="F41" s="519"/>
      <c r="G41" s="519"/>
      <c r="H41" s="519"/>
      <c r="I41" s="111"/>
      <c r="J41" s="111"/>
      <c r="K41" s="518"/>
      <c r="L41" s="518"/>
      <c r="M41" s="518"/>
      <c r="N41" s="520"/>
      <c r="R41" s="515"/>
      <c r="S41" s="507"/>
    </row>
    <row r="42" spans="1:20">
      <c r="A42" s="517"/>
      <c r="B42" s="514"/>
      <c r="C42" s="466"/>
      <c r="D42" s="518"/>
      <c r="E42" s="518"/>
      <c r="F42" s="519"/>
      <c r="G42" s="519"/>
      <c r="H42" s="519"/>
      <c r="I42" s="111"/>
      <c r="J42" s="111"/>
      <c r="K42" s="518"/>
      <c r="L42" s="518"/>
      <c r="M42" s="518"/>
      <c r="N42" s="520"/>
      <c r="R42" s="515"/>
      <c r="S42" s="507"/>
    </row>
    <row r="43" spans="1:20">
      <c r="A43" s="517"/>
      <c r="B43" s="514"/>
      <c r="C43" s="466"/>
      <c r="D43" s="518"/>
      <c r="E43" s="518"/>
      <c r="F43" s="519"/>
      <c r="G43" s="519"/>
      <c r="H43" s="519"/>
      <c r="I43" s="111"/>
      <c r="J43" s="111"/>
      <c r="K43" s="518"/>
      <c r="L43" s="518"/>
      <c r="M43" s="518"/>
      <c r="N43" s="520"/>
      <c r="R43" s="515"/>
      <c r="S43" s="507"/>
    </row>
    <row r="44" spans="1:20">
      <c r="A44" s="517"/>
      <c r="B44" s="514"/>
      <c r="C44" s="466"/>
      <c r="D44" s="518"/>
      <c r="E44" s="518"/>
      <c r="F44" s="519"/>
      <c r="G44" s="519"/>
      <c r="H44" s="519"/>
      <c r="I44" s="111"/>
      <c r="J44" s="111"/>
      <c r="K44" s="518"/>
      <c r="L44" s="518"/>
      <c r="M44" s="518"/>
      <c r="N44" s="520"/>
      <c r="R44" s="515"/>
      <c r="S44" s="507"/>
    </row>
    <row r="45" spans="1:20">
      <c r="A45" s="521"/>
      <c r="B45" s="522"/>
      <c r="C45" s="523"/>
      <c r="D45" s="524"/>
      <c r="E45" s="524"/>
      <c r="F45" s="523"/>
      <c r="G45" s="523"/>
      <c r="H45" s="523"/>
      <c r="I45" s="523"/>
      <c r="J45" s="523"/>
      <c r="K45" s="524"/>
      <c r="L45" s="524"/>
      <c r="M45" s="524"/>
      <c r="N45" s="520"/>
      <c r="S45" s="507"/>
    </row>
    <row r="46" spans="1:20">
      <c r="A46" s="517" t="s">
        <v>132</v>
      </c>
      <c r="B46" s="525"/>
      <c r="C46" s="526"/>
      <c r="D46" s="527"/>
      <c r="E46" s="527"/>
      <c r="F46" s="526"/>
      <c r="G46" s="526"/>
      <c r="H46" s="526"/>
      <c r="I46" s="526"/>
      <c r="J46" s="526"/>
      <c r="K46" s="527">
        <f>SUM(K7:K39)</f>
        <v>1352911</v>
      </c>
      <c r="L46" s="527"/>
      <c r="M46" s="527">
        <f>SUM(M7:M39)</f>
        <v>148368</v>
      </c>
      <c r="N46" s="520"/>
      <c r="S46" s="507"/>
    </row>
    <row r="47" spans="1:20">
      <c r="A47" s="517"/>
      <c r="B47" s="525"/>
      <c r="C47" s="526"/>
      <c r="D47" s="527"/>
      <c r="E47" s="527"/>
      <c r="F47" s="526"/>
      <c r="G47" s="526"/>
      <c r="H47" s="526"/>
      <c r="I47" s="526"/>
      <c r="J47" s="526"/>
      <c r="K47" s="527"/>
      <c r="L47" s="527"/>
      <c r="M47" s="527"/>
      <c r="N47" s="520"/>
      <c r="S47" s="507"/>
      <c r="T47" s="133" t="s">
        <v>804</v>
      </c>
    </row>
    <row r="48" spans="1:20">
      <c r="A48" s="112" t="s">
        <v>801</v>
      </c>
      <c r="B48" s="525"/>
      <c r="C48" s="526"/>
      <c r="D48" s="527"/>
      <c r="E48" s="527"/>
      <c r="F48" s="526"/>
      <c r="G48" s="526"/>
      <c r="H48" s="526"/>
      <c r="I48" s="526"/>
      <c r="J48" s="526"/>
      <c r="K48" s="528">
        <v>231908.68085</v>
      </c>
      <c r="L48" s="527"/>
      <c r="M48" s="527"/>
      <c r="N48" s="520"/>
      <c r="S48" s="507"/>
    </row>
    <row r="49" spans="1:19" ht="15.75" thickBot="1">
      <c r="A49" s="497"/>
      <c r="B49" s="114"/>
      <c r="C49" s="113"/>
      <c r="D49" s="529"/>
      <c r="E49" s="529"/>
      <c r="F49" s="113"/>
      <c r="G49" s="113"/>
      <c r="H49" s="113"/>
      <c r="I49" s="113"/>
      <c r="J49" s="113"/>
      <c r="K49" s="131"/>
      <c r="M49" s="131"/>
      <c r="N49" s="132"/>
      <c r="S49" s="507"/>
    </row>
    <row r="50" spans="1:19" ht="15.75" thickTop="1">
      <c r="A50" s="530" t="s">
        <v>9</v>
      </c>
      <c r="B50" s="531"/>
      <c r="C50" s="532"/>
      <c r="D50" s="527"/>
      <c r="E50" s="527"/>
      <c r="F50" s="532"/>
      <c r="G50" s="532"/>
      <c r="H50" s="532"/>
      <c r="I50" s="532"/>
      <c r="J50" s="532"/>
      <c r="K50" s="533">
        <f>K46+K48</f>
        <v>1584819.6808500001</v>
      </c>
      <c r="M50" s="131"/>
      <c r="N50" s="132"/>
      <c r="S50" s="507"/>
    </row>
    <row r="51" spans="1:19">
      <c r="A51" s="509"/>
      <c r="B51" s="114"/>
      <c r="C51" s="113"/>
      <c r="D51" s="131"/>
      <c r="E51" s="131"/>
      <c r="F51" s="113" t="s">
        <v>72</v>
      </c>
      <c r="G51" s="113"/>
      <c r="H51" s="113"/>
      <c r="I51" s="113"/>
      <c r="J51" s="113"/>
      <c r="K51" s="131"/>
      <c r="L51" s="131"/>
      <c r="M51" s="131"/>
      <c r="N51" s="132"/>
      <c r="S51" s="507"/>
    </row>
    <row r="52" spans="1:19">
      <c r="A52" s="509" t="s">
        <v>452</v>
      </c>
      <c r="B52" s="114"/>
      <c r="C52" s="113"/>
      <c r="D52" s="131"/>
      <c r="E52" s="131"/>
      <c r="F52" s="113"/>
      <c r="G52" s="113"/>
      <c r="H52" s="113"/>
      <c r="I52" s="113"/>
      <c r="J52" s="113"/>
      <c r="K52" s="534">
        <f>'EX AEV-1'!X26</f>
        <v>1587708.5934578455</v>
      </c>
      <c r="L52" s="131"/>
      <c r="M52" s="131"/>
      <c r="N52" s="132"/>
      <c r="S52" s="507"/>
    </row>
    <row r="53" spans="1:19">
      <c r="B53" s="114"/>
      <c r="C53" s="113"/>
      <c r="D53" s="131"/>
      <c r="E53" s="131"/>
      <c r="F53" s="113"/>
      <c r="G53" s="113"/>
      <c r="H53" s="113"/>
      <c r="I53" s="113"/>
      <c r="J53" s="113"/>
      <c r="K53" s="131"/>
      <c r="L53" s="131"/>
      <c r="M53" s="131"/>
      <c r="N53" s="132"/>
      <c r="S53" s="507"/>
    </row>
    <row r="54" spans="1:19">
      <c r="A54" s="133" t="s">
        <v>42</v>
      </c>
      <c r="B54" s="114"/>
      <c r="C54" s="113"/>
      <c r="D54" s="131"/>
      <c r="E54" s="131"/>
      <c r="F54" s="113"/>
      <c r="G54" s="113"/>
      <c r="H54" s="113"/>
      <c r="I54" s="113"/>
      <c r="J54" s="113"/>
      <c r="K54" s="131">
        <f>ROUND(K50-K52,0)</f>
        <v>-2889</v>
      </c>
      <c r="L54" s="131"/>
      <c r="M54" s="131"/>
      <c r="N54" s="132"/>
      <c r="S54" s="507"/>
    </row>
    <row r="55" spans="1:19">
      <c r="B55" s="114"/>
      <c r="C55" s="113"/>
      <c r="D55" s="131"/>
      <c r="E55" s="131"/>
      <c r="F55" s="113"/>
      <c r="G55" s="113"/>
      <c r="H55" s="113"/>
      <c r="I55" s="113"/>
      <c r="J55" s="113"/>
      <c r="K55" s="131"/>
      <c r="L55" s="131"/>
      <c r="M55" s="131"/>
      <c r="N55" s="132"/>
    </row>
    <row r="56" spans="1:19">
      <c r="A56" s="103" t="s">
        <v>839</v>
      </c>
      <c r="B56" s="481">
        <f>1.2*0.1018</f>
        <v>0.12215999999999999</v>
      </c>
      <c r="C56" s="113"/>
      <c r="D56" s="131"/>
      <c r="E56" s="131"/>
      <c r="F56" s="113"/>
      <c r="G56" s="113"/>
      <c r="H56" s="113"/>
      <c r="I56" s="113"/>
      <c r="J56" s="113"/>
      <c r="K56" s="131"/>
      <c r="L56" s="131"/>
      <c r="M56" s="131"/>
      <c r="N56" s="132"/>
    </row>
    <row r="57" spans="1:19">
      <c r="B57" s="114"/>
      <c r="C57" s="113"/>
      <c r="D57" s="131"/>
      <c r="E57" s="131"/>
      <c r="F57" s="113"/>
      <c r="G57" s="113"/>
      <c r="H57" s="113"/>
      <c r="I57" s="131"/>
      <c r="J57" s="131"/>
      <c r="K57" s="131"/>
      <c r="L57" s="131"/>
      <c r="M57" s="131"/>
      <c r="N57" s="132"/>
    </row>
    <row r="58" spans="1:19">
      <c r="A58" s="509" t="s">
        <v>451</v>
      </c>
      <c r="B58" s="535">
        <v>1</v>
      </c>
      <c r="C58" s="113"/>
      <c r="D58" s="131"/>
      <c r="E58" s="131"/>
      <c r="F58" s="113"/>
      <c r="G58" s="113"/>
      <c r="H58" s="113"/>
      <c r="I58" s="113"/>
      <c r="J58" s="113"/>
      <c r="K58" s="131"/>
      <c r="L58" s="131"/>
      <c r="M58" s="131"/>
      <c r="N58" s="132"/>
    </row>
    <row r="59" spans="1:19">
      <c r="A59" s="509"/>
      <c r="B59" s="536"/>
      <c r="C59" s="113"/>
      <c r="D59" s="516"/>
      <c r="E59" s="516"/>
      <c r="F59" s="113"/>
      <c r="G59" s="113"/>
      <c r="H59" s="113"/>
      <c r="I59" s="113"/>
      <c r="J59" s="113"/>
      <c r="K59" s="131"/>
      <c r="L59" s="131"/>
      <c r="M59" s="131"/>
      <c r="N59" s="132"/>
    </row>
    <row r="60" spans="1:19">
      <c r="A60" s="129"/>
      <c r="B60" s="114"/>
      <c r="C60" s="113"/>
      <c r="D60" s="131"/>
      <c r="E60" s="131"/>
      <c r="F60" s="113"/>
      <c r="G60" s="113"/>
      <c r="H60" s="113"/>
      <c r="I60" s="113"/>
      <c r="J60" s="113"/>
      <c r="K60" s="131"/>
      <c r="L60" s="131"/>
      <c r="M60" s="131"/>
      <c r="N60" s="132"/>
    </row>
    <row r="61" spans="1:19">
      <c r="B61" s="114"/>
      <c r="C61" s="113"/>
      <c r="D61" s="131"/>
      <c r="E61" s="131"/>
      <c r="F61" s="113"/>
      <c r="G61" s="113"/>
      <c r="H61" s="113"/>
      <c r="I61" s="113"/>
      <c r="J61" s="113"/>
      <c r="K61" s="131"/>
      <c r="L61" s="131"/>
      <c r="M61" s="131"/>
      <c r="N61" s="132"/>
    </row>
    <row r="62" spans="1:19">
      <c r="A62" s="516"/>
      <c r="B62" s="516"/>
      <c r="C62" s="516"/>
      <c r="D62" s="503"/>
      <c r="E62" s="503"/>
      <c r="F62" s="516"/>
    </row>
    <row r="63" spans="1:19">
      <c r="A63" s="516"/>
      <c r="B63" s="498"/>
      <c r="C63" s="537"/>
      <c r="D63" s="503"/>
      <c r="E63" s="503"/>
      <c r="F63" s="516"/>
    </row>
    <row r="64" spans="1:19">
      <c r="A64" s="504"/>
      <c r="B64" s="504"/>
      <c r="C64" s="504"/>
      <c r="D64" s="506"/>
      <c r="E64" s="506"/>
      <c r="F64" s="538"/>
    </row>
    <row r="66" spans="1:6">
      <c r="A66" s="509"/>
      <c r="B66" s="510"/>
      <c r="C66" s="510"/>
      <c r="D66" s="510"/>
      <c r="E66" s="510"/>
      <c r="F66" s="516"/>
    </row>
    <row r="67" spans="1:6">
      <c r="A67" s="509"/>
      <c r="B67" s="510"/>
      <c r="C67" s="539"/>
      <c r="D67" s="540"/>
      <c r="E67" s="540"/>
      <c r="F67" s="516"/>
    </row>
    <row r="68" spans="1:6">
      <c r="A68" s="509"/>
      <c r="B68" s="510"/>
      <c r="C68" s="539"/>
      <c r="D68" s="540"/>
      <c r="E68" s="540"/>
      <c r="F68" s="516"/>
    </row>
    <row r="69" spans="1:6">
      <c r="A69" s="509"/>
      <c r="B69" s="510"/>
      <c r="C69" s="539"/>
      <c r="D69" s="540"/>
      <c r="E69" s="540"/>
      <c r="F69" s="516"/>
    </row>
    <row r="70" spans="1:6">
      <c r="A70" s="509"/>
      <c r="B70" s="510"/>
      <c r="C70" s="539"/>
      <c r="D70" s="540"/>
      <c r="E70" s="540"/>
      <c r="F70" s="516"/>
    </row>
    <row r="71" spans="1:6">
      <c r="A71" s="509"/>
      <c r="B71" s="510"/>
      <c r="C71" s="539"/>
      <c r="D71" s="540"/>
      <c r="E71" s="540"/>
      <c r="F71" s="516"/>
    </row>
    <row r="72" spans="1:6">
      <c r="A72" s="509"/>
      <c r="B72" s="510"/>
      <c r="C72" s="539"/>
      <c r="D72" s="540"/>
      <c r="E72" s="540"/>
      <c r="F72" s="516"/>
    </row>
    <row r="74" spans="1:6">
      <c r="A74" s="509"/>
      <c r="B74" s="541"/>
    </row>
    <row r="75" spans="1:6">
      <c r="A75" s="509"/>
      <c r="B75" s="541"/>
    </row>
  </sheetData>
  <printOptions horizontalCentered="1"/>
  <pageMargins left="0.5" right="0.5" top="1.25" bottom="0.5" header="0.5" footer="0.5"/>
  <pageSetup fitToHeight="2" orientation="landscape" r:id="rId1"/>
  <headerFooter alignWithMargins="0">
    <oddHeader>&amp;L&amp;F
Page &amp;P of &amp;N&amp;CKentucky Power Company
SL Rate Design
Twelve Months Ended March 31, 2013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69"/>
  <sheetViews>
    <sheetView showOutlineSymbols="0" topLeftCell="A46" zoomScale="90" zoomScaleNormal="90" workbookViewId="0">
      <selection activeCell="F73" sqref="F73"/>
    </sheetView>
  </sheetViews>
  <sheetFormatPr defaultColWidth="10.875" defaultRowHeight="15"/>
  <cols>
    <col min="1" max="1" width="23.25" style="133" customWidth="1"/>
    <col min="2" max="2" width="14.25" style="133" customWidth="1"/>
    <col min="3" max="3" width="15.25" style="133" customWidth="1"/>
    <col min="4" max="4" width="12.625" style="133" bestFit="1" customWidth="1"/>
    <col min="5" max="5" width="10" style="133" bestFit="1" customWidth="1"/>
    <col min="6" max="6" width="15.25" style="133" customWidth="1"/>
    <col min="7" max="7" width="22.5" style="133" bestFit="1" customWidth="1"/>
    <col min="8" max="8" width="12.625" style="133" bestFit="1" customWidth="1"/>
    <col min="9" max="9" width="11.875" style="133" bestFit="1" customWidth="1"/>
    <col min="10" max="10" width="14.875" style="133" bestFit="1" customWidth="1"/>
    <col min="11" max="11" width="12.625" style="133" bestFit="1" customWidth="1"/>
    <col min="12" max="12" width="15.5" style="133" bestFit="1" customWidth="1"/>
    <col min="13" max="16384" width="10.875" style="133"/>
  </cols>
  <sheetData>
    <row r="1" spans="1:9">
      <c r="A1" s="133" t="s">
        <v>1039</v>
      </c>
    </row>
    <row r="2" spans="1:9">
      <c r="A2" s="542"/>
      <c r="B2" s="501" t="s">
        <v>523</v>
      </c>
      <c r="C2" s="501" t="s">
        <v>518</v>
      </c>
      <c r="D2" s="501" t="s">
        <v>490</v>
      </c>
      <c r="E2" s="498"/>
      <c r="F2" s="498"/>
      <c r="G2" s="498" t="s">
        <v>989</v>
      </c>
      <c r="H2" s="501" t="s">
        <v>523</v>
      </c>
      <c r="I2" s="501" t="s">
        <v>522</v>
      </c>
    </row>
    <row r="3" spans="1:9">
      <c r="A3" s="501" t="s">
        <v>494</v>
      </c>
      <c r="B3" s="501" t="s">
        <v>521</v>
      </c>
      <c r="C3" s="501" t="s">
        <v>520</v>
      </c>
      <c r="D3" s="501" t="s">
        <v>516</v>
      </c>
      <c r="E3" s="499" t="s">
        <v>519</v>
      </c>
      <c r="F3" s="499"/>
      <c r="G3" s="691">
        <f>I69-0.02851</f>
        <v>4.5333013506630222E-2</v>
      </c>
      <c r="H3" s="501" t="s">
        <v>518</v>
      </c>
      <c r="I3" s="501" t="s">
        <v>387</v>
      </c>
    </row>
    <row r="4" spans="1:9">
      <c r="A4" s="504" t="s">
        <v>488</v>
      </c>
      <c r="B4" s="504" t="s">
        <v>387</v>
      </c>
      <c r="C4" s="504" t="s">
        <v>387</v>
      </c>
      <c r="D4" s="504" t="s">
        <v>387</v>
      </c>
      <c r="E4" s="505" t="s">
        <v>490</v>
      </c>
      <c r="F4" s="505" t="s">
        <v>518</v>
      </c>
      <c r="G4" s="504" t="s">
        <v>517</v>
      </c>
      <c r="H4" s="504" t="s">
        <v>516</v>
      </c>
      <c r="I4" s="504" t="s">
        <v>515</v>
      </c>
    </row>
    <row r="5" spans="1:9">
      <c r="A5" s="543">
        <v>-1</v>
      </c>
      <c r="B5" s="543">
        <f>A5-1</f>
        <v>-2</v>
      </c>
      <c r="C5" s="498" t="s">
        <v>567</v>
      </c>
      <c r="D5" s="543">
        <v>-4</v>
      </c>
      <c r="E5" s="543">
        <f>D5-1</f>
        <v>-5</v>
      </c>
      <c r="F5" s="543">
        <f>E5-1</f>
        <v>-6</v>
      </c>
      <c r="G5" s="498" t="s">
        <v>513</v>
      </c>
      <c r="H5" s="543">
        <v>-8</v>
      </c>
      <c r="I5" s="498" t="s">
        <v>512</v>
      </c>
    </row>
    <row r="6" spans="1:9" ht="15.75">
      <c r="A6" s="508" t="s">
        <v>538</v>
      </c>
      <c r="C6" s="509"/>
      <c r="G6" s="501"/>
      <c r="I6" s="503"/>
    </row>
    <row r="7" spans="1:9" ht="15.75">
      <c r="A7" s="544" t="s">
        <v>511</v>
      </c>
    </row>
    <row r="8" spans="1:9">
      <c r="A8" s="509" t="s">
        <v>556</v>
      </c>
      <c r="B8" s="545">
        <v>359.58</v>
      </c>
      <c r="C8" s="113">
        <f>B8*C$66</f>
        <v>3.7607932450604973</v>
      </c>
      <c r="D8" s="545">
        <f>ROUND((76.23+69.96)*2/10,2)</f>
        <v>29.24</v>
      </c>
      <c r="E8" s="114">
        <v>484</v>
      </c>
      <c r="F8" s="546">
        <f>ROUND(E8/12,1)</f>
        <v>40.299999999999997</v>
      </c>
      <c r="G8" s="113">
        <f>ROUND(F8*$G$3,2)</f>
        <v>1.83</v>
      </c>
      <c r="H8" s="113">
        <f>D8/12</f>
        <v>2.4366666666666665</v>
      </c>
      <c r="I8" s="113">
        <f>SUM(C8+G8+H8,0)</f>
        <v>8.0274599117271634</v>
      </c>
    </row>
    <row r="9" spans="1:9">
      <c r="A9" s="509" t="s">
        <v>555</v>
      </c>
      <c r="B9" s="545">
        <v>363</v>
      </c>
      <c r="C9" s="113">
        <f>B9*C$66</f>
        <v>3.7965625116996509</v>
      </c>
      <c r="D9" s="545">
        <f>ROUND((77.81+69.96)*2/10,2)</f>
        <v>29.55</v>
      </c>
      <c r="E9" s="114">
        <v>704</v>
      </c>
      <c r="F9" s="546">
        <f>ROUND(E9/12,1)</f>
        <v>58.7</v>
      </c>
      <c r="G9" s="113">
        <f t="shared" ref="G9:G10" si="0">ROUND(F9*$G$3,2)</f>
        <v>2.66</v>
      </c>
      <c r="H9" s="113">
        <f>D9/12</f>
        <v>2.4624999999999999</v>
      </c>
      <c r="I9" s="113">
        <f>SUM(C9+G9+H9,0)</f>
        <v>8.9190625116996518</v>
      </c>
    </row>
    <row r="10" spans="1:9">
      <c r="A10" s="509" t="s">
        <v>554</v>
      </c>
      <c r="B10" s="545">
        <v>410.81</v>
      </c>
      <c r="C10" s="113">
        <f>B10*C$66</f>
        <v>4.2966001251551891</v>
      </c>
      <c r="D10" s="545">
        <f>ROUND((78.3+69.96)*2/10,2)</f>
        <v>29.65</v>
      </c>
      <c r="E10" s="114">
        <v>1012</v>
      </c>
      <c r="F10" s="546">
        <f>ROUND(E10/12,1)</f>
        <v>84.3</v>
      </c>
      <c r="G10" s="113">
        <f t="shared" si="0"/>
        <v>3.82</v>
      </c>
      <c r="H10" s="113">
        <f>D10/12</f>
        <v>2.4708333333333332</v>
      </c>
      <c r="I10" s="113">
        <f>SUM(C10+G10+H10,0)</f>
        <v>10.587433458488523</v>
      </c>
    </row>
    <row r="11" spans="1:9">
      <c r="A11" s="509" t="s">
        <v>553</v>
      </c>
      <c r="B11" s="545">
        <v>442.78</v>
      </c>
      <c r="C11" s="113">
        <f>B11*C$66</f>
        <v>4.6309695562820146</v>
      </c>
      <c r="D11" s="545">
        <f>ROUND((79.82+69.96)*2/10,2)</f>
        <v>29.96</v>
      </c>
      <c r="E11" s="114">
        <v>2000</v>
      </c>
      <c r="F11" s="546">
        <f>ROUND(E11/12,1)</f>
        <v>166.7</v>
      </c>
      <c r="G11" s="113">
        <f>ROUND(F11*$G$3,2)</f>
        <v>7.56</v>
      </c>
      <c r="H11" s="113">
        <f>D11/12</f>
        <v>2.4966666666666666</v>
      </c>
      <c r="I11" s="113">
        <f>SUM(C11+G11+H11,0)</f>
        <v>14.687636222948679</v>
      </c>
    </row>
    <row r="12" spans="1:9" ht="15.75">
      <c r="A12" s="705" t="s">
        <v>1014</v>
      </c>
      <c r="B12" s="705" t="s">
        <v>1015</v>
      </c>
      <c r="C12" s="113"/>
      <c r="E12" s="114"/>
      <c r="F12" s="114"/>
      <c r="G12" s="113"/>
      <c r="H12" s="113"/>
      <c r="I12" s="113"/>
    </row>
    <row r="13" spans="1:9">
      <c r="A13" s="133" t="s">
        <v>1016</v>
      </c>
      <c r="B13" s="133">
        <v>5400</v>
      </c>
      <c r="C13" s="113">
        <v>6.4330586412762676</v>
      </c>
      <c r="E13" s="114"/>
      <c r="F13" s="114">
        <f>'OL 1'!S34</f>
        <v>22.439999999999998</v>
      </c>
      <c r="G13" s="113">
        <f t="shared" ref="G13:G18" si="1">ROUND(F13*$G$3,2)</f>
        <v>1.02</v>
      </c>
      <c r="H13" s="113">
        <v>1.2842061250000001</v>
      </c>
      <c r="I13" s="113">
        <f t="shared" ref="I13:I18" si="2">SUM(C13+G13+H13,0)</f>
        <v>8.7372647662762688</v>
      </c>
    </row>
    <row r="14" spans="1:9">
      <c r="A14" s="133" t="s">
        <v>1017</v>
      </c>
      <c r="B14" s="133">
        <v>10500</v>
      </c>
      <c r="C14" s="113">
        <v>7.637457007970748</v>
      </c>
      <c r="E14" s="114"/>
      <c r="F14" s="114">
        <f>'OL 1'!S36</f>
        <v>40.799999999999997</v>
      </c>
      <c r="G14" s="113">
        <f t="shared" si="1"/>
        <v>1.85</v>
      </c>
      <c r="H14" s="113">
        <v>1.7640224125000001</v>
      </c>
      <c r="I14" s="113">
        <f t="shared" si="2"/>
        <v>11.251479420470748</v>
      </c>
    </row>
    <row r="15" spans="1:9">
      <c r="A15" s="133" t="s">
        <v>1018</v>
      </c>
      <c r="B15" s="133">
        <v>18430</v>
      </c>
      <c r="C15" s="113">
        <v>8.2092420911489352</v>
      </c>
      <c r="E15" s="114"/>
      <c r="F15" s="114">
        <f>'OL 1'!S38</f>
        <v>71.399999999999991</v>
      </c>
      <c r="G15" s="113">
        <f t="shared" si="1"/>
        <v>3.24</v>
      </c>
      <c r="H15" s="113">
        <v>1.9918139833333335</v>
      </c>
      <c r="I15" s="113">
        <f t="shared" si="2"/>
        <v>13.441056074482269</v>
      </c>
    </row>
    <row r="16" spans="1:9">
      <c r="A16" s="133" t="s">
        <v>1019</v>
      </c>
      <c r="B16" s="133">
        <v>7230</v>
      </c>
      <c r="C16" s="113">
        <v>5.5338536233667579</v>
      </c>
      <c r="E16" s="114"/>
      <c r="F16" s="114">
        <f>'OL 1'!S42</f>
        <v>26.52</v>
      </c>
      <c r="G16" s="113">
        <f t="shared" si="1"/>
        <v>1.2</v>
      </c>
      <c r="H16" s="113">
        <v>2.3553111708333332</v>
      </c>
      <c r="I16" s="113">
        <f t="shared" si="2"/>
        <v>9.0891647942000908</v>
      </c>
    </row>
    <row r="17" spans="1:12">
      <c r="A17" s="133" t="s">
        <v>1020</v>
      </c>
      <c r="B17" s="133">
        <v>7038</v>
      </c>
      <c r="C17" s="113">
        <v>13.200478789636326</v>
      </c>
      <c r="E17" s="114"/>
      <c r="F17" s="114">
        <f>90*4000/1000/12</f>
        <v>30</v>
      </c>
      <c r="G17" s="113">
        <f t="shared" si="1"/>
        <v>1.36</v>
      </c>
      <c r="H17" s="113">
        <v>5.5492397916666674</v>
      </c>
      <c r="I17" s="113">
        <f t="shared" si="2"/>
        <v>20.109718581302992</v>
      </c>
    </row>
    <row r="18" spans="1:12">
      <c r="A18" s="133" t="s">
        <v>1021</v>
      </c>
      <c r="B18" s="133">
        <v>21962</v>
      </c>
      <c r="C18" s="113">
        <v>9.3923505877250797</v>
      </c>
      <c r="E18" s="114"/>
      <c r="F18" s="114">
        <f>'OL 1'!S43</f>
        <v>71.399999999999991</v>
      </c>
      <c r="G18" s="113">
        <f t="shared" si="1"/>
        <v>3.24</v>
      </c>
      <c r="H18" s="113">
        <v>2.1614460041666663</v>
      </c>
      <c r="I18" s="113">
        <f t="shared" si="2"/>
        <v>14.793796591891747</v>
      </c>
    </row>
    <row r="19" spans="1:12">
      <c r="C19" s="113"/>
      <c r="E19" s="114"/>
      <c r="F19" s="114"/>
      <c r="G19" s="113"/>
      <c r="H19" s="113"/>
      <c r="I19" s="113"/>
    </row>
    <row r="20" spans="1:12">
      <c r="A20" s="542"/>
      <c r="E20" s="501" t="s">
        <v>523</v>
      </c>
      <c r="F20" s="501" t="s">
        <v>518</v>
      </c>
      <c r="G20" s="501" t="s">
        <v>490</v>
      </c>
      <c r="H20" s="498"/>
      <c r="I20" s="498"/>
      <c r="J20" s="498" t="s">
        <v>524</v>
      </c>
      <c r="K20" s="501" t="s">
        <v>523</v>
      </c>
      <c r="L20" s="501" t="s">
        <v>522</v>
      </c>
    </row>
    <row r="21" spans="1:12">
      <c r="A21" s="501" t="s">
        <v>494</v>
      </c>
      <c r="B21" s="498" t="s">
        <v>566</v>
      </c>
      <c r="C21" s="498" t="s">
        <v>565</v>
      </c>
      <c r="D21" s="498" t="s">
        <v>565</v>
      </c>
      <c r="E21" s="501" t="s">
        <v>521</v>
      </c>
      <c r="F21" s="501" t="s">
        <v>520</v>
      </c>
      <c r="G21" s="501" t="s">
        <v>516</v>
      </c>
      <c r="H21" s="499" t="s">
        <v>519</v>
      </c>
      <c r="I21" s="499"/>
      <c r="J21" s="691">
        <f>I69-0.02851</f>
        <v>4.5333013506630222E-2</v>
      </c>
      <c r="K21" s="501" t="s">
        <v>518</v>
      </c>
      <c r="L21" s="501" t="s">
        <v>387</v>
      </c>
    </row>
    <row r="22" spans="1:12">
      <c r="A22" s="504" t="s">
        <v>488</v>
      </c>
      <c r="B22" s="504" t="s">
        <v>387</v>
      </c>
      <c r="C22" s="504" t="s">
        <v>564</v>
      </c>
      <c r="D22" s="504" t="s">
        <v>387</v>
      </c>
      <c r="E22" s="504" t="s">
        <v>387</v>
      </c>
      <c r="F22" s="504" t="s">
        <v>387</v>
      </c>
      <c r="G22" s="504" t="s">
        <v>387</v>
      </c>
      <c r="H22" s="505" t="s">
        <v>490</v>
      </c>
      <c r="I22" s="505" t="s">
        <v>518</v>
      </c>
      <c r="J22" s="504" t="s">
        <v>517</v>
      </c>
      <c r="K22" s="504" t="s">
        <v>516</v>
      </c>
      <c r="L22" s="504" t="s">
        <v>515</v>
      </c>
    </row>
    <row r="23" spans="1:12">
      <c r="A23" s="543">
        <v>-1</v>
      </c>
      <c r="B23" s="498" t="s">
        <v>563</v>
      </c>
      <c r="C23" s="498" t="s">
        <v>562</v>
      </c>
      <c r="D23" s="498" t="s">
        <v>561</v>
      </c>
      <c r="E23" s="547" t="s">
        <v>560</v>
      </c>
      <c r="F23" s="498" t="s">
        <v>559</v>
      </c>
      <c r="G23" s="543">
        <v>-7</v>
      </c>
      <c r="H23" s="543">
        <f>G23-1</f>
        <v>-8</v>
      </c>
      <c r="I23" s="543">
        <f>H23-1</f>
        <v>-9</v>
      </c>
      <c r="J23" s="498" t="s">
        <v>558</v>
      </c>
      <c r="K23" s="543">
        <v>-11</v>
      </c>
      <c r="L23" s="498" t="s">
        <v>557</v>
      </c>
    </row>
    <row r="24" spans="1:12" ht="15.75">
      <c r="A24" s="508" t="s">
        <v>530</v>
      </c>
      <c r="B24" s="548"/>
      <c r="F24" s="509"/>
      <c r="J24" s="501"/>
      <c r="L24" s="503"/>
    </row>
    <row r="25" spans="1:12" ht="15.75">
      <c r="A25" s="544" t="s">
        <v>511</v>
      </c>
    </row>
    <row r="26" spans="1:12">
      <c r="A26" s="509" t="s">
        <v>556</v>
      </c>
      <c r="B26" s="510">
        <f>+B8</f>
        <v>359.58</v>
      </c>
      <c r="C26" s="549"/>
      <c r="D26" s="550">
        <v>582.53</v>
      </c>
      <c r="E26" s="113">
        <f>B26+D26</f>
        <v>942.1099999999999</v>
      </c>
      <c r="F26" s="113">
        <f>E26*C$66</f>
        <v>9.8533870740974052</v>
      </c>
      <c r="G26" s="113">
        <f t="shared" ref="G26:H29" si="3">D8</f>
        <v>29.24</v>
      </c>
      <c r="H26" s="114">
        <f t="shared" si="3"/>
        <v>484</v>
      </c>
      <c r="I26" s="546">
        <f>ROUND(H26/12,1)</f>
        <v>40.299999999999997</v>
      </c>
      <c r="J26" s="113">
        <f>ROUND(I26*$J$21,2)</f>
        <v>1.83</v>
      </c>
      <c r="K26" s="113">
        <f>G26/12</f>
        <v>2.4366666666666665</v>
      </c>
      <c r="L26" s="113">
        <f>SUM(F26+J26+K26,0)</f>
        <v>14.120053740764071</v>
      </c>
    </row>
    <row r="27" spans="1:12">
      <c r="A27" s="509" t="s">
        <v>555</v>
      </c>
      <c r="B27" s="510">
        <f>+B9</f>
        <v>363</v>
      </c>
      <c r="C27" s="549"/>
      <c r="D27" s="540">
        <f>D26</f>
        <v>582.53</v>
      </c>
      <c r="E27" s="113">
        <f>B27+D27</f>
        <v>945.53</v>
      </c>
      <c r="F27" s="113">
        <f>E27*C$66</f>
        <v>9.8891563407365588</v>
      </c>
      <c r="G27" s="113">
        <f t="shared" si="3"/>
        <v>29.55</v>
      </c>
      <c r="H27" s="114">
        <f t="shared" si="3"/>
        <v>704</v>
      </c>
      <c r="I27" s="546">
        <f>ROUND(H27/12,1)</f>
        <v>58.7</v>
      </c>
      <c r="J27" s="113">
        <f t="shared" ref="J27:J29" si="4">ROUND(I27*$J$21,2)</f>
        <v>2.66</v>
      </c>
      <c r="K27" s="113">
        <f>G27/12</f>
        <v>2.4624999999999999</v>
      </c>
      <c r="L27" s="113">
        <f>SUM(F27+J27+K27,0)</f>
        <v>15.011656340736559</v>
      </c>
    </row>
    <row r="28" spans="1:12">
      <c r="A28" s="509" t="s">
        <v>554</v>
      </c>
      <c r="B28" s="510">
        <f>+B10</f>
        <v>410.81</v>
      </c>
      <c r="C28" s="549"/>
      <c r="D28" s="540">
        <f>D26</f>
        <v>582.53</v>
      </c>
      <c r="E28" s="113">
        <f>B28+D28</f>
        <v>993.33999999999992</v>
      </c>
      <c r="F28" s="113">
        <f>E28*C$66</f>
        <v>10.389193954192097</v>
      </c>
      <c r="G28" s="113">
        <f t="shared" si="3"/>
        <v>29.65</v>
      </c>
      <c r="H28" s="114">
        <f t="shared" si="3"/>
        <v>1012</v>
      </c>
      <c r="I28" s="546">
        <f>ROUND(H28/12,1)</f>
        <v>84.3</v>
      </c>
      <c r="J28" s="113">
        <f t="shared" si="4"/>
        <v>3.82</v>
      </c>
      <c r="K28" s="113">
        <f>G28/12</f>
        <v>2.4708333333333332</v>
      </c>
      <c r="L28" s="113">
        <f>SUM(F28+J28+K28,0)</f>
        <v>16.68002728752543</v>
      </c>
    </row>
    <row r="29" spans="1:12">
      <c r="A29" s="509" t="s">
        <v>553</v>
      </c>
      <c r="B29" s="510">
        <f>+B11</f>
        <v>442.78</v>
      </c>
      <c r="C29" s="549"/>
      <c r="D29" s="540">
        <f>D26</f>
        <v>582.53</v>
      </c>
      <c r="E29" s="113">
        <f>B29+D29</f>
        <v>1025.31</v>
      </c>
      <c r="F29" s="113">
        <f>E29*C$66</f>
        <v>10.723563385318922</v>
      </c>
      <c r="G29" s="113">
        <f t="shared" si="3"/>
        <v>29.96</v>
      </c>
      <c r="H29" s="114">
        <f t="shared" si="3"/>
        <v>2000</v>
      </c>
      <c r="I29" s="546">
        <f>ROUND(H29/12,1)</f>
        <v>166.7</v>
      </c>
      <c r="J29" s="113">
        <f t="shared" si="4"/>
        <v>7.56</v>
      </c>
      <c r="K29" s="113">
        <f>G29/12</f>
        <v>2.4966666666666666</v>
      </c>
      <c r="L29" s="113">
        <f>SUM(F29+J29+K29,0)</f>
        <v>20.780230051985587</v>
      </c>
    </row>
    <row r="30" spans="1:12">
      <c r="A30" s="509"/>
      <c r="B30" s="510"/>
      <c r="C30" s="549"/>
      <c r="D30" s="540"/>
      <c r="E30" s="113"/>
      <c r="F30" s="113"/>
      <c r="G30" s="113"/>
      <c r="H30" s="114"/>
      <c r="I30" s="546"/>
      <c r="J30" s="113"/>
      <c r="K30" s="113"/>
      <c r="L30" s="113"/>
    </row>
    <row r="31" spans="1:12" ht="15.75">
      <c r="A31" s="705" t="s">
        <v>1014</v>
      </c>
      <c r="B31" s="705" t="s">
        <v>1015</v>
      </c>
      <c r="C31" s="113"/>
      <c r="E31" s="114"/>
      <c r="F31" s="114"/>
      <c r="G31" s="113"/>
      <c r="H31" s="113"/>
      <c r="I31" s="113"/>
    </row>
    <row r="32" spans="1:12">
      <c r="A32" s="133" t="s">
        <v>1016</v>
      </c>
      <c r="B32" s="707">
        <v>5400</v>
      </c>
      <c r="C32" s="113">
        <v>6.4330586412762676</v>
      </c>
      <c r="E32" s="114"/>
      <c r="F32" s="706">
        <f t="shared" ref="F32:F37" si="5">C32+($D$26*$C$66)</f>
        <v>12.525652470313176</v>
      </c>
      <c r="I32" s="114">
        <f t="shared" ref="I32:I37" si="6">F13</f>
        <v>22.439999999999998</v>
      </c>
      <c r="J32" s="113">
        <f t="shared" ref="J32:J37" si="7">ROUND(I32*$G$3,2)</f>
        <v>1.02</v>
      </c>
      <c r="K32" s="113">
        <v>1.2842061250000001</v>
      </c>
      <c r="L32" s="113">
        <f>SUM(F32+J32+K32,0)</f>
        <v>14.829858595313176</v>
      </c>
    </row>
    <row r="33" spans="1:12">
      <c r="A33" s="133" t="s">
        <v>1017</v>
      </c>
      <c r="B33" s="707">
        <v>10500</v>
      </c>
      <c r="C33" s="113">
        <v>7.637457007970748</v>
      </c>
      <c r="E33" s="114"/>
      <c r="F33" s="706">
        <f t="shared" si="5"/>
        <v>13.730050837007656</v>
      </c>
      <c r="I33" s="114">
        <f t="shared" si="6"/>
        <v>40.799999999999997</v>
      </c>
      <c r="J33" s="113">
        <f t="shared" si="7"/>
        <v>1.85</v>
      </c>
      <c r="K33" s="113">
        <v>1.7640224125000001</v>
      </c>
      <c r="L33" s="113">
        <f t="shared" ref="L33:L37" si="8">SUM(F33+J33+K33,0)</f>
        <v>17.344073249507655</v>
      </c>
    </row>
    <row r="34" spans="1:12">
      <c r="A34" s="133" t="s">
        <v>1018</v>
      </c>
      <c r="B34" s="707">
        <v>18430</v>
      </c>
      <c r="C34" s="113">
        <v>8.2092420911489352</v>
      </c>
      <c r="E34" s="114"/>
      <c r="F34" s="706">
        <f t="shared" si="5"/>
        <v>14.301835920185844</v>
      </c>
      <c r="I34" s="114">
        <f t="shared" si="6"/>
        <v>71.399999999999991</v>
      </c>
      <c r="J34" s="113">
        <f t="shared" si="7"/>
        <v>3.24</v>
      </c>
      <c r="K34" s="113">
        <v>1.9918139833333335</v>
      </c>
      <c r="L34" s="113">
        <f t="shared" si="8"/>
        <v>19.53364990351918</v>
      </c>
    </row>
    <row r="35" spans="1:12">
      <c r="A35" s="133" t="s">
        <v>1019</v>
      </c>
      <c r="B35" s="707">
        <v>7230</v>
      </c>
      <c r="C35" s="113">
        <v>5.5338536233667579</v>
      </c>
      <c r="E35" s="114"/>
      <c r="F35" s="706">
        <f t="shared" si="5"/>
        <v>11.626447452403667</v>
      </c>
      <c r="I35" s="114">
        <f t="shared" si="6"/>
        <v>26.52</v>
      </c>
      <c r="J35" s="113">
        <f t="shared" si="7"/>
        <v>1.2</v>
      </c>
      <c r="K35" s="113">
        <v>2.3553111708333332</v>
      </c>
      <c r="L35" s="113">
        <f t="shared" si="8"/>
        <v>15.181758623237</v>
      </c>
    </row>
    <row r="36" spans="1:12">
      <c r="A36" s="133" t="s">
        <v>1020</v>
      </c>
      <c r="B36" s="707">
        <v>7038</v>
      </c>
      <c r="C36" s="113">
        <v>13.200478789636326</v>
      </c>
      <c r="E36" s="114"/>
      <c r="F36" s="706">
        <f t="shared" si="5"/>
        <v>19.293072618673236</v>
      </c>
      <c r="I36" s="114">
        <f t="shared" si="6"/>
        <v>30</v>
      </c>
      <c r="J36" s="113">
        <f t="shared" si="7"/>
        <v>1.36</v>
      </c>
      <c r="K36" s="113">
        <v>5.5492397916666674</v>
      </c>
      <c r="L36" s="113">
        <f t="shared" si="8"/>
        <v>26.202312410339903</v>
      </c>
    </row>
    <row r="37" spans="1:12">
      <c r="A37" s="133" t="s">
        <v>1021</v>
      </c>
      <c r="B37" s="707">
        <v>21962</v>
      </c>
      <c r="C37" s="113">
        <v>9.3923505877250797</v>
      </c>
      <c r="E37" s="114"/>
      <c r="F37" s="706">
        <f t="shared" si="5"/>
        <v>15.484944416761987</v>
      </c>
      <c r="I37" s="114">
        <f t="shared" si="6"/>
        <v>71.399999999999991</v>
      </c>
      <c r="J37" s="113">
        <f t="shared" si="7"/>
        <v>3.24</v>
      </c>
      <c r="K37" s="113">
        <v>2.1614460041666663</v>
      </c>
      <c r="L37" s="113">
        <f t="shared" si="8"/>
        <v>20.886390420928652</v>
      </c>
    </row>
    <row r="38" spans="1:12">
      <c r="A38" s="509"/>
      <c r="B38" s="510"/>
      <c r="C38" s="549"/>
      <c r="D38" s="540"/>
      <c r="E38" s="113"/>
      <c r="F38" s="113"/>
      <c r="G38" s="113"/>
      <c r="H38" s="114"/>
      <c r="I38" s="546"/>
      <c r="J38" s="113"/>
      <c r="K38" s="113"/>
      <c r="L38" s="113"/>
    </row>
    <row r="39" spans="1:12">
      <c r="A39" s="509"/>
      <c r="B39" s="510"/>
      <c r="C39" s="549"/>
      <c r="D39" s="540"/>
      <c r="E39" s="113"/>
      <c r="F39" s="113"/>
      <c r="G39" s="113"/>
      <c r="H39" s="114"/>
      <c r="I39" s="546"/>
      <c r="J39" s="113"/>
      <c r="K39" s="113"/>
      <c r="L39" s="113"/>
    </row>
    <row r="40" spans="1:12">
      <c r="A40" s="509"/>
      <c r="B40" s="510"/>
      <c r="C40" s="549"/>
      <c r="D40" s="540"/>
      <c r="E40" s="113"/>
      <c r="F40" s="113"/>
      <c r="G40" s="113"/>
      <c r="H40" s="114"/>
      <c r="I40" s="546"/>
      <c r="J40" s="113"/>
      <c r="K40" s="113"/>
      <c r="L40" s="113"/>
    </row>
    <row r="41" spans="1:12" ht="15.75">
      <c r="A41" s="508" t="s">
        <v>529</v>
      </c>
      <c r="B41" s="510"/>
      <c r="E41" s="113"/>
      <c r="F41" s="113"/>
      <c r="G41" s="113"/>
      <c r="H41" s="114"/>
      <c r="I41" s="114"/>
      <c r="J41" s="113"/>
      <c r="K41" s="113"/>
      <c r="L41" s="113"/>
    </row>
    <row r="42" spans="1:12" ht="15.75">
      <c r="A42" s="508" t="s">
        <v>511</v>
      </c>
      <c r="B42" s="510"/>
      <c r="E42" s="113"/>
      <c r="F42" s="113"/>
      <c r="G42" s="113"/>
      <c r="H42" s="114"/>
      <c r="I42" s="114"/>
      <c r="J42" s="113"/>
      <c r="K42" s="113"/>
      <c r="L42" s="113"/>
    </row>
    <row r="43" spans="1:12">
      <c r="A43" s="509" t="s">
        <v>556</v>
      </c>
      <c r="B43" s="510">
        <f>B8</f>
        <v>359.58</v>
      </c>
      <c r="C43" s="549"/>
      <c r="D43" s="550">
        <v>1790.1299999999999</v>
      </c>
      <c r="E43" s="113">
        <f>B43+D43</f>
        <v>2149.71</v>
      </c>
      <c r="F43" s="113">
        <f>E43*C$66</f>
        <v>22.483494206682803</v>
      </c>
      <c r="G43" s="113">
        <f t="shared" ref="G43:H46" si="9">G26</f>
        <v>29.24</v>
      </c>
      <c r="H43" s="114">
        <f t="shared" si="9"/>
        <v>484</v>
      </c>
      <c r="I43" s="546">
        <f>ROUND(H43/12,1)</f>
        <v>40.299999999999997</v>
      </c>
      <c r="J43" s="113">
        <f t="shared" ref="J43:J46" si="10">ROUND(I43*$J$21,2)</f>
        <v>1.83</v>
      </c>
      <c r="K43" s="113">
        <f>G43/12</f>
        <v>2.4366666666666665</v>
      </c>
      <c r="L43" s="113">
        <f>SUM(F43+J43+K43,0)</f>
        <v>26.750160873349472</v>
      </c>
    </row>
    <row r="44" spans="1:12">
      <c r="A44" s="509" t="s">
        <v>555</v>
      </c>
      <c r="B44" s="510">
        <f>B9</f>
        <v>363</v>
      </c>
      <c r="C44" s="549"/>
      <c r="D44" s="540">
        <f>+D43</f>
        <v>1790.1299999999999</v>
      </c>
      <c r="E44" s="113">
        <f>B44+D44</f>
        <v>2153.13</v>
      </c>
      <c r="F44" s="113">
        <f>E44*C$66</f>
        <v>22.519263473321956</v>
      </c>
      <c r="G44" s="113">
        <f t="shared" si="9"/>
        <v>29.55</v>
      </c>
      <c r="H44" s="114">
        <f t="shared" si="9"/>
        <v>704</v>
      </c>
      <c r="I44" s="546">
        <f>ROUND(H44/12,1)</f>
        <v>58.7</v>
      </c>
      <c r="J44" s="113">
        <f t="shared" si="10"/>
        <v>2.66</v>
      </c>
      <c r="K44" s="113">
        <f>G44/12</f>
        <v>2.4624999999999999</v>
      </c>
      <c r="L44" s="113">
        <f>SUM(F44+J44+K44,0)</f>
        <v>27.641763473321955</v>
      </c>
    </row>
    <row r="45" spans="1:12">
      <c r="A45" s="509" t="s">
        <v>554</v>
      </c>
      <c r="B45" s="510">
        <f>B10</f>
        <v>410.81</v>
      </c>
      <c r="C45" s="549"/>
      <c r="D45" s="540">
        <f>+D44</f>
        <v>1790.1299999999999</v>
      </c>
      <c r="E45" s="113">
        <f>B45+D45</f>
        <v>2200.94</v>
      </c>
      <c r="F45" s="113">
        <f>E45*C$66</f>
        <v>23.019301086777492</v>
      </c>
      <c r="G45" s="113">
        <f t="shared" si="9"/>
        <v>29.65</v>
      </c>
      <c r="H45" s="114">
        <f t="shared" si="9"/>
        <v>1012</v>
      </c>
      <c r="I45" s="546">
        <f>ROUND(H45/12,1)</f>
        <v>84.3</v>
      </c>
      <c r="J45" s="113">
        <f t="shared" si="10"/>
        <v>3.82</v>
      </c>
      <c r="K45" s="113">
        <f>G45/12</f>
        <v>2.4708333333333332</v>
      </c>
      <c r="L45" s="113">
        <f>SUM(F45+J45+K45,0)</f>
        <v>29.310134420110828</v>
      </c>
    </row>
    <row r="46" spans="1:12">
      <c r="A46" s="509" t="s">
        <v>553</v>
      </c>
      <c r="B46" s="510">
        <f>B11</f>
        <v>442.78</v>
      </c>
      <c r="C46" s="549"/>
      <c r="D46" s="540">
        <f>+D45</f>
        <v>1790.1299999999999</v>
      </c>
      <c r="E46" s="113">
        <f>B46+D46</f>
        <v>2232.91</v>
      </c>
      <c r="F46" s="113">
        <f>E46*C$66</f>
        <v>23.353670517904316</v>
      </c>
      <c r="G46" s="113">
        <f t="shared" si="9"/>
        <v>29.96</v>
      </c>
      <c r="H46" s="114">
        <f t="shared" si="9"/>
        <v>2000</v>
      </c>
      <c r="I46" s="546">
        <f>ROUND(H46/12,1)</f>
        <v>166.7</v>
      </c>
      <c r="J46" s="113">
        <f t="shared" si="10"/>
        <v>7.56</v>
      </c>
      <c r="K46" s="113">
        <f>G46/12</f>
        <v>2.4966666666666666</v>
      </c>
      <c r="L46" s="113">
        <f>SUM(F46+J46+K46,0)</f>
        <v>33.410337184570984</v>
      </c>
    </row>
    <row r="48" spans="1:12" ht="15.75">
      <c r="A48" s="705" t="s">
        <v>1014</v>
      </c>
      <c r="B48" s="705" t="s">
        <v>1015</v>
      </c>
      <c r="C48" s="113"/>
      <c r="E48" s="114"/>
      <c r="F48" s="114"/>
      <c r="G48" s="113"/>
      <c r="H48" s="113"/>
      <c r="I48" s="113"/>
    </row>
    <row r="49" spans="1:12">
      <c r="A49" s="133" t="s">
        <v>1016</v>
      </c>
      <c r="B49" s="133">
        <v>5400</v>
      </c>
      <c r="C49" s="113">
        <v>6.4330586412762676</v>
      </c>
      <c r="E49" s="114"/>
      <c r="F49" s="706">
        <f>C49+($D$43*$C$66)</f>
        <v>25.15575960289857</v>
      </c>
      <c r="I49" s="114">
        <f t="shared" ref="I49:I54" si="11">F30</f>
        <v>0</v>
      </c>
      <c r="J49" s="113">
        <f t="shared" ref="J49:J54" si="12">ROUND(I49*$G$3,2)</f>
        <v>0</v>
      </c>
      <c r="K49" s="113">
        <v>1.2842061250000001</v>
      </c>
      <c r="L49" s="113">
        <f>SUM(F49+J49+K49,0)</f>
        <v>26.439965727898571</v>
      </c>
    </row>
    <row r="50" spans="1:12">
      <c r="A50" s="133" t="s">
        <v>1017</v>
      </c>
      <c r="B50" s="133">
        <v>10500</v>
      </c>
      <c r="C50" s="113">
        <v>7.637457007970748</v>
      </c>
      <c r="E50" s="114"/>
      <c r="F50" s="706">
        <f t="shared" ref="F50:F53" si="13">C50+($D$43*$C$66)</f>
        <v>26.36015796959305</v>
      </c>
      <c r="I50" s="114">
        <f t="shared" si="11"/>
        <v>0</v>
      </c>
      <c r="J50" s="113">
        <f t="shared" si="12"/>
        <v>0</v>
      </c>
      <c r="K50" s="113">
        <v>1.7640224125000001</v>
      </c>
      <c r="L50" s="113">
        <f t="shared" ref="L50:L54" si="14">SUM(F50+J50+K50,0)</f>
        <v>28.124180382093051</v>
      </c>
    </row>
    <row r="51" spans="1:12">
      <c r="A51" s="133" t="s">
        <v>1018</v>
      </c>
      <c r="B51" s="133">
        <v>18430</v>
      </c>
      <c r="C51" s="113">
        <v>8.2092420911489352</v>
      </c>
      <c r="E51" s="114"/>
      <c r="F51" s="706">
        <f t="shared" si="13"/>
        <v>26.931943052771238</v>
      </c>
      <c r="I51" s="114">
        <f t="shared" si="11"/>
        <v>12.525652470313176</v>
      </c>
      <c r="J51" s="113">
        <f t="shared" si="12"/>
        <v>0.56999999999999995</v>
      </c>
      <c r="K51" s="113">
        <v>1.9918139833333335</v>
      </c>
      <c r="L51" s="113">
        <f t="shared" si="14"/>
        <v>29.493757036104572</v>
      </c>
    </row>
    <row r="52" spans="1:12">
      <c r="A52" s="133" t="s">
        <v>1019</v>
      </c>
      <c r="B52" s="133">
        <v>7230</v>
      </c>
      <c r="C52" s="113">
        <v>5.5338536233667579</v>
      </c>
      <c r="E52" s="114"/>
      <c r="F52" s="706">
        <f t="shared" si="13"/>
        <v>24.256554584989061</v>
      </c>
      <c r="I52" s="114">
        <f t="shared" si="11"/>
        <v>13.730050837007656</v>
      </c>
      <c r="J52" s="113">
        <f t="shared" si="12"/>
        <v>0.62</v>
      </c>
      <c r="K52" s="113">
        <v>2.3553111708333332</v>
      </c>
      <c r="L52" s="113">
        <f t="shared" si="14"/>
        <v>27.231865755822394</v>
      </c>
    </row>
    <row r="53" spans="1:12">
      <c r="A53" s="133" t="s">
        <v>1020</v>
      </c>
      <c r="B53" s="133">
        <v>7038</v>
      </c>
      <c r="C53" s="113">
        <v>13.200478789636326</v>
      </c>
      <c r="E53" s="114"/>
      <c r="F53" s="706">
        <f t="shared" si="13"/>
        <v>31.92317975125863</v>
      </c>
      <c r="I53" s="114">
        <f t="shared" si="11"/>
        <v>14.301835920185844</v>
      </c>
      <c r="J53" s="113">
        <f t="shared" si="12"/>
        <v>0.65</v>
      </c>
      <c r="K53" s="113">
        <v>5.5492397916666674</v>
      </c>
      <c r="L53" s="113">
        <f t="shared" si="14"/>
        <v>38.122419542925293</v>
      </c>
    </row>
    <row r="54" spans="1:12">
      <c r="A54" s="133" t="s">
        <v>1021</v>
      </c>
      <c r="B54" s="133">
        <v>21962</v>
      </c>
      <c r="C54" s="113">
        <v>9.3923505877250797</v>
      </c>
      <c r="E54" s="114"/>
      <c r="F54" s="706">
        <f>C54+($D$43*$C$66)</f>
        <v>28.115051549347381</v>
      </c>
      <c r="I54" s="114">
        <f t="shared" si="11"/>
        <v>11.626447452403667</v>
      </c>
      <c r="J54" s="113">
        <f t="shared" si="12"/>
        <v>0.53</v>
      </c>
      <c r="K54" s="113">
        <v>2.1614460041666663</v>
      </c>
      <c r="L54" s="113">
        <f t="shared" si="14"/>
        <v>30.806497553514049</v>
      </c>
    </row>
    <row r="55" spans="1:12">
      <c r="D55" s="515"/>
    </row>
    <row r="56" spans="1:12">
      <c r="F56" s="509"/>
    </row>
    <row r="57" spans="1:12">
      <c r="B57" s="503"/>
      <c r="C57" s="498" t="s">
        <v>551</v>
      </c>
      <c r="F57" s="509" t="s">
        <v>552</v>
      </c>
    </row>
    <row r="58" spans="1:12">
      <c r="B58" s="504"/>
      <c r="C58" s="504" t="s">
        <v>550</v>
      </c>
    </row>
    <row r="59" spans="1:12">
      <c r="F59" s="509" t="s">
        <v>549</v>
      </c>
      <c r="I59" s="551">
        <f>'EX AEV-1'!X21+'EX AEV-1'!X24</f>
        <v>200137.98469759017</v>
      </c>
    </row>
    <row r="60" spans="1:12">
      <c r="A60" s="509" t="s">
        <v>507</v>
      </c>
      <c r="B60" s="132"/>
      <c r="C60" s="494">
        <f>'Carrying Charge'!H10/100</f>
        <v>7.0699999999999999E-2</v>
      </c>
      <c r="F60" s="509" t="s">
        <v>548</v>
      </c>
      <c r="I60" s="762">
        <f>'EX AEV-1'!X22</f>
        <v>290327.67250035924</v>
      </c>
    </row>
    <row r="61" spans="1:12">
      <c r="A61" s="509" t="s">
        <v>506</v>
      </c>
      <c r="B61" s="132"/>
      <c r="C61" s="494">
        <f>'Carrying Charge'!H12/100</f>
        <v>3.2293467736443551E-2</v>
      </c>
      <c r="F61" s="538" t="s">
        <v>547</v>
      </c>
    </row>
    <row r="62" spans="1:12">
      <c r="A62" s="509" t="s">
        <v>505</v>
      </c>
      <c r="B62" s="132"/>
      <c r="C62" s="494">
        <f>'Carrying Charge'!H14/100</f>
        <v>8.0127309974292252E-3</v>
      </c>
      <c r="F62" s="552" t="s">
        <v>795</v>
      </c>
      <c r="G62" s="500"/>
      <c r="I62" s="762">
        <v>216967</v>
      </c>
    </row>
    <row r="63" spans="1:12">
      <c r="A63" s="509" t="s">
        <v>503</v>
      </c>
      <c r="B63" s="132"/>
      <c r="C63" s="494">
        <f>'Carrying Charge'!H16/100</f>
        <v>1.4499999999999999E-2</v>
      </c>
      <c r="F63" s="129" t="s">
        <v>501</v>
      </c>
      <c r="I63" s="762">
        <v>44659</v>
      </c>
    </row>
    <row r="64" spans="1:12">
      <c r="A64" s="553" t="s">
        <v>502</v>
      </c>
      <c r="B64" s="554"/>
      <c r="C64" s="554">
        <f>SUM(C60:C63)</f>
        <v>0.12550619873387275</v>
      </c>
      <c r="F64" s="133" t="s">
        <v>500</v>
      </c>
      <c r="I64" s="762">
        <v>20010</v>
      </c>
    </row>
    <row r="65" spans="1:9">
      <c r="F65" s="509" t="s">
        <v>546</v>
      </c>
      <c r="I65" s="762">
        <v>85965</v>
      </c>
    </row>
    <row r="66" spans="1:9">
      <c r="A66" s="509" t="s">
        <v>499</v>
      </c>
      <c r="B66" s="132"/>
      <c r="C66" s="132">
        <f>C64/12</f>
        <v>1.0458849894489397E-2</v>
      </c>
      <c r="F66" s="133" t="s">
        <v>545</v>
      </c>
      <c r="I66" s="763">
        <v>61349</v>
      </c>
    </row>
    <row r="67" spans="1:9">
      <c r="F67" s="553" t="s">
        <v>544</v>
      </c>
      <c r="G67" s="555"/>
      <c r="H67" s="555"/>
      <c r="I67" s="556">
        <f>SUM(I59:I64)-SUM(I65:I66)</f>
        <v>624787.65719794948</v>
      </c>
    </row>
    <row r="68" spans="1:9" ht="15.75" thickBot="1">
      <c r="F68" s="509" t="s">
        <v>496</v>
      </c>
      <c r="I68" s="762">
        <v>8461026</v>
      </c>
    </row>
    <row r="69" spans="1:9" ht="15.75" thickTop="1">
      <c r="F69" s="557" t="s">
        <v>495</v>
      </c>
      <c r="G69" s="558"/>
      <c r="H69" s="558"/>
      <c r="I69" s="559">
        <f>I67/I68</f>
        <v>7.3843013506630223E-2</v>
      </c>
    </row>
  </sheetData>
  <printOptions horizontalCentered="1"/>
  <pageMargins left="0.5" right="0.5" top="1.25" bottom="0.5" header="0.5" footer="0.5"/>
  <pageSetup scale="52" orientation="portrait" verticalDpi="300" r:id="rId1"/>
  <headerFooter alignWithMargins="0">
    <oddHeader>&amp;L&amp;F
Page &amp;P of &amp;N&amp;CKentucky Power Company
SL Rate Design
Twelve Months Ended March 31, 2013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18"/>
  <sheetViews>
    <sheetView workbookViewId="0">
      <selection activeCell="E22" sqref="E22"/>
    </sheetView>
  </sheetViews>
  <sheetFormatPr defaultRowHeight="15.75"/>
  <cols>
    <col min="4" max="4" width="14.25" customWidth="1"/>
    <col min="5" max="5" width="13" customWidth="1"/>
  </cols>
  <sheetData>
    <row r="4" spans="2:8" ht="55.5" customHeight="1">
      <c r="B4" s="769"/>
      <c r="C4" s="797" t="s">
        <v>1042</v>
      </c>
      <c r="D4" s="797"/>
      <c r="E4" s="797"/>
      <c r="F4" s="772"/>
      <c r="G4" s="772"/>
      <c r="H4" s="770"/>
    </row>
    <row r="5" spans="2:8">
      <c r="B5" s="769"/>
      <c r="C5" s="676"/>
      <c r="D5" s="676"/>
      <c r="E5" s="676"/>
      <c r="F5" s="676"/>
      <c r="G5" s="676"/>
      <c r="H5" s="769"/>
    </row>
    <row r="6" spans="2:8">
      <c r="B6" s="771" t="s">
        <v>700</v>
      </c>
      <c r="C6" s="773" t="s">
        <v>1043</v>
      </c>
      <c r="D6" s="676"/>
      <c r="E6" s="774">
        <v>53911.833333333336</v>
      </c>
      <c r="F6" s="676"/>
      <c r="G6" s="676"/>
      <c r="H6" s="769"/>
    </row>
    <row r="7" spans="2:8">
      <c r="B7" s="769"/>
      <c r="C7" s="773" t="s">
        <v>1044</v>
      </c>
      <c r="D7" s="676"/>
      <c r="E7" s="775">
        <v>16225580.140000001</v>
      </c>
      <c r="F7" s="676"/>
      <c r="G7" s="676"/>
      <c r="H7" s="769"/>
    </row>
    <row r="8" spans="2:8">
      <c r="B8" s="769"/>
      <c r="C8" s="773" t="s">
        <v>1045</v>
      </c>
      <c r="D8" s="676"/>
      <c r="E8" s="776">
        <v>0.92983500057491097</v>
      </c>
      <c r="F8" s="676"/>
      <c r="G8" s="676"/>
      <c r="H8" s="769"/>
    </row>
    <row r="9" spans="2:8">
      <c r="B9" s="769"/>
      <c r="C9" s="773" t="s">
        <v>1046</v>
      </c>
      <c r="D9" s="676"/>
      <c r="E9" s="775">
        <f>E7*E8</f>
        <v>15087112.318805164</v>
      </c>
      <c r="F9" s="676"/>
      <c r="G9" s="676"/>
      <c r="H9" s="769"/>
    </row>
    <row r="10" spans="2:8">
      <c r="B10" s="769"/>
      <c r="C10" s="773" t="s">
        <v>991</v>
      </c>
      <c r="D10" s="676"/>
      <c r="E10" s="777">
        <f>E9/E6</f>
        <v>279.84788099344604</v>
      </c>
      <c r="F10" s="676"/>
      <c r="G10" s="778">
        <f>E10/84</f>
        <v>3.3315223927791195</v>
      </c>
      <c r="H10" s="769"/>
    </row>
    <row r="11" spans="2:8">
      <c r="B11" s="769"/>
      <c r="C11" s="676"/>
      <c r="D11" s="676"/>
      <c r="E11" s="676"/>
      <c r="F11" s="676"/>
      <c r="G11" s="676"/>
      <c r="H11" s="769"/>
    </row>
    <row r="12" spans="2:8">
      <c r="B12" s="771" t="s">
        <v>701</v>
      </c>
      <c r="C12" s="773" t="s">
        <v>1043</v>
      </c>
      <c r="D12" s="676"/>
      <c r="E12" s="774">
        <v>11923.166666666666</v>
      </c>
      <c r="F12" s="676"/>
      <c r="G12" s="676"/>
      <c r="H12" s="769"/>
    </row>
    <row r="13" spans="2:8">
      <c r="B13" s="769"/>
      <c r="C13" s="773" t="s">
        <v>1044</v>
      </c>
      <c r="D13" s="676"/>
      <c r="E13" s="775">
        <v>2339212.3199999998</v>
      </c>
      <c r="F13" s="676"/>
      <c r="G13" s="676"/>
      <c r="H13" s="769"/>
    </row>
    <row r="14" spans="2:8">
      <c r="B14" s="769"/>
      <c r="C14" s="773" t="s">
        <v>1045</v>
      </c>
      <c r="D14" s="676"/>
      <c r="E14" s="776">
        <v>0.93127912728787521</v>
      </c>
      <c r="F14" s="676"/>
      <c r="G14" s="676"/>
      <c r="H14" s="769"/>
    </row>
    <row r="15" spans="2:8">
      <c r="B15" s="769"/>
      <c r="C15" s="773" t="s">
        <v>1046</v>
      </c>
      <c r="D15" s="676"/>
      <c r="E15" s="775">
        <f>E13*E14</f>
        <v>2178459.6079106457</v>
      </c>
      <c r="F15" s="676"/>
      <c r="G15" s="676"/>
      <c r="H15" s="769"/>
    </row>
    <row r="16" spans="2:8">
      <c r="B16" s="769"/>
      <c r="C16" s="773" t="s">
        <v>991</v>
      </c>
      <c r="D16" s="676"/>
      <c r="E16" s="777">
        <f>E15/E12</f>
        <v>182.70814027962194</v>
      </c>
      <c r="F16" s="676"/>
      <c r="G16" s="778">
        <f>E16/84</f>
        <v>2.1750969080907376</v>
      </c>
      <c r="H16" s="769"/>
    </row>
    <row r="17" spans="2:8">
      <c r="B17" s="769"/>
      <c r="C17" s="676"/>
      <c r="D17" s="676"/>
      <c r="E17" s="676"/>
      <c r="F17" s="676"/>
      <c r="G17" s="676"/>
      <c r="H17" s="769"/>
    </row>
    <row r="18" spans="2:8">
      <c r="B18" s="769"/>
      <c r="C18" s="197"/>
      <c r="D18" s="197"/>
      <c r="E18" s="197"/>
      <c r="F18" s="197"/>
      <c r="G18" s="197"/>
      <c r="H18" s="769"/>
    </row>
  </sheetData>
  <mergeCells count="1">
    <mergeCell ref="C4:E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H36"/>
  <sheetViews>
    <sheetView showOutlineSymbols="0" zoomScaleNormal="100" workbookViewId="0">
      <selection activeCell="F5" sqref="F5"/>
    </sheetView>
  </sheetViews>
  <sheetFormatPr defaultColWidth="9.75" defaultRowHeight="15.75"/>
  <cols>
    <col min="1" max="1" width="7.25" style="97" customWidth="1"/>
    <col min="2" max="2" width="27.625" style="97" customWidth="1"/>
    <col min="3" max="3" width="13.125" style="97" customWidth="1"/>
    <col min="4" max="4" width="11.5" style="97" customWidth="1"/>
    <col min="5" max="5" width="8.875" style="97" customWidth="1"/>
    <col min="6" max="6" width="13.375" style="97" bestFit="1" customWidth="1"/>
    <col min="7" max="7" width="8.75" style="437" customWidth="1"/>
    <col min="8" max="8" width="9.625" style="97" customWidth="1"/>
    <col min="9" max="16384" width="9.75" style="97"/>
  </cols>
  <sheetData>
    <row r="3" spans="1:8">
      <c r="A3" s="436" t="s">
        <v>407</v>
      </c>
      <c r="B3" s="436"/>
      <c r="C3" s="436"/>
      <c r="D3" s="436"/>
      <c r="E3" s="436"/>
      <c r="F3" s="436"/>
      <c r="H3" s="438"/>
    </row>
    <row r="4" spans="1:8" ht="18">
      <c r="A4" s="439" t="s">
        <v>429</v>
      </c>
      <c r="B4" s="436"/>
      <c r="C4" s="436"/>
      <c r="D4" s="436"/>
      <c r="E4" s="436"/>
      <c r="F4" s="436"/>
      <c r="H4" s="438"/>
    </row>
    <row r="5" spans="1:8" ht="18">
      <c r="A5" s="439"/>
      <c r="B5" s="436"/>
      <c r="C5" s="436"/>
      <c r="D5" s="436"/>
      <c r="E5" s="436"/>
      <c r="F5" s="436"/>
      <c r="H5" s="438"/>
    </row>
    <row r="6" spans="1:8">
      <c r="A6" s="438"/>
      <c r="B6" s="438"/>
      <c r="C6" s="438"/>
      <c r="D6" s="438"/>
      <c r="E6" s="438"/>
      <c r="F6" s="438"/>
      <c r="H6" s="438"/>
    </row>
    <row r="10" spans="1:8">
      <c r="A10" s="440" t="s">
        <v>428</v>
      </c>
    </row>
    <row r="13" spans="1:8">
      <c r="A13" s="97" t="s">
        <v>427</v>
      </c>
      <c r="B13" s="97" t="s">
        <v>426</v>
      </c>
      <c r="F13" s="441">
        <f>'Demand Basis'!C22</f>
        <v>31678788.297495428</v>
      </c>
    </row>
    <row r="15" spans="1:8">
      <c r="B15" s="442" t="s">
        <v>425</v>
      </c>
      <c r="C15" s="442"/>
      <c r="D15" s="442"/>
      <c r="E15" s="443" t="s">
        <v>417</v>
      </c>
      <c r="F15" s="444">
        <f>'Demand Basis'!C24</f>
        <v>4776919</v>
      </c>
    </row>
    <row r="17" spans="1:7">
      <c r="B17" s="97" t="s">
        <v>424</v>
      </c>
      <c r="E17" s="445" t="s">
        <v>415</v>
      </c>
      <c r="F17" s="95">
        <f>F13/F15</f>
        <v>6.6316360602922986</v>
      </c>
    </row>
    <row r="20" spans="1:7">
      <c r="B20" s="442" t="s">
        <v>423</v>
      </c>
      <c r="C20" s="442"/>
      <c r="D20" s="442"/>
      <c r="E20" s="443" t="s">
        <v>422</v>
      </c>
      <c r="F20" s="446">
        <f>'Demand Basis'!C15</f>
        <v>0.99000312994982598</v>
      </c>
    </row>
    <row r="23" spans="1:7">
      <c r="B23" s="97" t="s">
        <v>421</v>
      </c>
      <c r="E23" s="445" t="s">
        <v>415</v>
      </c>
      <c r="F23" s="96">
        <f>F17*F20</f>
        <v>6.5653404563775082</v>
      </c>
      <c r="G23" s="437" t="s">
        <v>993</v>
      </c>
    </row>
    <row r="28" spans="1:7">
      <c r="A28" s="440" t="s">
        <v>420</v>
      </c>
    </row>
    <row r="31" spans="1:7">
      <c r="B31" s="97" t="s">
        <v>419</v>
      </c>
      <c r="E31" s="95"/>
      <c r="F31" s="764">
        <v>189</v>
      </c>
    </row>
    <row r="32" spans="1:7">
      <c r="E32" s="95"/>
      <c r="F32" s="447"/>
    </row>
    <row r="33" spans="2:7">
      <c r="B33" s="442" t="s">
        <v>418</v>
      </c>
      <c r="C33" s="442"/>
      <c r="D33" s="442"/>
      <c r="E33" s="443" t="s">
        <v>417</v>
      </c>
      <c r="F33" s="448">
        <v>12</v>
      </c>
    </row>
    <row r="34" spans="2:7">
      <c r="E34" s="95"/>
    </row>
    <row r="35" spans="2:7">
      <c r="E35" s="95"/>
    </row>
    <row r="36" spans="2:7">
      <c r="B36" s="97" t="s">
        <v>416</v>
      </c>
      <c r="E36" s="445" t="s">
        <v>415</v>
      </c>
      <c r="F36" s="449">
        <f>ROUND(F31/F33,2)</f>
        <v>15.75</v>
      </c>
      <c r="G36" s="437" t="s">
        <v>994</v>
      </c>
    </row>
  </sheetData>
  <printOptions horizontalCentered="1"/>
  <pageMargins left="0.25" right="0.25" top="0.75" bottom="0.5" header="0.5" footer="0.5"/>
  <pageSetup orientation="portrait" r:id="rId1"/>
  <headerFooter alignWithMargins="0">
    <oddHeader xml:space="preserve">&amp;L&amp;F
&amp;A&amp;C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23" sqref="K23"/>
    </sheetView>
  </sheetViews>
  <sheetFormatPr defaultColWidth="9" defaultRowHeight="15.75"/>
  <cols>
    <col min="1" max="1" width="24" style="361" bestFit="1" customWidth="1"/>
    <col min="2" max="2" width="9" style="361"/>
    <col min="3" max="3" width="10.5" style="361" bestFit="1" customWidth="1"/>
    <col min="4" max="16384" width="9" style="361"/>
  </cols>
  <sheetData>
    <row r="1" spans="1:10">
      <c r="A1" s="427" t="str">
        <f>'Demand Basis'!$A$1</f>
        <v>KENTUCKY POWER COMPANY</v>
      </c>
      <c r="B1" s="427"/>
      <c r="C1" s="427"/>
      <c r="D1" s="427"/>
      <c r="E1" s="427"/>
      <c r="F1" s="428"/>
      <c r="G1" s="428"/>
      <c r="H1" s="428"/>
      <c r="I1" s="428"/>
      <c r="J1" s="428"/>
    </row>
    <row r="2" spans="1:10">
      <c r="A2" s="427" t="s">
        <v>391</v>
      </c>
      <c r="B2" s="427"/>
      <c r="C2" s="427"/>
      <c r="D2" s="427"/>
      <c r="E2" s="427"/>
      <c r="F2" s="428"/>
      <c r="G2" s="428"/>
      <c r="H2" s="428"/>
      <c r="I2" s="428"/>
      <c r="J2" s="428"/>
    </row>
    <row r="3" spans="1:10">
      <c r="A3" s="427"/>
      <c r="B3" s="427"/>
      <c r="C3" s="427"/>
      <c r="D3" s="427"/>
      <c r="E3" s="427"/>
      <c r="F3" s="428"/>
      <c r="G3" s="428"/>
      <c r="H3" s="428"/>
      <c r="I3" s="428"/>
      <c r="J3" s="428"/>
    </row>
    <row r="4" spans="1:10">
      <c r="A4" s="427"/>
      <c r="B4" s="427"/>
      <c r="C4" s="427"/>
      <c r="D4" s="427"/>
      <c r="E4" s="427"/>
      <c r="F4" s="428"/>
      <c r="G4" s="428"/>
      <c r="H4" s="428"/>
      <c r="I4" s="428"/>
      <c r="J4" s="428"/>
    </row>
    <row r="5" spans="1:10">
      <c r="A5" s="428"/>
      <c r="B5" s="428"/>
      <c r="C5" s="428"/>
      <c r="D5" s="428"/>
      <c r="E5" s="428"/>
      <c r="F5" s="428"/>
      <c r="G5" s="428"/>
      <c r="H5" s="428"/>
      <c r="I5" s="428"/>
      <c r="J5" s="428"/>
    </row>
    <row r="6" spans="1:10">
      <c r="A6" s="428"/>
      <c r="B6" s="428"/>
      <c r="C6" s="428"/>
      <c r="D6" s="428"/>
      <c r="E6" s="428"/>
      <c r="F6" s="428"/>
      <c r="G6" s="428"/>
      <c r="H6" s="428"/>
      <c r="I6" s="428"/>
      <c r="J6" s="428"/>
    </row>
    <row r="7" spans="1:10">
      <c r="A7" s="428"/>
      <c r="B7" s="429" t="s">
        <v>6</v>
      </c>
      <c r="C7" s="428"/>
      <c r="D7" s="428"/>
      <c r="E7" s="429" t="s">
        <v>390</v>
      </c>
      <c r="F7" s="428"/>
      <c r="G7" s="428"/>
      <c r="H7" s="428"/>
      <c r="I7" s="428"/>
      <c r="J7" s="428"/>
    </row>
    <row r="8" spans="1:10">
      <c r="A8" s="428"/>
      <c r="B8" s="429" t="s">
        <v>254</v>
      </c>
      <c r="C8" s="428"/>
      <c r="D8" s="428"/>
      <c r="E8" s="429" t="s">
        <v>387</v>
      </c>
      <c r="F8" s="428"/>
      <c r="G8" s="428"/>
      <c r="H8" s="428"/>
      <c r="I8" s="428"/>
      <c r="J8" s="428"/>
    </row>
    <row r="9" spans="1:10">
      <c r="A9" s="428"/>
      <c r="B9" s="430" t="s">
        <v>386</v>
      </c>
      <c r="C9" s="430" t="s">
        <v>116</v>
      </c>
      <c r="D9" s="431"/>
      <c r="E9" s="430" t="s">
        <v>245</v>
      </c>
      <c r="F9" s="428"/>
      <c r="G9" s="428"/>
      <c r="H9" s="428"/>
      <c r="I9" s="428"/>
      <c r="J9" s="428"/>
    </row>
    <row r="10" spans="1:10">
      <c r="A10" s="428"/>
      <c r="B10" s="429"/>
      <c r="C10" s="429"/>
      <c r="D10" s="428"/>
      <c r="E10" s="429"/>
      <c r="F10" s="428"/>
      <c r="G10" s="428"/>
      <c r="H10" s="428"/>
      <c r="I10" s="428"/>
      <c r="J10" s="428"/>
    </row>
    <row r="11" spans="1:10">
      <c r="A11" s="428"/>
      <c r="B11" s="428"/>
      <c r="C11" s="428"/>
      <c r="D11" s="428"/>
      <c r="E11" s="428"/>
      <c r="F11" s="428"/>
      <c r="G11" s="428"/>
      <c r="H11" s="428"/>
      <c r="I11" s="428"/>
      <c r="J11" s="428"/>
    </row>
    <row r="12" spans="1:10">
      <c r="A12" s="431" t="s">
        <v>385</v>
      </c>
      <c r="B12" s="87"/>
      <c r="C12" s="86">
        <f>+'Demand Basis'!$F$26</f>
        <v>18.5</v>
      </c>
      <c r="D12" s="87"/>
      <c r="E12" s="87"/>
      <c r="F12" s="428"/>
      <c r="G12" s="428"/>
      <c r="H12" s="428"/>
      <c r="I12" s="428"/>
      <c r="J12" s="428"/>
    </row>
    <row r="13" spans="1:10">
      <c r="A13" s="428"/>
      <c r="B13" s="87"/>
      <c r="C13" s="87"/>
      <c r="D13" s="87"/>
      <c r="E13" s="87"/>
      <c r="F13" s="428"/>
      <c r="G13" s="428"/>
      <c r="H13" s="428"/>
      <c r="I13" s="428"/>
      <c r="J13" s="428"/>
    </row>
    <row r="14" spans="1:10">
      <c r="A14" s="431" t="s">
        <v>384</v>
      </c>
      <c r="B14" s="87"/>
      <c r="C14" s="88">
        <v>0.1</v>
      </c>
      <c r="D14" s="87"/>
      <c r="E14" s="87"/>
      <c r="F14" s="428"/>
      <c r="G14" s="428"/>
      <c r="H14" s="428"/>
      <c r="I14" s="428"/>
      <c r="J14" s="428"/>
    </row>
    <row r="15" spans="1:10">
      <c r="A15" s="428"/>
      <c r="B15" s="87"/>
      <c r="C15" s="87"/>
      <c r="D15" s="87"/>
      <c r="E15" s="87"/>
      <c r="F15" s="428"/>
      <c r="G15" s="428"/>
      <c r="H15" s="428"/>
      <c r="I15" s="428"/>
      <c r="J15" s="428"/>
    </row>
    <row r="16" spans="1:10">
      <c r="A16" s="431" t="s">
        <v>383</v>
      </c>
      <c r="B16" s="87"/>
      <c r="C16" s="86">
        <f>ROUND((C12*C14),2)</f>
        <v>1.85</v>
      </c>
      <c r="D16" s="87"/>
      <c r="E16" s="432"/>
      <c r="F16" s="428"/>
      <c r="G16" s="428"/>
      <c r="H16" s="428"/>
      <c r="I16" s="428"/>
      <c r="J16" s="428"/>
    </row>
    <row r="17" spans="1:10">
      <c r="A17" s="428"/>
      <c r="B17" s="87"/>
      <c r="C17" s="433"/>
      <c r="D17" s="87"/>
      <c r="E17" s="87"/>
      <c r="F17" s="428"/>
      <c r="G17" s="428"/>
      <c r="H17" s="428"/>
      <c r="I17" s="428"/>
      <c r="J17" s="428"/>
    </row>
    <row r="18" spans="1:10">
      <c r="A18" s="431" t="s">
        <v>382</v>
      </c>
      <c r="B18" s="434">
        <f>'Demand Basis'!$B$15</f>
        <v>1</v>
      </c>
      <c r="C18" s="86">
        <f>ROUND((C$16*$B18),2)</f>
        <v>1.85</v>
      </c>
      <c r="D18" s="87"/>
      <c r="E18" s="432">
        <f>SUM(C18:C18)</f>
        <v>1.85</v>
      </c>
      <c r="F18" s="428"/>
      <c r="G18" s="428"/>
      <c r="H18" s="428"/>
      <c r="I18" s="428"/>
      <c r="J18" s="428"/>
    </row>
    <row r="19" spans="1:10">
      <c r="A19" s="428"/>
      <c r="B19" s="434"/>
      <c r="C19" s="86"/>
      <c r="D19" s="87"/>
      <c r="E19" s="87"/>
      <c r="F19" s="428"/>
      <c r="G19" s="428"/>
      <c r="H19" s="428"/>
      <c r="I19" s="428"/>
      <c r="J19" s="428"/>
    </row>
    <row r="20" spans="1:10">
      <c r="A20" s="431" t="s">
        <v>381</v>
      </c>
      <c r="B20" s="434">
        <f>'Demand Basis'!$C$15</f>
        <v>0.99000312994982598</v>
      </c>
      <c r="C20" s="86">
        <f>ROUND((C$16*$B20),2)</f>
        <v>1.83</v>
      </c>
      <c r="D20" s="87"/>
      <c r="E20" s="432">
        <f>SUM(C20:C20)</f>
        <v>1.83</v>
      </c>
      <c r="F20" s="428"/>
      <c r="G20" s="428"/>
      <c r="H20" s="428"/>
      <c r="I20" s="428"/>
      <c r="J20" s="428"/>
    </row>
    <row r="21" spans="1:10">
      <c r="A21" s="428"/>
      <c r="B21" s="434"/>
      <c r="C21" s="86"/>
      <c r="D21" s="87"/>
      <c r="E21" s="87"/>
      <c r="F21" s="428"/>
      <c r="G21" s="428"/>
      <c r="H21" s="428"/>
      <c r="I21" s="428"/>
      <c r="J21" s="428"/>
    </row>
    <row r="22" spans="1:10">
      <c r="A22" s="431" t="s">
        <v>380</v>
      </c>
      <c r="B22" s="434">
        <f>'Demand Basis'!$D$15</f>
        <v>0.98334487304733798</v>
      </c>
      <c r="C22" s="86">
        <f>ROUND((C$16*$B22),2)</f>
        <v>1.82</v>
      </c>
      <c r="D22" s="87"/>
      <c r="E22" s="432">
        <f>SUM(C22:C22)</f>
        <v>1.82</v>
      </c>
      <c r="F22" s="428"/>
      <c r="G22" s="428"/>
      <c r="H22" s="428"/>
      <c r="I22" s="428"/>
      <c r="J22" s="428"/>
    </row>
    <row r="23" spans="1:10">
      <c r="A23" s="428"/>
      <c r="B23" s="434"/>
      <c r="C23" s="86"/>
      <c r="D23" s="433"/>
      <c r="E23" s="87"/>
      <c r="F23" s="428"/>
      <c r="G23" s="428"/>
      <c r="H23" s="428"/>
      <c r="I23" s="428"/>
      <c r="J23" s="428"/>
    </row>
    <row r="24" spans="1:10">
      <c r="A24" s="431" t="s">
        <v>379</v>
      </c>
      <c r="B24" s="434">
        <f>'Demand Basis'!$E$15</f>
        <v>0.97327212542562558</v>
      </c>
      <c r="C24" s="86">
        <f>ROUND((C$16*$B24),2)</f>
        <v>1.8</v>
      </c>
      <c r="D24" s="87"/>
      <c r="E24" s="432">
        <f>SUM(C24:C24)</f>
        <v>1.8</v>
      </c>
      <c r="F24" s="428"/>
      <c r="G24" s="428"/>
      <c r="H24" s="428"/>
      <c r="I24" s="428"/>
      <c r="J24" s="428"/>
    </row>
    <row r="25" spans="1:10">
      <c r="A25" s="428"/>
      <c r="B25" s="428"/>
      <c r="C25" s="428"/>
      <c r="D25" s="428"/>
      <c r="E25" s="428"/>
      <c r="F25" s="428"/>
      <c r="G25" s="428"/>
      <c r="H25" s="428"/>
      <c r="I25" s="428"/>
      <c r="J25" s="428"/>
    </row>
    <row r="26" spans="1:10">
      <c r="A26" s="431"/>
      <c r="B26" s="428"/>
      <c r="C26" s="428"/>
      <c r="D26" s="428"/>
      <c r="E26" s="428"/>
      <c r="F26" s="428"/>
      <c r="G26" s="428"/>
      <c r="H26" s="428"/>
      <c r="I26" s="428"/>
      <c r="J26" s="428"/>
    </row>
    <row r="27" spans="1:10">
      <c r="A27" s="431"/>
      <c r="B27" s="428"/>
      <c r="C27" s="428"/>
      <c r="D27" s="428"/>
      <c r="E27" s="428"/>
      <c r="F27" s="428"/>
      <c r="G27" s="428"/>
      <c r="H27" s="428"/>
      <c r="I27" s="428"/>
      <c r="J27" s="428"/>
    </row>
    <row r="28" spans="1:10">
      <c r="A28" s="428"/>
      <c r="B28" s="428"/>
      <c r="C28" s="428"/>
      <c r="D28" s="428"/>
      <c r="E28" s="428"/>
      <c r="F28" s="428"/>
      <c r="G28" s="428"/>
      <c r="H28" s="428"/>
      <c r="I28" s="428"/>
      <c r="J28" s="428"/>
    </row>
    <row r="29" spans="1:10">
      <c r="A29" s="428"/>
      <c r="B29" s="428"/>
      <c r="C29" s="428"/>
      <c r="D29" s="428"/>
      <c r="E29" s="428"/>
      <c r="F29" s="428"/>
      <c r="G29" s="428"/>
      <c r="H29" s="428"/>
      <c r="I29" s="428"/>
      <c r="J29" s="428"/>
    </row>
    <row r="30" spans="1:10">
      <c r="A30" s="428"/>
      <c r="B30" s="428"/>
      <c r="C30" s="428"/>
      <c r="D30" s="428"/>
      <c r="E30" s="428"/>
      <c r="F30" s="428"/>
      <c r="G30" s="428"/>
      <c r="H30" s="428"/>
      <c r="I30" s="428"/>
      <c r="J30" s="428"/>
    </row>
    <row r="31" spans="1:10">
      <c r="A31" s="428"/>
      <c r="B31" s="428"/>
      <c r="C31" s="428"/>
      <c r="D31" s="428"/>
      <c r="E31" s="428"/>
      <c r="F31" s="428"/>
      <c r="G31" s="428"/>
      <c r="H31" s="428"/>
      <c r="I31" s="428"/>
      <c r="J31" s="428"/>
    </row>
    <row r="32" spans="1:10">
      <c r="A32" s="428"/>
      <c r="B32" s="428"/>
      <c r="C32" s="428"/>
      <c r="D32" s="428"/>
      <c r="E32" s="428"/>
      <c r="F32" s="428"/>
      <c r="G32" s="428"/>
      <c r="H32" s="428"/>
      <c r="I32" s="428"/>
      <c r="J32" s="428"/>
    </row>
    <row r="33" spans="1:10">
      <c r="A33" s="428"/>
      <c r="B33" s="428"/>
      <c r="C33" s="428"/>
      <c r="D33" s="428"/>
      <c r="E33" s="428"/>
      <c r="F33" s="428"/>
      <c r="G33" s="428"/>
      <c r="H33" s="428"/>
      <c r="I33" s="428"/>
      <c r="J33" s="42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6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54" sqref="A154"/>
    </sheetView>
  </sheetViews>
  <sheetFormatPr defaultColWidth="9" defaultRowHeight="15.75"/>
  <cols>
    <col min="1" max="1" width="56.375" style="625" customWidth="1"/>
    <col min="2" max="2" width="17.625" style="630" bestFit="1" customWidth="1"/>
    <col min="3" max="3" width="12.5" style="637" customWidth="1"/>
    <col min="4" max="4" width="9.875" style="630" bestFit="1" customWidth="1"/>
    <col min="5" max="5" width="13.625" style="630" bestFit="1" customWidth="1"/>
    <col min="6" max="6" width="10.5" style="630" bestFit="1" customWidth="1"/>
    <col min="7" max="7" width="22.375" style="631" bestFit="1" customWidth="1"/>
    <col min="8" max="16384" width="9" style="625"/>
  </cols>
  <sheetData>
    <row r="3" spans="1:7">
      <c r="A3" s="621"/>
      <c r="B3" s="622" t="s">
        <v>762</v>
      </c>
      <c r="C3" s="623" t="s">
        <v>44</v>
      </c>
      <c r="D3" s="622" t="s">
        <v>841</v>
      </c>
      <c r="E3" s="622" t="s">
        <v>842</v>
      </c>
      <c r="F3" s="622" t="s">
        <v>843</v>
      </c>
      <c r="G3" s="624"/>
    </row>
    <row r="4" spans="1:7">
      <c r="A4" s="687" t="s">
        <v>898</v>
      </c>
      <c r="B4" s="191">
        <f>RS!F125</f>
        <v>17.5</v>
      </c>
      <c r="C4" s="627">
        <f>RS!F122</f>
        <v>0.12265</v>
      </c>
      <c r="D4" s="191"/>
      <c r="E4" s="191"/>
      <c r="F4" s="191"/>
      <c r="G4" s="628"/>
    </row>
    <row r="5" spans="1:7">
      <c r="A5" s="626" t="s">
        <v>924</v>
      </c>
      <c r="B5" s="191"/>
      <c r="C5" s="627">
        <f>RS!F123</f>
        <v>6.2649999999999997E-2</v>
      </c>
      <c r="D5" s="191"/>
      <c r="E5" s="191"/>
      <c r="F5" s="191"/>
      <c r="G5" s="628"/>
    </row>
    <row r="6" spans="1:7">
      <c r="A6" s="626" t="s">
        <v>844</v>
      </c>
      <c r="B6" s="191"/>
      <c r="C6" s="627">
        <f>RS!F124</f>
        <v>8.251E-2</v>
      </c>
      <c r="D6" s="191"/>
      <c r="E6" s="191"/>
      <c r="F6" s="191"/>
      <c r="G6" s="628"/>
    </row>
    <row r="7" spans="1:7">
      <c r="A7" s="689" t="s">
        <v>899</v>
      </c>
      <c r="B7" s="191"/>
      <c r="C7" s="627"/>
      <c r="D7" s="191"/>
      <c r="E7" s="191"/>
      <c r="F7" s="191"/>
      <c r="G7" s="628"/>
    </row>
    <row r="8" spans="1:7">
      <c r="A8" s="626" t="s">
        <v>845</v>
      </c>
      <c r="B8" s="191"/>
      <c r="C8" s="627">
        <f>RS!F86</f>
        <v>0.15737000000000001</v>
      </c>
      <c r="D8" s="191"/>
      <c r="E8" s="191"/>
      <c r="F8" s="191"/>
      <c r="G8" s="628"/>
    </row>
    <row r="9" spans="1:7">
      <c r="A9" s="626" t="s">
        <v>846</v>
      </c>
      <c r="B9" s="191"/>
      <c r="C9" s="627">
        <f>RS!F87</f>
        <v>8.251E-2</v>
      </c>
      <c r="D9" s="191"/>
      <c r="E9" s="191"/>
      <c r="F9" s="191"/>
      <c r="G9" s="628"/>
    </row>
    <row r="10" spans="1:7">
      <c r="A10" s="626" t="s">
        <v>847</v>
      </c>
      <c r="B10" s="191">
        <f>RS!F89</f>
        <v>4.3</v>
      </c>
      <c r="C10" s="627"/>
      <c r="D10" s="191"/>
      <c r="E10" s="191"/>
      <c r="F10" s="191"/>
      <c r="G10" s="628"/>
    </row>
    <row r="11" spans="1:7">
      <c r="A11" s="687" t="s">
        <v>900</v>
      </c>
      <c r="B11" s="191">
        <f>RS!F88</f>
        <v>21</v>
      </c>
      <c r="C11" s="627"/>
      <c r="D11" s="191"/>
      <c r="E11" s="191"/>
      <c r="F11" s="191"/>
      <c r="G11" s="628"/>
    </row>
    <row r="12" spans="1:7">
      <c r="A12" s="626" t="s">
        <v>845</v>
      </c>
      <c r="B12" s="191"/>
      <c r="C12" s="627">
        <f>C8</f>
        <v>0.15737000000000001</v>
      </c>
      <c r="D12" s="191"/>
      <c r="E12" s="191"/>
      <c r="F12" s="191"/>
      <c r="G12" s="628"/>
    </row>
    <row r="13" spans="1:7">
      <c r="A13" s="626" t="s">
        <v>846</v>
      </c>
      <c r="B13" s="191"/>
      <c r="C13" s="627">
        <f>C9</f>
        <v>8.251E-2</v>
      </c>
      <c r="D13" s="191"/>
      <c r="E13" s="191"/>
      <c r="F13" s="191"/>
      <c r="G13" s="628"/>
    </row>
    <row r="15" spans="1:7">
      <c r="A15" s="687" t="s">
        <v>901</v>
      </c>
      <c r="B15" s="632">
        <f>'SGS TOD'!G96</f>
        <v>25</v>
      </c>
      <c r="C15" s="627"/>
      <c r="D15" s="191"/>
    </row>
    <row r="16" spans="1:7">
      <c r="A16" s="626" t="s">
        <v>850</v>
      </c>
      <c r="B16" s="191"/>
      <c r="C16" s="627">
        <f>'SGS TOD'!G93</f>
        <v>0.214757</v>
      </c>
      <c r="D16" s="191"/>
    </row>
    <row r="17" spans="1:5">
      <c r="A17" s="626" t="s">
        <v>851</v>
      </c>
      <c r="B17" s="191"/>
      <c r="C17" s="627">
        <f>'SGS TOD'!G94</f>
        <v>0.18801699999999999</v>
      </c>
      <c r="D17" s="191"/>
    </row>
    <row r="18" spans="1:5">
      <c r="A18" s="626" t="s">
        <v>52</v>
      </c>
      <c r="B18" s="191"/>
      <c r="C18" s="627">
        <f>'SGS TOD'!G95</f>
        <v>0.119087</v>
      </c>
      <c r="D18" s="191"/>
    </row>
    <row r="20" spans="1:5">
      <c r="A20" s="687" t="s">
        <v>921</v>
      </c>
      <c r="B20" s="191">
        <f>GS!D121</f>
        <v>25</v>
      </c>
      <c r="C20" s="627"/>
      <c r="D20" s="191">
        <f>GS!F110</f>
        <v>8.65</v>
      </c>
    </row>
    <row r="21" spans="1:5">
      <c r="A21" s="629" t="s">
        <v>848</v>
      </c>
      <c r="B21" s="191"/>
      <c r="C21" s="627">
        <f>GS!D118</f>
        <v>0.1114624</v>
      </c>
      <c r="D21" s="191"/>
    </row>
    <row r="22" spans="1:5">
      <c r="A22" s="629" t="s">
        <v>849</v>
      </c>
      <c r="B22" s="191"/>
      <c r="C22" s="627">
        <f>GS!D119</f>
        <v>0.10440150000000001</v>
      </c>
      <c r="D22" s="191"/>
    </row>
    <row r="23" spans="1:5">
      <c r="A23" s="687" t="s">
        <v>920</v>
      </c>
      <c r="B23" s="191">
        <f>GS!F45</f>
        <v>25</v>
      </c>
      <c r="C23" s="627">
        <f>GS!F46</f>
        <v>0.11474000000000001</v>
      </c>
      <c r="D23" s="191"/>
    </row>
    <row r="24" spans="1:5">
      <c r="A24" s="687" t="s">
        <v>919</v>
      </c>
      <c r="B24" s="649"/>
      <c r="C24" s="627"/>
      <c r="D24" s="191"/>
    </row>
    <row r="25" spans="1:5">
      <c r="A25" s="626" t="s">
        <v>845</v>
      </c>
      <c r="B25" s="649"/>
      <c r="C25" s="627"/>
      <c r="D25" s="191"/>
    </row>
    <row r="26" spans="1:5">
      <c r="A26" s="626" t="s">
        <v>846</v>
      </c>
      <c r="B26" s="649"/>
      <c r="C26" s="627"/>
      <c r="D26" s="191"/>
    </row>
    <row r="27" spans="1:5">
      <c r="A27" s="687" t="s">
        <v>922</v>
      </c>
      <c r="B27" s="191">
        <f>'GS AF NM TODs'!E125</f>
        <v>15</v>
      </c>
      <c r="C27" s="650"/>
      <c r="D27" s="191"/>
    </row>
    <row r="28" spans="1:5">
      <c r="A28" s="629" t="s">
        <v>848</v>
      </c>
      <c r="B28" s="191"/>
      <c r="C28" s="654">
        <f>C21</f>
        <v>0.1114624</v>
      </c>
      <c r="D28" s="191"/>
    </row>
    <row r="29" spans="1:5">
      <c r="A29" s="629" t="s">
        <v>849</v>
      </c>
      <c r="B29" s="191"/>
      <c r="C29" s="654">
        <f>C22</f>
        <v>0.10440150000000001</v>
      </c>
      <c r="D29" s="191"/>
    </row>
    <row r="30" spans="1:5">
      <c r="A30" s="687" t="s">
        <v>902</v>
      </c>
      <c r="B30" s="191" t="e">
        <f>#REF!</f>
        <v>#REF!</v>
      </c>
      <c r="C30" s="627"/>
      <c r="D30" s="191"/>
    </row>
    <row r="31" spans="1:5">
      <c r="A31" s="626" t="s">
        <v>845</v>
      </c>
      <c r="B31" s="191"/>
      <c r="C31" s="627">
        <f>'GS AF NM TODs'!E144</f>
        <v>0.1686</v>
      </c>
      <c r="D31" s="191"/>
    </row>
    <row r="32" spans="1:5">
      <c r="A32" s="626" t="s">
        <v>846</v>
      </c>
      <c r="B32" s="191"/>
      <c r="C32" s="627">
        <f>'GS AF NM TODs'!E145</f>
        <v>8.2460000000000006E-2</v>
      </c>
      <c r="D32" s="191"/>
      <c r="E32" s="191"/>
    </row>
    <row r="33" spans="1:5">
      <c r="A33" s="687" t="s">
        <v>918</v>
      </c>
      <c r="B33" s="191">
        <f>GS!D127</f>
        <v>100</v>
      </c>
      <c r="C33" s="627"/>
      <c r="D33" s="191">
        <f>GS!D126</f>
        <v>8.01</v>
      </c>
      <c r="E33" s="191"/>
    </row>
    <row r="34" spans="1:5">
      <c r="A34" s="629" t="s">
        <v>848</v>
      </c>
      <c r="B34" s="191"/>
      <c r="C34" s="627">
        <f>GS!D124</f>
        <v>9.8134400000000011E-2</v>
      </c>
      <c r="D34" s="191"/>
      <c r="E34" s="191"/>
    </row>
    <row r="35" spans="1:5">
      <c r="A35" s="629" t="s">
        <v>849</v>
      </c>
      <c r="B35" s="191"/>
      <c r="C35" s="627">
        <f>GS!D125</f>
        <v>9.2315999999999995E-2</v>
      </c>
      <c r="D35" s="191"/>
      <c r="E35" s="191"/>
    </row>
    <row r="36" spans="1:5">
      <c r="A36" s="687" t="s">
        <v>917</v>
      </c>
      <c r="B36" s="191">
        <f>GS!D132</f>
        <v>400</v>
      </c>
      <c r="C36" s="627"/>
      <c r="D36" s="191">
        <f>GS!D131</f>
        <v>6.63</v>
      </c>
      <c r="E36" s="191"/>
    </row>
    <row r="37" spans="1:5">
      <c r="A37" s="629" t="s">
        <v>848</v>
      </c>
      <c r="B37" s="191"/>
      <c r="C37" s="627">
        <f>GS!D129</f>
        <v>8.9017600000000002E-2</v>
      </c>
      <c r="D37" s="191"/>
      <c r="E37" s="191"/>
    </row>
    <row r="38" spans="1:5">
      <c r="A38" s="629" t="s">
        <v>849</v>
      </c>
      <c r="B38" s="191"/>
      <c r="C38" s="627">
        <f>GS!D130</f>
        <v>8.3800500000000014E-2</v>
      </c>
      <c r="D38" s="191"/>
      <c r="E38" s="191"/>
    </row>
    <row r="40" spans="1:5">
      <c r="A40" s="687" t="s">
        <v>903</v>
      </c>
      <c r="B40" s="191">
        <f>LGS!F184</f>
        <v>85</v>
      </c>
      <c r="C40" s="627">
        <f>LGS!F183</f>
        <v>8.992E-2</v>
      </c>
      <c r="D40" s="191">
        <f>LGS!F181</f>
        <v>8.7670000000000012</v>
      </c>
      <c r="E40" s="191">
        <f>LGS!F182</f>
        <v>3.46</v>
      </c>
    </row>
    <row r="41" spans="1:5">
      <c r="A41" s="687" t="s">
        <v>987</v>
      </c>
      <c r="B41" s="191">
        <f>LGS!F273</f>
        <v>85</v>
      </c>
      <c r="C41" s="627"/>
      <c r="D41" s="191"/>
      <c r="E41" s="191"/>
    </row>
    <row r="42" spans="1:5">
      <c r="A42" s="626" t="s">
        <v>845</v>
      </c>
      <c r="B42" s="191"/>
      <c r="C42" s="627">
        <f>LGS!F271</f>
        <v>0.15237000000000001</v>
      </c>
      <c r="D42" s="191"/>
      <c r="E42" s="191"/>
    </row>
    <row r="43" spans="1:5">
      <c r="A43" s="626" t="s">
        <v>846</v>
      </c>
      <c r="B43" s="191"/>
      <c r="C43" s="627">
        <f>LGS!F272</f>
        <v>8.2180000000000003E-2</v>
      </c>
      <c r="D43" s="191"/>
      <c r="E43" s="191"/>
    </row>
    <row r="44" spans="1:5">
      <c r="A44" s="688" t="s">
        <v>908</v>
      </c>
      <c r="B44" s="191">
        <f>LGS!F192</f>
        <v>127.5</v>
      </c>
      <c r="C44" s="627">
        <f>LGS!F191</f>
        <v>7.9039999999999999E-2</v>
      </c>
      <c r="D44" s="191">
        <f>LGS!F189</f>
        <v>7.8980000000000006</v>
      </c>
      <c r="E44" s="191">
        <f>LGS!F190</f>
        <v>3.46</v>
      </c>
    </row>
    <row r="45" spans="1:5">
      <c r="A45" s="687" t="s">
        <v>909</v>
      </c>
      <c r="B45" s="191">
        <f>LGS!F200</f>
        <v>660</v>
      </c>
      <c r="C45" s="627">
        <f>LGS!F199</f>
        <v>5.6509999999999998E-2</v>
      </c>
      <c r="D45" s="191">
        <f>LGS!F197</f>
        <v>6.63</v>
      </c>
      <c r="E45" s="191">
        <f>LGS!F198</f>
        <v>3.46</v>
      </c>
    </row>
    <row r="46" spans="1:5">
      <c r="A46" s="687" t="s">
        <v>910</v>
      </c>
      <c r="B46" s="191">
        <f>LGS!F208</f>
        <v>660</v>
      </c>
      <c r="C46" s="627">
        <f>LGS!F207</f>
        <v>5.5670000000000004E-2</v>
      </c>
      <c r="D46" s="191">
        <f>LGS!F205</f>
        <v>6.54</v>
      </c>
      <c r="E46" s="191">
        <f>LGS!F206</f>
        <v>3.46</v>
      </c>
    </row>
    <row r="47" spans="1:5">
      <c r="A47" s="687" t="s">
        <v>904</v>
      </c>
      <c r="B47" s="191">
        <f>LGS!F280</f>
        <v>85</v>
      </c>
      <c r="C47" s="627"/>
      <c r="D47" s="633">
        <f>LGS!F278</f>
        <v>11.229999999999999</v>
      </c>
      <c r="E47" s="633">
        <f>LGS!F279</f>
        <v>3.46</v>
      </c>
    </row>
    <row r="48" spans="1:5">
      <c r="A48" s="626" t="s">
        <v>845</v>
      </c>
      <c r="B48" s="191"/>
      <c r="C48" s="627">
        <f>LGS!F276</f>
        <v>0.10917</v>
      </c>
      <c r="D48" s="191"/>
      <c r="E48" s="191"/>
    </row>
    <row r="49" spans="1:5">
      <c r="A49" s="626" t="s">
        <v>846</v>
      </c>
      <c r="B49" s="191"/>
      <c r="C49" s="627">
        <f>LGS!F277</f>
        <v>5.6910000000000002E-2</v>
      </c>
      <c r="D49" s="191"/>
      <c r="E49" s="191"/>
    </row>
    <row r="50" spans="1:5">
      <c r="A50" s="687" t="s">
        <v>905</v>
      </c>
      <c r="B50" s="191">
        <f>'LGS-TOD'!F19</f>
        <v>127.5</v>
      </c>
      <c r="C50" s="627"/>
      <c r="D50" s="191">
        <f>'LGS-TOD'!F54</f>
        <v>8.39</v>
      </c>
      <c r="E50" s="633">
        <f>E47</f>
        <v>3.46</v>
      </c>
    </row>
    <row r="51" spans="1:5">
      <c r="A51" s="626" t="s">
        <v>845</v>
      </c>
      <c r="B51" s="191"/>
      <c r="C51" s="627">
        <f>'LGS-TOD'!F78</f>
        <v>0.10768999999999999</v>
      </c>
      <c r="D51" s="191"/>
      <c r="E51" s="191"/>
    </row>
    <row r="52" spans="1:5">
      <c r="A52" s="626" t="s">
        <v>846</v>
      </c>
      <c r="B52" s="191"/>
      <c r="C52" s="627">
        <f>'LGS-TOD'!F43</f>
        <v>5.6480000000000002E-2</v>
      </c>
      <c r="D52" s="191"/>
      <c r="E52" s="191"/>
    </row>
    <row r="53" spans="1:5">
      <c r="A53" s="687" t="s">
        <v>906</v>
      </c>
      <c r="B53" s="191">
        <f>'LGS-TOD'!H19</f>
        <v>660</v>
      </c>
      <c r="C53" s="627"/>
      <c r="D53" s="191">
        <f>'LGS-TOD'!F55</f>
        <v>1.82</v>
      </c>
      <c r="E53" s="633">
        <f>E47</f>
        <v>3.46</v>
      </c>
    </row>
    <row r="54" spans="1:5">
      <c r="A54" s="626" t="s">
        <v>845</v>
      </c>
      <c r="B54" s="191"/>
      <c r="C54" s="627">
        <f>'LGS-TOD'!H78</f>
        <v>0.10678</v>
      </c>
      <c r="D54" s="191"/>
      <c r="E54" s="191"/>
    </row>
    <row r="55" spans="1:5">
      <c r="A55" s="626" t="s">
        <v>846</v>
      </c>
      <c r="B55" s="191"/>
      <c r="C55" s="627">
        <f>'LGS-TOD'!H43</f>
        <v>5.6220000000000006E-2</v>
      </c>
      <c r="D55" s="191"/>
      <c r="E55" s="191"/>
    </row>
    <row r="56" spans="1:5">
      <c r="A56" s="687" t="s">
        <v>907</v>
      </c>
      <c r="B56" s="191">
        <f>'LGS-TOD'!J19</f>
        <v>660</v>
      </c>
      <c r="C56" s="627"/>
      <c r="D56" s="191">
        <f>'LGS-TOD'!F56</f>
        <v>1.8</v>
      </c>
      <c r="E56" s="633">
        <f>E47</f>
        <v>3.46</v>
      </c>
    </row>
    <row r="57" spans="1:5">
      <c r="A57" s="626" t="s">
        <v>845</v>
      </c>
      <c r="B57" s="191"/>
      <c r="C57" s="627">
        <f>'LGS-TOD'!J78</f>
        <v>0.10589</v>
      </c>
      <c r="D57" s="191"/>
      <c r="E57" s="191"/>
    </row>
    <row r="58" spans="1:5">
      <c r="A58" s="626" t="s">
        <v>846</v>
      </c>
      <c r="B58" s="191"/>
      <c r="C58" s="627">
        <f>'LGS-TOD'!J43</f>
        <v>5.595E-2</v>
      </c>
      <c r="D58" s="191"/>
      <c r="E58" s="191"/>
    </row>
    <row r="60" spans="1:5">
      <c r="A60" s="687" t="s">
        <v>911</v>
      </c>
      <c r="B60" s="191">
        <f>B40</f>
        <v>85</v>
      </c>
      <c r="C60" s="639">
        <f>LGS!F183</f>
        <v>8.992E-2</v>
      </c>
      <c r="D60" s="191">
        <f>D40</f>
        <v>8.7670000000000012</v>
      </c>
      <c r="E60" s="191">
        <f>E40</f>
        <v>3.46</v>
      </c>
    </row>
    <row r="61" spans="1:5">
      <c r="A61" s="687" t="s">
        <v>912</v>
      </c>
      <c r="B61" s="191">
        <f>B44</f>
        <v>127.5</v>
      </c>
      <c r="C61" s="639">
        <f>LGS!F191</f>
        <v>7.9039999999999999E-2</v>
      </c>
      <c r="D61" s="191">
        <f t="shared" ref="D61:E61" si="0">D44</f>
        <v>7.8980000000000006</v>
      </c>
      <c r="E61" s="191">
        <f t="shared" si="0"/>
        <v>3.46</v>
      </c>
    </row>
    <row r="63" spans="1:5">
      <c r="A63" s="687" t="s">
        <v>852</v>
      </c>
      <c r="B63" s="191">
        <f>IGS!F244</f>
        <v>276</v>
      </c>
      <c r="C63" s="627">
        <f>IGS!F243</f>
        <v>2.9372905586144946E-2</v>
      </c>
      <c r="D63" s="191"/>
      <c r="E63" s="191">
        <f>IGS!F242</f>
        <v>0.69</v>
      </c>
    </row>
    <row r="64" spans="1:5">
      <c r="A64" s="626" t="s">
        <v>845</v>
      </c>
      <c r="B64" s="191"/>
      <c r="C64" s="627"/>
      <c r="D64" s="191">
        <f>IGS!F239</f>
        <v>26.99</v>
      </c>
      <c r="E64" s="191"/>
    </row>
    <row r="65" spans="1:6">
      <c r="A65" s="626" t="s">
        <v>846</v>
      </c>
      <c r="B65" s="191"/>
      <c r="C65" s="627"/>
      <c r="D65" s="191">
        <f>IGS!F240</f>
        <v>1.85</v>
      </c>
      <c r="E65" s="191"/>
    </row>
    <row r="66" spans="1:6">
      <c r="A66" s="626" t="s">
        <v>362</v>
      </c>
      <c r="B66" s="191"/>
      <c r="C66" s="627"/>
      <c r="D66" s="191">
        <f>IGS!F241</f>
        <v>29.52</v>
      </c>
      <c r="E66" s="191"/>
    </row>
    <row r="67" spans="1:6">
      <c r="A67" s="687" t="s">
        <v>853</v>
      </c>
      <c r="B67" s="191">
        <f>IGS!F255</f>
        <v>276</v>
      </c>
      <c r="C67" s="627">
        <f>IGS!F254</f>
        <v>2.8990917183980329E-2</v>
      </c>
      <c r="D67" s="191"/>
      <c r="E67" s="191">
        <f>IGS!F253</f>
        <v>0.69</v>
      </c>
    </row>
    <row r="68" spans="1:6">
      <c r="A68" s="626" t="s">
        <v>845</v>
      </c>
      <c r="B68" s="191"/>
      <c r="C68" s="627"/>
      <c r="D68" s="191">
        <f>IGS!F249</f>
        <v>23.98</v>
      </c>
      <c r="E68" s="191"/>
    </row>
    <row r="69" spans="1:6">
      <c r="A69" s="626" t="s">
        <v>846</v>
      </c>
      <c r="B69" s="191"/>
      <c r="C69" s="627"/>
      <c r="D69" s="191">
        <f>IGS!F250</f>
        <v>1.83</v>
      </c>
      <c r="E69" s="191"/>
    </row>
    <row r="70" spans="1:6">
      <c r="A70" s="626" t="s">
        <v>362</v>
      </c>
      <c r="B70" s="191"/>
      <c r="C70" s="627"/>
      <c r="D70" s="191">
        <f>IGS!F251</f>
        <v>26.47</v>
      </c>
      <c r="E70" s="191"/>
    </row>
    <row r="71" spans="1:6">
      <c r="A71" s="687" t="s">
        <v>854</v>
      </c>
      <c r="B71" s="191">
        <f>IGS!F266</f>
        <v>794</v>
      </c>
      <c r="C71" s="627">
        <f>IGS!F265</f>
        <v>2.8742457589179402E-2</v>
      </c>
      <c r="D71" s="191"/>
      <c r="E71" s="191">
        <f>IGS!F264</f>
        <v>0.69</v>
      </c>
    </row>
    <row r="72" spans="1:6">
      <c r="A72" s="626" t="s">
        <v>845</v>
      </c>
      <c r="B72" s="191"/>
      <c r="C72" s="627"/>
      <c r="D72" s="191">
        <f>IGS!F260</f>
        <v>17.16</v>
      </c>
      <c r="E72" s="191"/>
    </row>
    <row r="73" spans="1:6">
      <c r="A73" s="626" t="s">
        <v>846</v>
      </c>
      <c r="B73" s="191"/>
      <c r="C73" s="627"/>
      <c r="D73" s="191">
        <f>IGS!F261</f>
        <v>1.81</v>
      </c>
      <c r="E73" s="191"/>
      <c r="F73" s="191"/>
    </row>
    <row r="74" spans="1:6">
      <c r="A74" s="626" t="s">
        <v>362</v>
      </c>
      <c r="B74" s="191"/>
      <c r="C74" s="627"/>
      <c r="D74" s="191">
        <f>IGS!F262</f>
        <v>19.650000000000002</v>
      </c>
      <c r="E74" s="191"/>
      <c r="F74" s="191"/>
    </row>
    <row r="75" spans="1:6">
      <c r="A75" s="687" t="s">
        <v>855</v>
      </c>
      <c r="B75" s="191">
        <f>IGS!F277</f>
        <v>1353</v>
      </c>
      <c r="C75" s="627">
        <f>IGS!F276</f>
        <v>2.8510000000000001E-2</v>
      </c>
      <c r="D75" s="191"/>
      <c r="E75" s="191">
        <f>IGS!F275</f>
        <v>0.69</v>
      </c>
      <c r="F75" s="191"/>
    </row>
    <row r="76" spans="1:6">
      <c r="A76" s="626" t="s">
        <v>845</v>
      </c>
      <c r="B76" s="191"/>
      <c r="C76" s="627"/>
      <c r="D76" s="191">
        <f>IGS!F271</f>
        <v>16.900000000000002</v>
      </c>
      <c r="E76" s="191"/>
      <c r="F76" s="191"/>
    </row>
    <row r="77" spans="1:6">
      <c r="A77" s="626" t="s">
        <v>846</v>
      </c>
      <c r="B77" s="191"/>
      <c r="C77" s="627"/>
      <c r="D77" s="191">
        <f>IGS!F272</f>
        <v>1.8</v>
      </c>
      <c r="E77" s="191"/>
      <c r="F77" s="191"/>
    </row>
    <row r="78" spans="1:6">
      <c r="A78" s="626" t="s">
        <v>362</v>
      </c>
      <c r="B78" s="191"/>
      <c r="C78" s="627"/>
      <c r="D78" s="191">
        <f>IGS!F273</f>
        <v>19.350000000000001</v>
      </c>
      <c r="E78" s="191"/>
      <c r="F78" s="191"/>
    </row>
    <row r="79" spans="1:6">
      <c r="A79" s="626"/>
      <c r="B79" s="191"/>
      <c r="C79" s="627"/>
      <c r="D79" s="191"/>
      <c r="E79" s="191"/>
      <c r="F79" s="191"/>
    </row>
    <row r="80" spans="1:6">
      <c r="A80" s="687" t="s">
        <v>718</v>
      </c>
      <c r="B80" s="632">
        <f>MW!D59</f>
        <v>25</v>
      </c>
      <c r="C80" s="627">
        <f>MW!D57</f>
        <v>0.10304000000000001</v>
      </c>
      <c r="D80" s="191">
        <f>MW!D58</f>
        <v>9.7799999999999994</v>
      </c>
      <c r="E80" s="191"/>
      <c r="F80" s="191"/>
    </row>
    <row r="82" spans="1:6">
      <c r="A82" s="634" t="s">
        <v>856</v>
      </c>
      <c r="B82" s="191"/>
      <c r="C82" s="627"/>
      <c r="D82" s="191"/>
      <c r="E82" s="191"/>
      <c r="F82" s="191"/>
    </row>
    <row r="83" spans="1:6">
      <c r="A83" s="635" t="s">
        <v>857</v>
      </c>
      <c r="B83" s="191"/>
      <c r="C83" s="627"/>
      <c r="D83" s="191"/>
      <c r="E83" s="191"/>
      <c r="F83" s="191"/>
    </row>
    <row r="84" spans="1:6">
      <c r="A84" s="626" t="s">
        <v>478</v>
      </c>
      <c r="B84" s="191"/>
      <c r="C84" s="627"/>
      <c r="D84" s="191"/>
      <c r="E84" s="191"/>
      <c r="F84" s="191"/>
    </row>
    <row r="85" spans="1:6">
      <c r="A85" s="626" t="s">
        <v>858</v>
      </c>
      <c r="B85" s="191"/>
      <c r="C85" s="627"/>
      <c r="D85" s="191"/>
      <c r="E85" s="191"/>
      <c r="F85" s="191">
        <f>'OL 1'!K7</f>
        <v>9.3000000000000007</v>
      </c>
    </row>
    <row r="86" spans="1:6">
      <c r="A86" s="626" t="s">
        <v>859</v>
      </c>
      <c r="B86" s="191"/>
      <c r="C86" s="627"/>
      <c r="D86" s="191"/>
      <c r="E86" s="191"/>
      <c r="F86" s="191">
        <f>'OL 1'!K8</f>
        <v>10.65</v>
      </c>
    </row>
    <row r="87" spans="1:6">
      <c r="A87" s="626" t="s">
        <v>860</v>
      </c>
      <c r="B87" s="191"/>
      <c r="C87" s="627"/>
      <c r="D87" s="191"/>
      <c r="E87" s="191"/>
      <c r="F87" s="191">
        <f>'OL 1'!K9</f>
        <v>13.2</v>
      </c>
    </row>
    <row r="88" spans="1:6">
      <c r="A88" s="626" t="s">
        <v>861</v>
      </c>
      <c r="B88" s="191"/>
      <c r="C88" s="627"/>
      <c r="D88" s="191"/>
      <c r="E88" s="191"/>
      <c r="F88" s="191">
        <f>'OL 1'!K10</f>
        <v>18.8</v>
      </c>
    </row>
    <row r="89" spans="1:6">
      <c r="A89" s="626" t="s">
        <v>862</v>
      </c>
      <c r="B89" s="191"/>
      <c r="C89" s="627"/>
      <c r="D89" s="191"/>
      <c r="E89" s="191"/>
      <c r="F89" s="191">
        <f>'OL 1'!K11</f>
        <v>20.85</v>
      </c>
    </row>
    <row r="91" spans="1:6">
      <c r="A91" s="626" t="s">
        <v>863</v>
      </c>
      <c r="B91" s="191"/>
      <c r="C91" s="627"/>
      <c r="D91" s="191"/>
      <c r="E91" s="191"/>
      <c r="F91" s="191"/>
    </row>
    <row r="92" spans="1:6">
      <c r="A92" s="626" t="s">
        <v>864</v>
      </c>
      <c r="B92" s="191"/>
      <c r="C92" s="627"/>
      <c r="D92" s="191"/>
      <c r="E92" s="191"/>
      <c r="F92" s="191">
        <f>'OL 1'!K29</f>
        <v>11.85</v>
      </c>
    </row>
    <row r="93" spans="1:6">
      <c r="A93" s="626" t="s">
        <v>865</v>
      </c>
      <c r="B93" s="191"/>
      <c r="C93" s="627"/>
      <c r="D93" s="191"/>
      <c r="E93" s="191"/>
      <c r="F93" s="191">
        <f>'OL 1'!K30</f>
        <v>20.399999999999999</v>
      </c>
    </row>
    <row r="95" spans="1:6">
      <c r="A95" s="635" t="s">
        <v>866</v>
      </c>
      <c r="B95" s="191"/>
      <c r="C95" s="627"/>
      <c r="D95" s="191"/>
      <c r="E95" s="191"/>
      <c r="F95" s="191"/>
    </row>
    <row r="96" spans="1:6">
      <c r="A96" s="626" t="s">
        <v>867</v>
      </c>
      <c r="B96" s="191"/>
      <c r="C96" s="627"/>
      <c r="D96" s="191"/>
      <c r="E96" s="191"/>
      <c r="F96" s="191"/>
    </row>
    <row r="97" spans="1:6">
      <c r="A97" s="626" t="s">
        <v>868</v>
      </c>
      <c r="B97" s="191"/>
      <c r="C97" s="627"/>
      <c r="D97" s="191"/>
      <c r="E97" s="191"/>
      <c r="F97" s="191">
        <f>'OL 1'!K12</f>
        <v>16.850000000000001</v>
      </c>
    </row>
    <row r="98" spans="1:6">
      <c r="A98" s="626" t="s">
        <v>869</v>
      </c>
      <c r="B98" s="191"/>
      <c r="C98" s="627"/>
      <c r="D98" s="191"/>
      <c r="E98" s="191"/>
      <c r="F98" s="191">
        <f>'OL 1'!K13</f>
        <v>27.65</v>
      </c>
    </row>
    <row r="100" spans="1:6">
      <c r="A100" s="626" t="s">
        <v>870</v>
      </c>
      <c r="B100" s="191"/>
      <c r="C100" s="627"/>
      <c r="D100" s="191"/>
      <c r="E100" s="191"/>
      <c r="F100" s="191"/>
    </row>
    <row r="101" spans="1:6">
      <c r="A101" s="626" t="s">
        <v>871</v>
      </c>
      <c r="B101" s="191"/>
      <c r="C101" s="627"/>
      <c r="D101" s="191"/>
      <c r="E101" s="191"/>
      <c r="F101" s="191">
        <f>'OL 1'!K31</f>
        <v>13.6</v>
      </c>
    </row>
    <row r="103" spans="1:6">
      <c r="A103" s="626" t="s">
        <v>872</v>
      </c>
      <c r="B103" s="191"/>
      <c r="C103" s="627"/>
      <c r="D103" s="191"/>
      <c r="E103" s="191"/>
      <c r="F103" s="191"/>
    </row>
    <row r="104" spans="1:6">
      <c r="A104" s="626" t="s">
        <v>873</v>
      </c>
      <c r="B104" s="191"/>
      <c r="C104" s="627"/>
      <c r="D104" s="191"/>
      <c r="E104" s="191"/>
      <c r="F104" s="191">
        <f>'OL 1'!K16</f>
        <v>30.6</v>
      </c>
    </row>
    <row r="105" spans="1:6">
      <c r="A105" s="626" t="s">
        <v>874</v>
      </c>
      <c r="B105" s="191"/>
      <c r="C105" s="627"/>
      <c r="D105" s="191"/>
      <c r="E105" s="191"/>
      <c r="F105" s="191">
        <f>'OL 1'!K17</f>
        <v>30.85</v>
      </c>
    </row>
    <row r="106" spans="1:6">
      <c r="A106" s="626" t="s">
        <v>875</v>
      </c>
      <c r="B106" s="191"/>
      <c r="C106" s="627"/>
      <c r="D106" s="191"/>
      <c r="E106" s="191"/>
      <c r="F106" s="191">
        <f>'OL 1'!K18</f>
        <v>42</v>
      </c>
    </row>
    <row r="108" spans="1:6">
      <c r="A108" s="635" t="s">
        <v>876</v>
      </c>
      <c r="B108" s="191"/>
      <c r="C108" s="627"/>
      <c r="D108" s="191"/>
      <c r="E108" s="191"/>
      <c r="F108" s="191"/>
    </row>
    <row r="109" spans="1:6">
      <c r="A109" s="626" t="s">
        <v>877</v>
      </c>
      <c r="B109" s="191"/>
      <c r="C109" s="627"/>
      <c r="D109" s="191"/>
      <c r="E109" s="191"/>
      <c r="F109" s="191"/>
    </row>
    <row r="110" spans="1:6">
      <c r="A110" s="626" t="s">
        <v>878</v>
      </c>
      <c r="B110" s="191"/>
      <c r="C110" s="627"/>
      <c r="D110" s="191"/>
      <c r="E110" s="191"/>
      <c r="F110" s="191">
        <f>'OL 1'!K14</f>
        <v>15.15</v>
      </c>
    </row>
    <row r="111" spans="1:6">
      <c r="A111" s="626" t="s">
        <v>879</v>
      </c>
      <c r="B111" s="191"/>
      <c r="C111" s="627"/>
      <c r="D111" s="191"/>
      <c r="E111" s="191"/>
      <c r="F111" s="191">
        <f>'OL 1'!K15</f>
        <v>22.1</v>
      </c>
    </row>
    <row r="113" spans="1:6">
      <c r="A113" s="626" t="s">
        <v>880</v>
      </c>
      <c r="B113" s="191"/>
      <c r="C113" s="627"/>
      <c r="D113" s="191"/>
      <c r="E113" s="191"/>
      <c r="F113" s="191"/>
    </row>
    <row r="114" spans="1:6">
      <c r="A114" s="626" t="s">
        <v>881</v>
      </c>
      <c r="B114" s="191"/>
      <c r="C114" s="627"/>
      <c r="D114" s="191"/>
      <c r="E114" s="191"/>
      <c r="F114" s="191">
        <f>'OL 1'!K21</f>
        <v>17.899999999999999</v>
      </c>
    </row>
    <row r="115" spans="1:6">
      <c r="A115" s="626" t="s">
        <v>882</v>
      </c>
      <c r="B115" s="191"/>
      <c r="C115" s="627"/>
      <c r="D115" s="191"/>
      <c r="E115" s="191"/>
      <c r="F115" s="191">
        <f>'OL 1'!K22</f>
        <v>22.55</v>
      </c>
    </row>
    <row r="116" spans="1:6">
      <c r="A116" s="626" t="s">
        <v>883</v>
      </c>
      <c r="B116" s="191"/>
      <c r="C116" s="627"/>
      <c r="D116" s="191"/>
      <c r="E116" s="191"/>
      <c r="F116" s="191">
        <f>'OL 1'!K23</f>
        <v>41.5</v>
      </c>
    </row>
    <row r="118" spans="1:6">
      <c r="A118" s="626" t="s">
        <v>884</v>
      </c>
      <c r="B118" s="191"/>
      <c r="C118" s="627"/>
      <c r="D118" s="191"/>
      <c r="E118" s="191"/>
      <c r="F118" s="191"/>
    </row>
    <row r="119" spans="1:6">
      <c r="A119" s="626" t="s">
        <v>885</v>
      </c>
      <c r="B119" s="191"/>
      <c r="C119" s="627"/>
      <c r="D119" s="191"/>
      <c r="E119" s="191"/>
      <c r="F119" s="191">
        <f>'OL 1'!K24</f>
        <v>24.15</v>
      </c>
    </row>
    <row r="120" spans="1:6">
      <c r="A120" s="626" t="s">
        <v>886</v>
      </c>
      <c r="B120" s="191"/>
      <c r="C120" s="627"/>
      <c r="D120" s="191"/>
      <c r="E120" s="191"/>
      <c r="F120" s="191">
        <f>'OL 1'!K25</f>
        <v>29.4</v>
      </c>
    </row>
    <row r="122" spans="1:6">
      <c r="A122" s="626" t="s">
        <v>887</v>
      </c>
      <c r="B122" s="191"/>
      <c r="C122" s="627"/>
      <c r="D122" s="191"/>
      <c r="E122" s="191"/>
      <c r="F122" s="191"/>
    </row>
    <row r="124" spans="1:6">
      <c r="A124" s="626" t="s">
        <v>457</v>
      </c>
      <c r="B124" s="191"/>
      <c r="C124" s="627"/>
      <c r="D124" s="191"/>
      <c r="E124" s="191"/>
      <c r="F124" s="191"/>
    </row>
    <row r="125" spans="1:6">
      <c r="A125" s="626" t="s">
        <v>456</v>
      </c>
      <c r="B125" s="191"/>
      <c r="C125" s="627"/>
      <c r="D125" s="191"/>
      <c r="E125" s="191"/>
      <c r="F125" s="191">
        <f>'OL 1'!K49</f>
        <v>3.7</v>
      </c>
    </row>
    <row r="126" spans="1:6">
      <c r="A126" s="626" t="s">
        <v>455</v>
      </c>
      <c r="B126" s="191"/>
      <c r="C126" s="627"/>
      <c r="D126" s="191"/>
      <c r="E126" s="191"/>
      <c r="F126" s="191">
        <f>'OL 1'!K50</f>
        <v>2</v>
      </c>
    </row>
    <row r="127" spans="1:6">
      <c r="A127" s="626" t="s">
        <v>454</v>
      </c>
      <c r="B127" s="191"/>
      <c r="C127" s="627"/>
      <c r="D127" s="191"/>
      <c r="E127" s="191"/>
      <c r="F127" s="191">
        <f>'OL 1'!K51</f>
        <v>6.95</v>
      </c>
    </row>
    <row r="130" spans="1:6">
      <c r="A130" s="636" t="s">
        <v>888</v>
      </c>
      <c r="B130" s="191"/>
      <c r="C130" s="627"/>
      <c r="D130" s="191"/>
      <c r="E130" s="191"/>
      <c r="F130" s="191"/>
    </row>
    <row r="131" spans="1:6">
      <c r="A131" s="626" t="s">
        <v>889</v>
      </c>
      <c r="B131" s="191"/>
      <c r="C131" s="627"/>
      <c r="D131" s="191"/>
      <c r="E131" s="191"/>
      <c r="F131" s="191"/>
    </row>
    <row r="132" spans="1:6">
      <c r="A132" s="626" t="s">
        <v>478</v>
      </c>
      <c r="B132" s="191"/>
      <c r="C132" s="627"/>
      <c r="D132" s="191"/>
      <c r="E132" s="191"/>
      <c r="F132" s="191"/>
    </row>
    <row r="133" spans="1:6">
      <c r="A133" s="626" t="s">
        <v>890</v>
      </c>
      <c r="B133" s="191"/>
      <c r="C133" s="627"/>
      <c r="D133" s="191"/>
      <c r="E133" s="191"/>
      <c r="F133" s="191">
        <f>'SL 1'!I13</f>
        <v>7.9</v>
      </c>
    </row>
    <row r="134" spans="1:6">
      <c r="A134" s="626" t="s">
        <v>891</v>
      </c>
      <c r="B134" s="191"/>
      <c r="C134" s="627"/>
      <c r="D134" s="191"/>
      <c r="E134" s="191"/>
      <c r="F134" s="191">
        <f>'SL 1'!I14</f>
        <v>8.4499999999999993</v>
      </c>
    </row>
    <row r="135" spans="1:6">
      <c r="A135" s="626" t="s">
        <v>892</v>
      </c>
      <c r="B135" s="191"/>
      <c r="C135" s="627"/>
      <c r="D135" s="191"/>
      <c r="E135" s="191"/>
      <c r="F135" s="191">
        <f>'SL 1'!I15</f>
        <v>10.050000000000001</v>
      </c>
    </row>
    <row r="136" spans="1:6">
      <c r="A136" s="626" t="s">
        <v>893</v>
      </c>
      <c r="B136" s="191"/>
      <c r="C136" s="627"/>
      <c r="D136" s="191"/>
      <c r="E136" s="191"/>
      <c r="F136" s="191">
        <f>'SL 1'!I16</f>
        <v>13.15</v>
      </c>
    </row>
    <row r="138" spans="1:6">
      <c r="A138" s="626" t="s">
        <v>894</v>
      </c>
      <c r="B138" s="191"/>
      <c r="C138" s="627"/>
      <c r="D138" s="191"/>
      <c r="E138" s="191"/>
      <c r="F138" s="191"/>
    </row>
    <row r="139" spans="1:6">
      <c r="A139" s="626" t="s">
        <v>478</v>
      </c>
      <c r="B139" s="191"/>
      <c r="C139" s="627"/>
      <c r="D139" s="191"/>
      <c r="E139" s="191"/>
      <c r="F139" s="191"/>
    </row>
    <row r="140" spans="1:6">
      <c r="A140" s="626" t="s">
        <v>890</v>
      </c>
      <c r="B140" s="191"/>
      <c r="C140" s="627"/>
      <c r="D140" s="191"/>
      <c r="E140" s="191"/>
      <c r="F140" s="191">
        <f>'SL 1'!I25</f>
        <v>12.1</v>
      </c>
    </row>
    <row r="141" spans="1:6">
      <c r="A141" s="626" t="s">
        <v>891</v>
      </c>
      <c r="B141" s="191"/>
      <c r="C141" s="627"/>
      <c r="D141" s="191"/>
      <c r="E141" s="191"/>
      <c r="F141" s="191">
        <f>'SL 1'!I26</f>
        <v>12.95</v>
      </c>
    </row>
    <row r="142" spans="1:6">
      <c r="A142" s="626" t="s">
        <v>892</v>
      </c>
      <c r="B142" s="191"/>
      <c r="C142" s="627"/>
      <c r="D142" s="191"/>
      <c r="E142" s="191"/>
      <c r="F142" s="191">
        <f>'SL 1'!I27</f>
        <v>14.55</v>
      </c>
    </row>
    <row r="143" spans="1:6">
      <c r="A143" s="626" t="s">
        <v>893</v>
      </c>
      <c r="B143" s="191"/>
      <c r="C143" s="627"/>
      <c r="D143" s="191"/>
      <c r="E143" s="191"/>
      <c r="F143" s="191">
        <f>'SL 1'!I28</f>
        <v>18.649999999999999</v>
      </c>
    </row>
    <row r="145" spans="1:6">
      <c r="A145" s="626" t="s">
        <v>529</v>
      </c>
      <c r="B145" s="191"/>
      <c r="C145" s="627"/>
      <c r="D145" s="191"/>
      <c r="E145" s="191"/>
      <c r="F145" s="191"/>
    </row>
    <row r="146" spans="1:6">
      <c r="A146" s="626" t="s">
        <v>478</v>
      </c>
      <c r="B146" s="191"/>
      <c r="C146" s="627"/>
      <c r="D146" s="191"/>
      <c r="E146" s="191"/>
      <c r="F146" s="191"/>
    </row>
    <row r="147" spans="1:6">
      <c r="A147" s="629" t="s">
        <v>890</v>
      </c>
      <c r="B147" s="191"/>
      <c r="C147" s="627"/>
      <c r="D147" s="191"/>
      <c r="E147" s="191"/>
      <c r="F147" s="191">
        <f>'SL 1'!I36</f>
        <v>26.75</v>
      </c>
    </row>
    <row r="148" spans="1:6">
      <c r="A148" s="629" t="s">
        <v>891</v>
      </c>
      <c r="B148" s="191"/>
      <c r="C148" s="627"/>
      <c r="D148" s="191"/>
      <c r="E148" s="191"/>
      <c r="F148" s="191">
        <f>'SL 1'!I37</f>
        <v>27.65</v>
      </c>
    </row>
    <row r="149" spans="1:6">
      <c r="A149" s="629" t="s">
        <v>892</v>
      </c>
      <c r="B149" s="191"/>
      <c r="C149" s="627"/>
      <c r="D149" s="191"/>
      <c r="E149" s="191"/>
      <c r="F149" s="191">
        <f>'SL 1'!I38</f>
        <v>29.3</v>
      </c>
    </row>
    <row r="150" spans="1:6">
      <c r="A150" s="629" t="s">
        <v>893</v>
      </c>
      <c r="B150" s="191"/>
      <c r="C150" s="627"/>
      <c r="D150" s="191"/>
      <c r="E150" s="191"/>
      <c r="F150" s="191">
        <f>'SL 1'!I39</f>
        <v>30.4</v>
      </c>
    </row>
    <row r="154" spans="1:6" ht="18.75">
      <c r="A154" s="685"/>
    </row>
    <row r="156" spans="1:6">
      <c r="A156" s="101" t="s">
        <v>995</v>
      </c>
    </row>
    <row r="157" spans="1:6">
      <c r="A157" s="643" t="s">
        <v>967</v>
      </c>
      <c r="F157" s="630">
        <f>'OL 1'!U34</f>
        <v>6.6574205112895193</v>
      </c>
    </row>
    <row r="158" spans="1:6">
      <c r="A158" s="643" t="s">
        <v>968</v>
      </c>
      <c r="F158" s="630">
        <f>'OL 1'!U35</f>
        <v>6.6574205112895193</v>
      </c>
    </row>
    <row r="159" spans="1:6">
      <c r="A159" s="643" t="s">
        <v>969</v>
      </c>
      <c r="F159" s="630">
        <f>'OL 1'!U36</f>
        <v>9.2603814577541232</v>
      </c>
    </row>
    <row r="160" spans="1:6">
      <c r="A160" s="643" t="s">
        <v>970</v>
      </c>
      <c r="F160" s="630">
        <f>'OL 1'!U37</f>
        <v>9.2603814577541232</v>
      </c>
    </row>
    <row r="161" spans="1:6">
      <c r="A161" s="643" t="s">
        <v>971</v>
      </c>
      <c r="F161" s="630">
        <f>'OL 1'!U38</f>
        <v>11.738464630318127</v>
      </c>
    </row>
    <row r="162" spans="1:6">
      <c r="A162" s="643" t="s">
        <v>972</v>
      </c>
      <c r="F162" s="630">
        <f>'OL 1'!U39</f>
        <v>11.738464630318127</v>
      </c>
    </row>
    <row r="163" spans="1:6">
      <c r="A163" s="643" t="s">
        <v>973</v>
      </c>
      <c r="F163" s="630">
        <f>'OL 1'!U40</f>
        <v>18.133404849663002</v>
      </c>
    </row>
    <row r="164" spans="1:6">
      <c r="A164" s="643" t="s">
        <v>974</v>
      </c>
      <c r="F164" s="630">
        <f>'OL 1'!U41</f>
        <v>18.133404849663002</v>
      </c>
    </row>
    <row r="165" spans="1:6">
      <c r="A165" s="643" t="s">
        <v>975</v>
      </c>
      <c r="F165" s="630">
        <f>'OL 1'!U42</f>
        <v>19.090279752589272</v>
      </c>
    </row>
    <row r="166" spans="1:6">
      <c r="A166" s="643" t="s">
        <v>976</v>
      </c>
      <c r="F166" s="630">
        <f>'OL 1'!U43</f>
        <v>24.866484308533572</v>
      </c>
    </row>
    <row r="167" spans="1:6">
      <c r="A167" s="643" t="s">
        <v>977</v>
      </c>
      <c r="F167" s="630">
        <f>'OL 1'!U44</f>
        <v>24.866484308533572</v>
      </c>
    </row>
    <row r="168" spans="1:6">
      <c r="A168" s="643" t="s">
        <v>978</v>
      </c>
      <c r="F168" s="630">
        <f>'OL 1'!U45</f>
        <v>30.576863170017003</v>
      </c>
    </row>
    <row r="169" spans="1:6">
      <c r="A169" s="643" t="s">
        <v>979</v>
      </c>
      <c r="F169" s="630">
        <f>'OL 1'!U46</f>
        <v>30.576863170017003</v>
      </c>
    </row>
    <row r="171" spans="1:6">
      <c r="A171" s="643" t="s">
        <v>996</v>
      </c>
    </row>
    <row r="172" spans="1:6">
      <c r="A172" s="625" t="s">
        <v>817</v>
      </c>
      <c r="C172" s="637">
        <f>'RS-D'!B20</f>
        <v>0.14374000000000001</v>
      </c>
      <c r="D172" s="637"/>
    </row>
    <row r="173" spans="1:6">
      <c r="A173" s="625" t="s">
        <v>818</v>
      </c>
      <c r="C173" s="637">
        <f>'RS-D'!B21</f>
        <v>8.251E-2</v>
      </c>
      <c r="D173" s="637"/>
    </row>
    <row r="174" spans="1:6">
      <c r="A174" s="625" t="s">
        <v>808</v>
      </c>
      <c r="D174" s="630">
        <f>'RS-D'!B22</f>
        <v>4.18</v>
      </c>
      <c r="E174" s="637"/>
    </row>
    <row r="175" spans="1:6">
      <c r="A175" s="625" t="s">
        <v>13</v>
      </c>
      <c r="B175" s="630">
        <f>'RS-D'!B23</f>
        <v>21</v>
      </c>
    </row>
    <row r="177" spans="1:4">
      <c r="A177" s="625" t="s">
        <v>997</v>
      </c>
    </row>
    <row r="178" spans="1:4">
      <c r="A178" s="6" t="s">
        <v>139</v>
      </c>
      <c r="B178" s="637">
        <f>'RS TOD2'!G65</f>
        <v>21</v>
      </c>
    </row>
    <row r="179" spans="1:4">
      <c r="A179" s="6" t="s">
        <v>129</v>
      </c>
      <c r="C179" s="637">
        <f>'RS TOD2'!G67</f>
        <v>0.19580400000000001</v>
      </c>
    </row>
    <row r="180" spans="1:4">
      <c r="A180" s="6" t="s">
        <v>135</v>
      </c>
      <c r="C180" s="637">
        <f>'RS TOD2'!G68</f>
        <v>0.17083400000000001</v>
      </c>
    </row>
    <row r="181" spans="1:4">
      <c r="A181" s="6" t="s">
        <v>131</v>
      </c>
      <c r="C181" s="637">
        <f>'RS TOD2'!G69</f>
        <v>9.8164000000000001E-2</v>
      </c>
    </row>
    <row r="184" spans="1:4">
      <c r="A184" s="625" t="s">
        <v>998</v>
      </c>
    </row>
    <row r="185" spans="1:4">
      <c r="A185" s="625" t="s">
        <v>1000</v>
      </c>
      <c r="D185" s="686">
        <f>'AFS Rate'!F23</f>
        <v>6.5653404563775082</v>
      </c>
    </row>
    <row r="186" spans="1:4">
      <c r="A186" s="625" t="s">
        <v>999</v>
      </c>
      <c r="B186" s="630">
        <f>'AFS Rate'!F36</f>
        <v>15.75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50"/>
  <sheetViews>
    <sheetView showOutlineSymbols="0" topLeftCell="A31" zoomScale="130" zoomScaleNormal="130" workbookViewId="0">
      <selection activeCell="A45" sqref="A45"/>
    </sheetView>
  </sheetViews>
  <sheetFormatPr defaultColWidth="9.75" defaultRowHeight="15"/>
  <cols>
    <col min="1" max="1" width="36.875" style="641" customWidth="1"/>
    <col min="2" max="2" width="15.625" style="641" customWidth="1"/>
    <col min="3" max="3" width="11.75" style="641" customWidth="1"/>
    <col min="4" max="4" width="11.375" style="641" bestFit="1" customWidth="1"/>
    <col min="5" max="6" width="12.625" style="641" customWidth="1"/>
    <col min="7" max="7" width="10" style="641" bestFit="1" customWidth="1"/>
    <col min="8" max="16384" width="9.75" style="641"/>
  </cols>
  <sheetData>
    <row r="1" spans="1:7">
      <c r="A1" s="421" t="s">
        <v>407</v>
      </c>
      <c r="B1" s="421"/>
      <c r="C1" s="421"/>
      <c r="D1" s="421"/>
      <c r="E1" s="421"/>
      <c r="F1" s="421"/>
    </row>
    <row r="2" spans="1:7">
      <c r="A2" s="421" t="s">
        <v>406</v>
      </c>
      <c r="B2" s="421"/>
      <c r="C2" s="421"/>
      <c r="D2" s="421"/>
      <c r="E2" s="421"/>
      <c r="F2" s="421"/>
    </row>
    <row r="3" spans="1:7">
      <c r="A3" s="421" t="s">
        <v>936</v>
      </c>
      <c r="B3" s="421"/>
      <c r="C3" s="421"/>
      <c r="D3" s="421"/>
      <c r="E3" s="421"/>
      <c r="F3" s="421"/>
    </row>
    <row r="7" spans="1:7">
      <c r="A7" s="340" t="s">
        <v>414</v>
      </c>
      <c r="E7" s="127" t="s">
        <v>388</v>
      </c>
      <c r="F7" s="127"/>
    </row>
    <row r="8" spans="1:7">
      <c r="B8" s="127" t="s">
        <v>242</v>
      </c>
      <c r="C8" s="127" t="s">
        <v>241</v>
      </c>
      <c r="D8" s="127" t="s">
        <v>266</v>
      </c>
      <c r="E8" s="127" t="s">
        <v>303</v>
      </c>
      <c r="F8" s="127" t="s">
        <v>116</v>
      </c>
    </row>
    <row r="10" spans="1:7">
      <c r="A10" s="643" t="s">
        <v>928</v>
      </c>
      <c r="B10" s="645">
        <v>2249693.3414413305</v>
      </c>
      <c r="C10" s="645">
        <v>32098</v>
      </c>
      <c r="D10" s="359">
        <v>4567</v>
      </c>
      <c r="E10" s="645"/>
      <c r="F10" s="645"/>
    </row>
    <row r="11" spans="1:7">
      <c r="A11" s="643" t="s">
        <v>404</v>
      </c>
      <c r="B11" s="645">
        <f>C48+F49+C50</f>
        <v>1442682.3642880798</v>
      </c>
      <c r="C11" s="645">
        <f>LGS!D189</f>
        <v>264980.05033557047</v>
      </c>
      <c r="D11" s="645">
        <f>LGS!D197</f>
        <v>38060.254777070062</v>
      </c>
      <c r="E11" s="645">
        <f>LGS!D205</f>
        <v>1169.4545454545455</v>
      </c>
      <c r="F11" s="645"/>
    </row>
    <row r="12" spans="1:7">
      <c r="A12" s="643" t="s">
        <v>742</v>
      </c>
      <c r="B12" s="2">
        <f>IGS!D239+IGS!D241</f>
        <v>46538.644067796609</v>
      </c>
      <c r="C12" s="2">
        <f>IGS!D249+IGS!D251</f>
        <v>751409.00064599561</v>
      </c>
      <c r="D12" s="2">
        <f>IGS!D260+IGS!D262</f>
        <v>2254082.6898595877</v>
      </c>
      <c r="E12" s="2">
        <f>IGS!D271+IGS!D273</f>
        <v>481342.61051293556</v>
      </c>
      <c r="F12" s="145"/>
    </row>
    <row r="13" spans="1:7">
      <c r="A13" s="126" t="s">
        <v>54</v>
      </c>
      <c r="B13" s="366">
        <f>SUM(B10:B12)</f>
        <v>3738914.3497972065</v>
      </c>
      <c r="C13" s="366">
        <f>SUM(C10:C12)</f>
        <v>1048487.0509815661</v>
      </c>
      <c r="D13" s="366">
        <f>SUM(D10:D12)</f>
        <v>2296709.9446366578</v>
      </c>
      <c r="E13" s="366">
        <f>SUM(E10:E12)</f>
        <v>482512.06505839009</v>
      </c>
      <c r="F13" s="75"/>
      <c r="G13" s="161"/>
    </row>
    <row r="15" spans="1:7">
      <c r="A15" s="643" t="s">
        <v>403</v>
      </c>
      <c r="B15" s="765">
        <v>1</v>
      </c>
      <c r="C15" s="765">
        <v>0.99000312994982598</v>
      </c>
      <c r="D15" s="765">
        <v>0.98334487304733798</v>
      </c>
      <c r="E15" s="765">
        <v>0.97327212542562558</v>
      </c>
      <c r="F15" s="150"/>
    </row>
    <row r="17" spans="1:6">
      <c r="A17" s="643" t="s">
        <v>413</v>
      </c>
      <c r="B17" s="645">
        <f>ROUND((B13*B15),0)</f>
        <v>3738914</v>
      </c>
      <c r="C17" s="645">
        <f>ROUND((C13*C15),0)</f>
        <v>1038005</v>
      </c>
      <c r="D17" s="645">
        <f>ROUND((D13*D15),0)</f>
        <v>2258458</v>
      </c>
      <c r="E17" s="645">
        <f>ROUND((E13*E15),0)</f>
        <v>469616</v>
      </c>
      <c r="F17" s="645"/>
    </row>
    <row r="18" spans="1:6">
      <c r="B18" s="755">
        <v>0.77359999999999995</v>
      </c>
      <c r="C18" s="661">
        <f>B18</f>
        <v>0.77359999999999995</v>
      </c>
    </row>
    <row r="19" spans="1:6">
      <c r="A19" s="643" t="s">
        <v>412</v>
      </c>
      <c r="B19" s="645">
        <f>ROUND(B18*B17,0)</f>
        <v>2892424</v>
      </c>
      <c r="C19" s="645">
        <f>ROUND(C18*C17,0)</f>
        <v>803001</v>
      </c>
      <c r="D19" s="645">
        <f>D17</f>
        <v>2258458</v>
      </c>
    </row>
    <row r="22" spans="1:6">
      <c r="A22" s="643" t="s">
        <v>400</v>
      </c>
      <c r="B22" s="645">
        <f>'EX AEV-1'!E11+'EX AEV-1'!I11+'EX AEV-1'!N11+'EX AEV-1'!S11</f>
        <v>10287419.97524965</v>
      </c>
      <c r="C22" s="645">
        <f>'EX AEV-1'!E10+'EX AEV-1'!F10+'EX AEV-1'!I10+'EX AEV-1'!J10+'EX AEV-1'!N10+'EX AEV-1'!O10+'EX AEV-1'!S10+'EX AEV-1'!T10</f>
        <v>31678788.297495428</v>
      </c>
      <c r="D22" s="645">
        <v>0</v>
      </c>
      <c r="E22" s="645">
        <v>0</v>
      </c>
      <c r="F22" s="645">
        <f>'EX AEV-1'!H21+'EX AEV-1'!M21+'EX AEV-1'!R21+'EX AEV-1'!U21</f>
        <v>138858671.16239047</v>
      </c>
    </row>
    <row r="24" spans="1:6">
      <c r="A24" s="643" t="s">
        <v>411</v>
      </c>
      <c r="B24" s="645">
        <f>+B17</f>
        <v>3738914</v>
      </c>
      <c r="C24" s="645">
        <f>B24+C17</f>
        <v>4776919</v>
      </c>
      <c r="D24" s="645">
        <f>SUM(B19:D19)</f>
        <v>5953883</v>
      </c>
      <c r="E24" s="645">
        <f>SUM(B17:E17)</f>
        <v>7504993</v>
      </c>
      <c r="F24" s="645">
        <f>E24</f>
        <v>7504993</v>
      </c>
    </row>
    <row r="26" spans="1:6">
      <c r="A26" s="643" t="s">
        <v>398</v>
      </c>
      <c r="B26" s="422">
        <f>ROUND((B22/B24),2)</f>
        <v>2.75</v>
      </c>
      <c r="C26" s="641">
        <f>ROUND((C22/C24),2)</f>
        <v>6.63</v>
      </c>
      <c r="D26" s="422">
        <f>ROUND((D22/D24),2)</f>
        <v>0</v>
      </c>
      <c r="E26" s="646">
        <f>ROUND((E22/E24),2)</f>
        <v>0</v>
      </c>
      <c r="F26" s="646">
        <f>ROUND((F22/F24),2)</f>
        <v>18.5</v>
      </c>
    </row>
    <row r="27" spans="1:6">
      <c r="A27" s="643"/>
      <c r="E27" s="646"/>
      <c r="F27" s="646"/>
    </row>
    <row r="28" spans="1:6">
      <c r="A28" s="643"/>
      <c r="B28" s="641" t="s">
        <v>72</v>
      </c>
      <c r="C28" s="641" t="s">
        <v>72</v>
      </c>
      <c r="D28" s="641" t="s">
        <v>72</v>
      </c>
      <c r="E28" s="646"/>
      <c r="F28" s="646"/>
    </row>
    <row r="29" spans="1:6">
      <c r="A29" s="643"/>
      <c r="E29" s="646"/>
      <c r="F29" s="646"/>
    </row>
    <row r="30" spans="1:6">
      <c r="A30" s="340" t="s">
        <v>410</v>
      </c>
      <c r="F30" s="646"/>
    </row>
    <row r="31" spans="1:6">
      <c r="B31" s="127" t="s">
        <v>242</v>
      </c>
      <c r="C31" s="127" t="s">
        <v>241</v>
      </c>
      <c r="D31" s="127" t="s">
        <v>266</v>
      </c>
      <c r="E31" s="127" t="s">
        <v>9</v>
      </c>
      <c r="F31" s="646"/>
    </row>
    <row r="32" spans="1:6" ht="15.75">
      <c r="A32" s="643" t="s">
        <v>241</v>
      </c>
      <c r="B32" s="94">
        <f>+B26</f>
        <v>2.75</v>
      </c>
      <c r="C32" s="646"/>
      <c r="D32" s="646"/>
      <c r="E32" s="423">
        <f>SUM(B32:D32)</f>
        <v>2.75</v>
      </c>
      <c r="F32" s="646">
        <f>-E32</f>
        <v>-2.75</v>
      </c>
    </row>
    <row r="33" spans="1:7" ht="15.75">
      <c r="A33" s="643" t="s">
        <v>240</v>
      </c>
      <c r="B33" s="94">
        <f>+B32</f>
        <v>2.75</v>
      </c>
      <c r="C33" s="94">
        <f>+C26</f>
        <v>6.63</v>
      </c>
      <c r="D33" s="646"/>
      <c r="E33" s="423">
        <f>SUM(B33:D33)</f>
        <v>9.379999999999999</v>
      </c>
      <c r="F33" s="646">
        <f>-E33</f>
        <v>-9.379999999999999</v>
      </c>
    </row>
    <row r="34" spans="1:7" ht="15.75">
      <c r="A34" s="643" t="s">
        <v>333</v>
      </c>
      <c r="B34" s="94">
        <f>+B32</f>
        <v>2.75</v>
      </c>
      <c r="C34" s="94">
        <f>+C33</f>
        <v>6.63</v>
      </c>
      <c r="D34" s="94">
        <f>+D26</f>
        <v>0</v>
      </c>
      <c r="E34" s="423">
        <f>SUM(B34:D34)</f>
        <v>9.379999999999999</v>
      </c>
      <c r="F34" s="646">
        <f>-E34</f>
        <v>-9.379999999999999</v>
      </c>
    </row>
    <row r="37" spans="1:7">
      <c r="A37" s="340"/>
    </row>
    <row r="38" spans="1:7">
      <c r="B38" s="127"/>
      <c r="C38" s="127"/>
      <c r="D38" s="127"/>
      <c r="E38" s="127"/>
    </row>
    <row r="39" spans="1:7">
      <c r="A39" s="340" t="s">
        <v>409</v>
      </c>
      <c r="B39" s="421" t="s">
        <v>408</v>
      </c>
      <c r="C39" s="421"/>
      <c r="E39" s="798" t="s">
        <v>131</v>
      </c>
      <c r="F39" s="798"/>
    </row>
    <row r="40" spans="1:7">
      <c r="B40" s="424" t="s">
        <v>395</v>
      </c>
      <c r="C40" s="424" t="s">
        <v>147</v>
      </c>
      <c r="E40" s="424" t="s">
        <v>395</v>
      </c>
      <c r="F40" s="424" t="s">
        <v>147</v>
      </c>
    </row>
    <row r="41" spans="1:7">
      <c r="B41" s="127" t="s">
        <v>44</v>
      </c>
      <c r="C41" s="127" t="s">
        <v>6</v>
      </c>
      <c r="E41" s="127" t="s">
        <v>44</v>
      </c>
      <c r="F41" s="127" t="s">
        <v>6</v>
      </c>
    </row>
    <row r="42" spans="1:7">
      <c r="B42" s="645"/>
      <c r="C42" s="645"/>
      <c r="E42" s="645"/>
      <c r="F42" s="645"/>
    </row>
    <row r="43" spans="1:7" ht="20.25">
      <c r="A43" s="643" t="s">
        <v>931</v>
      </c>
      <c r="B43" s="645">
        <f>GS!D34</f>
        <v>560314303.44697797</v>
      </c>
      <c r="C43" s="645">
        <v>2249693.3414413305</v>
      </c>
      <c r="E43" s="645"/>
      <c r="F43" s="645"/>
      <c r="G43" s="662"/>
    </row>
    <row r="44" spans="1:7">
      <c r="A44" s="643" t="s">
        <v>934</v>
      </c>
      <c r="B44" s="645"/>
      <c r="C44" s="645"/>
      <c r="E44" s="645">
        <f>'GS AF NM TODs'!C144+'GS AF NM TODs'!C145</f>
        <v>4013592.9249714892</v>
      </c>
      <c r="F44" s="645"/>
    </row>
    <row r="45" spans="1:7">
      <c r="A45" s="643" t="s">
        <v>932</v>
      </c>
      <c r="B45" s="645"/>
      <c r="C45" s="645"/>
      <c r="E45" s="645">
        <f>GS!F39+GS!F40</f>
        <v>1115842.6090179225</v>
      </c>
      <c r="F45" s="645"/>
    </row>
    <row r="46" spans="1:7">
      <c r="A46" s="643" t="s">
        <v>933</v>
      </c>
      <c r="B46" s="645"/>
      <c r="C46" s="645"/>
      <c r="E46" s="645">
        <f>GS!D46</f>
        <v>1280317.4925962489</v>
      </c>
      <c r="F46" s="645"/>
    </row>
    <row r="48" spans="1:7">
      <c r="A48" s="643" t="s">
        <v>393</v>
      </c>
      <c r="B48" s="645">
        <f>LGS!D57</f>
        <v>468360441.54688603</v>
      </c>
      <c r="C48" s="645">
        <f>LGS!D55</f>
        <v>1420318.4947228625</v>
      </c>
      <c r="E48" s="645"/>
      <c r="F48" s="645"/>
    </row>
    <row r="49" spans="1:6">
      <c r="A49" s="643" t="s">
        <v>288</v>
      </c>
      <c r="B49" s="645"/>
      <c r="C49" s="645"/>
      <c r="E49" s="645">
        <f>LGS!D271+LGS!D272</f>
        <v>1805544</v>
      </c>
      <c r="F49" s="645">
        <f>ROUND(((E49/B48)*C48),0)</f>
        <v>5475</v>
      </c>
    </row>
    <row r="50" spans="1:6">
      <c r="A50" s="641" t="s">
        <v>833</v>
      </c>
      <c r="B50" s="161">
        <f>LGS!D276+LGS!D277+LGS!D285+LGS!D286</f>
        <v>8448201.9130434785</v>
      </c>
      <c r="C50" s="645">
        <f>LGS!D278+LGS!D287</f>
        <v>16888.869565217392</v>
      </c>
    </row>
  </sheetData>
  <mergeCells count="1">
    <mergeCell ref="E39:F39"/>
  </mergeCells>
  <printOptions horizontalCentered="1"/>
  <pageMargins left="0.5" right="0.5" top="0.5" bottom="0.5" header="0.5" footer="0.5"/>
  <pageSetup orientation="portrait" r:id="rId1"/>
  <headerFooter alignWithMargins="0">
    <oddHeader xml:space="preserve">&amp;L&amp;F
&amp;A&amp;C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53"/>
  <sheetViews>
    <sheetView showOutlineSymbols="0" zoomScale="87" zoomScaleNormal="87" workbookViewId="0">
      <selection activeCell="B3" sqref="B3"/>
    </sheetView>
  </sheetViews>
  <sheetFormatPr defaultColWidth="9.75" defaultRowHeight="15"/>
  <cols>
    <col min="1" max="1" width="26" style="56" customWidth="1"/>
    <col min="2" max="2" width="15.625" style="56" customWidth="1"/>
    <col min="3" max="3" width="15" style="56" customWidth="1"/>
    <col min="4" max="4" width="14.375" style="56" bestFit="1" customWidth="1"/>
    <col min="5" max="5" width="15.375" style="56" customWidth="1"/>
    <col min="6" max="6" width="15.875" style="56" customWidth="1"/>
    <col min="7" max="16384" width="9.75" style="56"/>
  </cols>
  <sheetData>
    <row r="1" spans="1:7">
      <c r="A1" s="421" t="s">
        <v>407</v>
      </c>
      <c r="B1" s="421"/>
      <c r="C1" s="421"/>
      <c r="D1" s="421"/>
      <c r="E1" s="421"/>
      <c r="F1" s="421"/>
      <c r="G1" s="641"/>
    </row>
    <row r="2" spans="1:7">
      <c r="A2" s="421" t="s">
        <v>406</v>
      </c>
      <c r="B2" s="421"/>
      <c r="C2" s="421"/>
      <c r="D2" s="421"/>
      <c r="E2" s="421"/>
      <c r="F2" s="421"/>
      <c r="G2" s="641"/>
    </row>
    <row r="3" spans="1:7">
      <c r="A3" s="421" t="str">
        <f>'Demand Basis'!A3</f>
        <v>Twelve Months Ended March 31, 2020</v>
      </c>
      <c r="B3" s="421"/>
      <c r="C3" s="421"/>
      <c r="D3" s="421"/>
      <c r="E3" s="421"/>
      <c r="F3" s="421"/>
      <c r="G3" s="641"/>
    </row>
    <row r="4" spans="1:7">
      <c r="A4" s="641"/>
      <c r="B4" s="641"/>
      <c r="C4" s="641"/>
      <c r="D4" s="641"/>
      <c r="E4" s="641"/>
      <c r="F4" s="641"/>
      <c r="G4" s="641"/>
    </row>
    <row r="5" spans="1:7">
      <c r="A5" s="641"/>
      <c r="B5" s="641"/>
      <c r="C5" s="641"/>
      <c r="D5" s="641"/>
      <c r="E5" s="641"/>
      <c r="F5" s="641"/>
      <c r="G5" s="641"/>
    </row>
    <row r="6" spans="1:7">
      <c r="A6" s="641"/>
      <c r="B6" s="641"/>
      <c r="C6" s="641"/>
      <c r="D6" s="641"/>
      <c r="E6" s="641"/>
      <c r="F6" s="641"/>
      <c r="G6" s="641"/>
    </row>
    <row r="7" spans="1:7">
      <c r="A7" s="340" t="s">
        <v>405</v>
      </c>
      <c r="B7" s="641"/>
      <c r="C7" s="641"/>
      <c r="D7" s="641"/>
      <c r="E7" s="127" t="s">
        <v>388</v>
      </c>
      <c r="F7" s="127"/>
      <c r="G7" s="641"/>
    </row>
    <row r="8" spans="1:7">
      <c r="A8" s="641"/>
      <c r="B8" s="127" t="s">
        <v>242</v>
      </c>
      <c r="C8" s="127" t="s">
        <v>241</v>
      </c>
      <c r="D8" s="127" t="s">
        <v>266</v>
      </c>
      <c r="E8" s="127" t="s">
        <v>303</v>
      </c>
      <c r="F8" s="127" t="s">
        <v>116</v>
      </c>
      <c r="G8" s="641"/>
    </row>
    <row r="9" spans="1:7">
      <c r="A9" s="641"/>
      <c r="B9" s="641"/>
      <c r="C9" s="641"/>
      <c r="D9" s="641"/>
      <c r="E9" s="641"/>
      <c r="F9" s="641"/>
      <c r="G9" s="641"/>
    </row>
    <row r="10" spans="1:7">
      <c r="A10" s="643" t="s">
        <v>928</v>
      </c>
      <c r="B10" s="645">
        <f>B47</f>
        <v>566724056.47356367</v>
      </c>
      <c r="C10" s="645">
        <f>GS!F34</f>
        <v>8116417.3550206712</v>
      </c>
      <c r="D10" s="645">
        <f>GS!H34</f>
        <v>1143866.6666666667</v>
      </c>
      <c r="E10" s="645"/>
      <c r="F10" s="645"/>
      <c r="G10" s="641"/>
    </row>
    <row r="11" spans="1:7">
      <c r="A11" s="643" t="s">
        <v>404</v>
      </c>
      <c r="B11" s="645">
        <f>B53</f>
        <v>478614187.45992953</v>
      </c>
      <c r="C11" s="645">
        <f>LGS!F57</f>
        <v>66147609.408416338</v>
      </c>
      <c r="D11" s="645">
        <f>LGS!H57</f>
        <v>13838703.611464968</v>
      </c>
      <c r="E11" s="645">
        <f>LGS!J57</f>
        <v>527074.54545454541</v>
      </c>
      <c r="F11" s="645"/>
      <c r="G11" s="641"/>
    </row>
    <row r="12" spans="1:7">
      <c r="A12" s="643" t="s">
        <v>742</v>
      </c>
      <c r="B12" s="2">
        <f>IGS!D21</f>
        <v>19524195.254237287</v>
      </c>
      <c r="C12" s="2">
        <f>IGS!F21</f>
        <v>313016880.23636365</v>
      </c>
      <c r="D12" s="2">
        <f>IGS!H21</f>
        <v>1357576815.5426357</v>
      </c>
      <c r="E12" s="2">
        <f>IGS!J21</f>
        <v>257519888.8888889</v>
      </c>
      <c r="F12" s="145"/>
      <c r="G12" s="641"/>
    </row>
    <row r="13" spans="1:7">
      <c r="A13" s="126" t="s">
        <v>54</v>
      </c>
      <c r="B13" s="366">
        <f>SUM(B10:B12)</f>
        <v>1064862439.1877304</v>
      </c>
      <c r="C13" s="366">
        <f>SUM(C10:C12)</f>
        <v>387280906.99980068</v>
      </c>
      <c r="D13" s="366">
        <f>SUM(D10:D12)</f>
        <v>1372559385.8207674</v>
      </c>
      <c r="E13" s="366">
        <f>SUM(E10:E12)</f>
        <v>258046963.43434343</v>
      </c>
      <c r="F13" s="75"/>
      <c r="G13" s="641"/>
    </row>
    <row r="14" spans="1:7">
      <c r="A14" s="641"/>
      <c r="B14" s="641"/>
      <c r="C14" s="641"/>
      <c r="D14" s="641"/>
      <c r="E14" s="641"/>
      <c r="F14" s="641"/>
      <c r="G14" s="641"/>
    </row>
    <row r="15" spans="1:7">
      <c r="A15" s="643" t="s">
        <v>403</v>
      </c>
      <c r="B15" s="93">
        <v>1</v>
      </c>
      <c r="C15" s="93">
        <v>0.98647425822736579</v>
      </c>
      <c r="D15" s="93">
        <v>0.97817783492879939</v>
      </c>
      <c r="E15" s="93">
        <v>0.97002428918416927</v>
      </c>
      <c r="F15" s="150"/>
      <c r="G15" s="641"/>
    </row>
    <row r="16" spans="1:7">
      <c r="A16" s="641"/>
      <c r="B16" s="641"/>
      <c r="C16" s="641"/>
      <c r="D16" s="641"/>
      <c r="E16" s="641"/>
      <c r="F16" s="641"/>
      <c r="G16" s="641"/>
    </row>
    <row r="17" spans="1:7">
      <c r="A17" s="643" t="s">
        <v>402</v>
      </c>
      <c r="B17" s="645">
        <f>ROUND((B13*B15),0)</f>
        <v>1064862439</v>
      </c>
      <c r="C17" s="645">
        <f>ROUND((C13*C15),0)</f>
        <v>382042645</v>
      </c>
      <c r="D17" s="645">
        <f>ROUND((D13*D15),0)</f>
        <v>1342607168</v>
      </c>
      <c r="E17" s="645">
        <f>ROUND((E13*E15),0)</f>
        <v>250311822</v>
      </c>
      <c r="F17" s="645"/>
      <c r="G17" s="641"/>
    </row>
    <row r="18" spans="1:7">
      <c r="A18" s="641"/>
      <c r="B18" s="125">
        <f>'Demand Basis'!B18</f>
        <v>0.77359999999999995</v>
      </c>
      <c r="C18" s="125">
        <f>B18</f>
        <v>0.77359999999999995</v>
      </c>
      <c r="D18" s="641"/>
      <c r="E18" s="641"/>
      <c r="F18" s="641"/>
      <c r="G18" s="641"/>
    </row>
    <row r="19" spans="1:7">
      <c r="A19" s="643" t="s">
        <v>401</v>
      </c>
      <c r="B19" s="645">
        <f>ROUND(B18*B17,0)</f>
        <v>823777583</v>
      </c>
      <c r="C19" s="645">
        <f>ROUND(C18*C17,0)</f>
        <v>295548190</v>
      </c>
      <c r="D19" s="645">
        <f>D17</f>
        <v>1342607168</v>
      </c>
      <c r="E19" s="641"/>
      <c r="F19" s="641"/>
      <c r="G19" s="641"/>
    </row>
    <row r="20" spans="1:7">
      <c r="A20" s="641"/>
      <c r="B20" s="641"/>
      <c r="C20" s="641"/>
      <c r="D20" s="641"/>
      <c r="E20" s="641"/>
      <c r="F20" s="641"/>
      <c r="G20" s="641"/>
    </row>
    <row r="21" spans="1:7">
      <c r="A21" s="641"/>
      <c r="B21" s="641"/>
      <c r="C21" s="641"/>
      <c r="D21" s="641"/>
      <c r="E21" s="641"/>
      <c r="F21" s="641"/>
      <c r="G21" s="641"/>
    </row>
    <row r="22" spans="1:7">
      <c r="A22" s="643" t="s">
        <v>400</v>
      </c>
      <c r="B22" s="645">
        <f>'Demand Basis'!B22</f>
        <v>10287419.97524965</v>
      </c>
      <c r="C22" s="645">
        <f>'Demand Basis'!C22</f>
        <v>31678788.297495428</v>
      </c>
      <c r="D22" s="645">
        <f>'Demand Basis'!D22</f>
        <v>0</v>
      </c>
      <c r="E22" s="645">
        <f>'Demand Basis'!E22</f>
        <v>0</v>
      </c>
      <c r="F22" s="645">
        <f>'Demand Basis'!F22</f>
        <v>138858671.16239047</v>
      </c>
      <c r="G22" s="641"/>
    </row>
    <row r="23" spans="1:7">
      <c r="A23" s="641"/>
      <c r="B23" s="641"/>
      <c r="C23" s="641"/>
      <c r="D23" s="641"/>
      <c r="E23" s="641"/>
      <c r="F23" s="641"/>
      <c r="G23" s="641"/>
    </row>
    <row r="24" spans="1:7">
      <c r="A24" s="643" t="s">
        <v>399</v>
      </c>
      <c r="B24" s="645">
        <f>+B17</f>
        <v>1064862439</v>
      </c>
      <c r="C24" s="645">
        <f>B24+C17</f>
        <v>1446905084</v>
      </c>
      <c r="D24" s="645">
        <f>SUM(B19:D19)</f>
        <v>2461932941</v>
      </c>
      <c r="E24" s="645">
        <f>SUM(B17:E17)</f>
        <v>3039824074</v>
      </c>
      <c r="F24" s="645">
        <f>E24</f>
        <v>3039824074</v>
      </c>
      <c r="G24" s="641"/>
    </row>
    <row r="25" spans="1:7">
      <c r="A25" s="641"/>
      <c r="B25" s="641"/>
      <c r="C25" s="641"/>
      <c r="D25" s="641"/>
      <c r="E25" s="641"/>
      <c r="F25" s="641"/>
      <c r="G25" s="641"/>
    </row>
    <row r="26" spans="1:7">
      <c r="A26" s="643" t="s">
        <v>398</v>
      </c>
      <c r="B26" s="402">
        <f>ROUND((B22/B24),5)</f>
        <v>9.6600000000000002E-3</v>
      </c>
      <c r="C26" s="402">
        <f>ROUND((C22/C24),5)</f>
        <v>2.189E-2</v>
      </c>
      <c r="D26" s="402">
        <f>ROUND((D22/D24),5)</f>
        <v>0</v>
      </c>
      <c r="E26" s="148">
        <f>ROUND((E22/E24),5)</f>
        <v>0</v>
      </c>
      <c r="F26" s="148">
        <f>ROUND((F22/F24),5)</f>
        <v>4.5679999999999998E-2</v>
      </c>
      <c r="G26" s="641"/>
    </row>
    <row r="27" spans="1:7">
      <c r="A27" s="643"/>
      <c r="B27" s="641"/>
      <c r="C27" s="641"/>
      <c r="D27" s="641"/>
      <c r="E27" s="646"/>
      <c r="F27" s="646"/>
      <c r="G27" s="641"/>
    </row>
    <row r="28" spans="1:7">
      <c r="A28" s="643"/>
      <c r="B28" s="641"/>
      <c r="C28" s="641"/>
      <c r="D28" s="641"/>
      <c r="E28" s="646"/>
      <c r="F28" s="646"/>
      <c r="G28" s="641"/>
    </row>
    <row r="29" spans="1:7">
      <c r="A29" s="643"/>
      <c r="B29" s="641"/>
      <c r="C29" s="641"/>
      <c r="D29" s="641"/>
      <c r="E29" s="646"/>
      <c r="F29" s="646"/>
      <c r="G29" s="641"/>
    </row>
    <row r="30" spans="1:7">
      <c r="A30" s="340" t="s">
        <v>397</v>
      </c>
      <c r="B30" s="641"/>
      <c r="C30" s="641"/>
      <c r="D30" s="641"/>
      <c r="E30" s="641"/>
      <c r="F30" s="646"/>
      <c r="G30" s="641"/>
    </row>
    <row r="31" spans="1:7">
      <c r="A31" s="641"/>
      <c r="B31" s="127" t="s">
        <v>242</v>
      </c>
      <c r="C31" s="127" t="s">
        <v>241</v>
      </c>
      <c r="D31" s="127" t="s">
        <v>266</v>
      </c>
      <c r="E31" s="127" t="s">
        <v>9</v>
      </c>
      <c r="F31" s="646"/>
      <c r="G31" s="641"/>
    </row>
    <row r="32" spans="1:7">
      <c r="A32" s="643" t="s">
        <v>241</v>
      </c>
      <c r="B32" s="59">
        <f>+B26</f>
        <v>9.6600000000000002E-3</v>
      </c>
      <c r="C32" s="93"/>
      <c r="D32" s="93"/>
      <c r="E32" s="59">
        <f>SUM(B32:D32)</f>
        <v>9.6600000000000002E-3</v>
      </c>
      <c r="F32" s="93">
        <f>-ROUND(E32,5)</f>
        <v>-9.6600000000000002E-3</v>
      </c>
      <c r="G32" s="641"/>
    </row>
    <row r="33" spans="1:7">
      <c r="A33" s="643" t="s">
        <v>240</v>
      </c>
      <c r="B33" s="59">
        <f>+B32</f>
        <v>9.6600000000000002E-3</v>
      </c>
      <c r="C33" s="59">
        <f>+C26</f>
        <v>2.189E-2</v>
      </c>
      <c r="D33" s="93"/>
      <c r="E33" s="59">
        <f>SUM(B33:D33)</f>
        <v>3.1550000000000002E-2</v>
      </c>
      <c r="F33" s="93">
        <f>-ROUND(E33,5)</f>
        <v>-3.1550000000000002E-2</v>
      </c>
      <c r="G33" s="641"/>
    </row>
    <row r="34" spans="1:7">
      <c r="A34" s="643" t="s">
        <v>333</v>
      </c>
      <c r="B34" s="59">
        <f>+B32</f>
        <v>9.6600000000000002E-3</v>
      </c>
      <c r="C34" s="59">
        <f>+C33</f>
        <v>2.189E-2</v>
      </c>
      <c r="D34" s="59">
        <f>+D26</f>
        <v>0</v>
      </c>
      <c r="E34" s="59">
        <f>SUM(B34:D34)</f>
        <v>3.1550000000000002E-2</v>
      </c>
      <c r="F34" s="93">
        <f>-ROUND(E34,5)</f>
        <v>-3.1550000000000002E-2</v>
      </c>
      <c r="G34" s="641"/>
    </row>
    <row r="35" spans="1:7">
      <c r="A35" s="641"/>
      <c r="B35" s="641"/>
      <c r="C35" s="641"/>
      <c r="D35" s="641"/>
      <c r="E35" s="641"/>
      <c r="F35" s="641"/>
      <c r="G35" s="641"/>
    </row>
    <row r="36" spans="1:7">
      <c r="A36" s="641"/>
      <c r="B36" s="641"/>
      <c r="C36" s="641"/>
      <c r="D36" s="641"/>
      <c r="E36" s="641"/>
      <c r="F36" s="641"/>
      <c r="G36" s="641"/>
    </row>
    <row r="37" spans="1:7">
      <c r="A37" s="641"/>
      <c r="B37" s="641"/>
      <c r="C37" s="641"/>
      <c r="D37" s="641"/>
      <c r="E37" s="641"/>
      <c r="F37" s="641"/>
      <c r="G37" s="641"/>
    </row>
    <row r="38" spans="1:7">
      <c r="A38" s="340" t="s">
        <v>396</v>
      </c>
      <c r="B38" s="425"/>
      <c r="C38" s="425"/>
      <c r="D38" s="641"/>
      <c r="E38" s="794"/>
      <c r="F38" s="794"/>
      <c r="G38" s="641"/>
    </row>
    <row r="39" spans="1:7">
      <c r="A39" s="641"/>
      <c r="B39" s="426" t="s">
        <v>395</v>
      </c>
      <c r="C39" s="426"/>
      <c r="D39" s="641"/>
      <c r="E39" s="426"/>
      <c r="F39" s="426"/>
      <c r="G39" s="641"/>
    </row>
    <row r="40" spans="1:7">
      <c r="A40" s="641"/>
      <c r="B40" s="127" t="s">
        <v>44</v>
      </c>
      <c r="C40" s="127"/>
      <c r="D40" s="641"/>
      <c r="E40" s="127"/>
      <c r="F40" s="127"/>
      <c r="G40" s="641"/>
    </row>
    <row r="41" spans="1:7">
      <c r="A41" s="641"/>
      <c r="B41" s="645"/>
      <c r="C41" s="645"/>
      <c r="D41" s="641"/>
      <c r="E41" s="645"/>
      <c r="F41" s="645"/>
      <c r="G41" s="641"/>
    </row>
    <row r="42" spans="1:7">
      <c r="A42" s="643" t="s">
        <v>931</v>
      </c>
      <c r="B42" s="645">
        <f>'Demand Basis'!B43</f>
        <v>560314303.44697797</v>
      </c>
      <c r="C42" s="645"/>
      <c r="D42" s="641"/>
      <c r="E42" s="645"/>
      <c r="F42" s="645"/>
      <c r="G42" s="641"/>
    </row>
    <row r="43" spans="1:7">
      <c r="A43" s="643" t="s">
        <v>231</v>
      </c>
      <c r="B43" s="645">
        <f>'Demand Basis'!E44</f>
        <v>4013592.9249714892</v>
      </c>
      <c r="C43" s="645"/>
      <c r="D43" s="641"/>
      <c r="E43" s="645"/>
      <c r="F43" s="645"/>
      <c r="G43" s="641"/>
    </row>
    <row r="44" spans="1:7">
      <c r="A44" s="643" t="s">
        <v>937</v>
      </c>
      <c r="B44" s="645">
        <f>'Demand Basis'!E45</f>
        <v>1115842.6090179225</v>
      </c>
      <c r="C44" s="645"/>
      <c r="D44" s="641"/>
      <c r="E44" s="645"/>
      <c r="F44" s="645"/>
      <c r="G44" s="641"/>
    </row>
    <row r="45" spans="1:7">
      <c r="A45" s="643" t="s">
        <v>938</v>
      </c>
      <c r="B45" s="381">
        <f>'Demand Basis'!E46</f>
        <v>1280317.4925962489</v>
      </c>
      <c r="C45" s="645"/>
      <c r="D45" s="641"/>
      <c r="E45" s="645"/>
      <c r="F45" s="645"/>
      <c r="G45" s="641"/>
    </row>
    <row r="46" spans="1:7">
      <c r="A46" s="643"/>
      <c r="B46" s="645"/>
      <c r="C46" s="645"/>
      <c r="D46" s="641"/>
      <c r="E46" s="645"/>
      <c r="F46" s="645"/>
      <c r="G46" s="641"/>
    </row>
    <row r="47" spans="1:7">
      <c r="A47" s="643" t="s">
        <v>394</v>
      </c>
      <c r="B47" s="645">
        <f>SUM(B42:B45)</f>
        <v>566724056.47356367</v>
      </c>
      <c r="C47" s="645"/>
      <c r="D47" s="641"/>
      <c r="E47" s="645"/>
      <c r="F47" s="645"/>
      <c r="G47" s="641"/>
    </row>
    <row r="48" spans="1:7">
      <c r="A48" s="641"/>
      <c r="B48" s="641"/>
      <c r="C48" s="641"/>
      <c r="D48" s="641"/>
      <c r="E48" s="641"/>
      <c r="F48" s="641"/>
      <c r="G48" s="641"/>
    </row>
    <row r="49" spans="1:7">
      <c r="A49" s="643" t="s">
        <v>393</v>
      </c>
      <c r="B49" s="645">
        <f>'Demand Basis'!B48</f>
        <v>468360441.54688603</v>
      </c>
      <c r="C49" s="645"/>
      <c r="D49" s="641"/>
      <c r="E49" s="645"/>
      <c r="F49" s="645"/>
      <c r="G49" s="641"/>
    </row>
    <row r="50" spans="1:7">
      <c r="A50" s="643" t="s">
        <v>288</v>
      </c>
      <c r="B50" s="645">
        <f>'Demand Basis'!E49</f>
        <v>1805544</v>
      </c>
      <c r="C50" s="645"/>
      <c r="D50" s="641"/>
      <c r="E50" s="645"/>
      <c r="F50" s="645"/>
      <c r="G50" s="641"/>
    </row>
    <row r="51" spans="1:7">
      <c r="A51" s="643" t="s">
        <v>832</v>
      </c>
      <c r="B51" s="381">
        <f>'Demand Basis'!B50</f>
        <v>8448201.9130434785</v>
      </c>
      <c r="C51" s="645"/>
      <c r="D51" s="641"/>
      <c r="E51" s="645"/>
      <c r="F51" s="645"/>
      <c r="G51" s="641"/>
    </row>
    <row r="52" spans="1:7">
      <c r="A52" s="641"/>
      <c r="B52" s="641"/>
      <c r="C52" s="641"/>
      <c r="D52" s="641"/>
      <c r="E52" s="641"/>
      <c r="F52" s="641"/>
      <c r="G52" s="641"/>
    </row>
    <row r="53" spans="1:7">
      <c r="A53" s="641" t="s">
        <v>392</v>
      </c>
      <c r="B53" s="161">
        <f>SUM(B49:B51)</f>
        <v>478614187.45992953</v>
      </c>
      <c r="C53" s="641"/>
      <c r="D53" s="641"/>
      <c r="E53" s="641"/>
      <c r="F53" s="641"/>
      <c r="G53" s="641"/>
    </row>
  </sheetData>
  <mergeCells count="1">
    <mergeCell ref="E38:F38"/>
  </mergeCells>
  <printOptions horizontalCentered="1"/>
  <pageMargins left="0.5" right="0.5" top="0.5" bottom="0.5" header="0.5" footer="0.5"/>
  <pageSetup orientation="portrait" r:id="rId1"/>
  <headerFooter alignWithMargins="0">
    <oddHeader xml:space="preserve">&amp;L&amp;F
&amp;A&amp;C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27"/>
  <sheetViews>
    <sheetView showOutlineSymbols="0" zoomScale="87" workbookViewId="0">
      <selection activeCell="M14" sqref="M14"/>
    </sheetView>
  </sheetViews>
  <sheetFormatPr defaultColWidth="9.75" defaultRowHeight="15"/>
  <cols>
    <col min="1" max="1" width="25" style="78" bestFit="1" customWidth="1"/>
    <col min="2" max="2" width="8.625" style="78" bestFit="1" customWidth="1"/>
    <col min="3" max="3" width="10.75" style="78" bestFit="1" customWidth="1"/>
    <col min="4" max="4" width="7.875" style="78" bestFit="1" customWidth="1"/>
    <col min="5" max="5" width="8.125" style="78" bestFit="1" customWidth="1"/>
    <col min="6" max="6" width="5.25" style="78" bestFit="1" customWidth="1"/>
    <col min="7" max="7" width="10.75" style="78" bestFit="1" customWidth="1"/>
    <col min="8" max="8" width="2.75" style="78" customWidth="1"/>
    <col min="9" max="9" width="8.75" style="78" bestFit="1" customWidth="1"/>
    <col min="10" max="16384" width="9.75" style="78"/>
  </cols>
  <sheetData>
    <row r="1" spans="1:9">
      <c r="A1" s="92" t="str">
        <f>'Demand Basis'!$A$1</f>
        <v>KENTUCKY POWER COMPANY</v>
      </c>
      <c r="B1" s="92"/>
      <c r="C1" s="92"/>
      <c r="D1" s="92"/>
      <c r="E1" s="92"/>
      <c r="F1" s="92"/>
      <c r="G1" s="92"/>
      <c r="H1" s="92"/>
      <c r="I1" s="92"/>
    </row>
    <row r="2" spans="1:9">
      <c r="A2" s="92" t="s">
        <v>834</v>
      </c>
      <c r="B2" s="92"/>
      <c r="C2" s="92"/>
      <c r="D2" s="92"/>
      <c r="E2" s="92"/>
      <c r="F2" s="92"/>
      <c r="G2" s="92"/>
      <c r="H2" s="92"/>
      <c r="I2" s="92"/>
    </row>
    <row r="3" spans="1:9">
      <c r="A3" s="92" t="str">
        <f>'Demand Basis'!$A$3</f>
        <v>Twelve Months Ended March 31, 2020</v>
      </c>
      <c r="B3" s="92"/>
      <c r="C3" s="92"/>
      <c r="D3" s="92"/>
      <c r="E3" s="92"/>
      <c r="F3" s="92"/>
      <c r="G3" s="92"/>
      <c r="H3" s="92"/>
      <c r="I3" s="92"/>
    </row>
    <row r="4" spans="1:9">
      <c r="A4" s="92"/>
      <c r="B4" s="92"/>
      <c r="C4" s="92"/>
      <c r="D4" s="92"/>
      <c r="E4" s="92"/>
      <c r="F4" s="92"/>
      <c r="G4" s="92"/>
      <c r="H4" s="92"/>
      <c r="I4" s="92"/>
    </row>
    <row r="7" spans="1:9">
      <c r="B7" s="89" t="s">
        <v>6</v>
      </c>
      <c r="I7" s="89" t="s">
        <v>390</v>
      </c>
    </row>
    <row r="8" spans="1:9">
      <c r="B8" s="89" t="s">
        <v>254</v>
      </c>
      <c r="C8" s="92" t="s">
        <v>389</v>
      </c>
      <c r="D8" s="92"/>
      <c r="F8" s="89" t="s">
        <v>388</v>
      </c>
      <c r="I8" s="89" t="s">
        <v>387</v>
      </c>
    </row>
    <row r="9" spans="1:9">
      <c r="B9" s="90" t="s">
        <v>386</v>
      </c>
      <c r="C9" s="91" t="s">
        <v>242</v>
      </c>
      <c r="D9" s="91" t="s">
        <v>241</v>
      </c>
      <c r="E9" s="90" t="s">
        <v>266</v>
      </c>
      <c r="F9" s="90" t="s">
        <v>303</v>
      </c>
      <c r="G9" s="90" t="s">
        <v>116</v>
      </c>
      <c r="H9" s="79"/>
      <c r="I9" s="90" t="s">
        <v>245</v>
      </c>
    </row>
    <row r="10" spans="1:9">
      <c r="B10" s="429"/>
      <c r="C10" s="429"/>
      <c r="D10" s="429"/>
      <c r="E10" s="429"/>
      <c r="F10" s="429"/>
      <c r="G10" s="429"/>
      <c r="I10" s="89"/>
    </row>
    <row r="11" spans="1:9">
      <c r="B11" s="428"/>
      <c r="C11" s="435"/>
      <c r="D11" s="435"/>
      <c r="E11" s="435"/>
      <c r="F11" s="435"/>
      <c r="G11" s="428"/>
    </row>
    <row r="12" spans="1:9">
      <c r="A12" s="79" t="s">
        <v>385</v>
      </c>
      <c r="B12" s="87"/>
      <c r="C12" s="86">
        <f>+'Demand Basis'!$B$26</f>
        <v>2.75</v>
      </c>
      <c r="D12" s="86">
        <f>+'Demand Basis'!$C$26</f>
        <v>6.63</v>
      </c>
      <c r="E12" s="86">
        <f>+'Demand Basis'!$D$26</f>
        <v>0</v>
      </c>
      <c r="F12" s="86">
        <f>+'Demand Basis'!$E$26</f>
        <v>0</v>
      </c>
      <c r="G12" s="86">
        <f>+'Demand Basis'!$F$26</f>
        <v>18.5</v>
      </c>
      <c r="H12" s="82"/>
      <c r="I12" s="82"/>
    </row>
    <row r="13" spans="1:9">
      <c r="B13" s="87"/>
      <c r="C13" s="433"/>
      <c r="D13" s="433"/>
      <c r="E13" s="433"/>
      <c r="F13" s="433"/>
      <c r="G13" s="87"/>
      <c r="H13" s="82"/>
      <c r="I13" s="82"/>
    </row>
    <row r="14" spans="1:9">
      <c r="A14" s="79" t="s">
        <v>384</v>
      </c>
      <c r="B14" s="87"/>
      <c r="C14" s="88">
        <v>1</v>
      </c>
      <c r="D14" s="88">
        <v>1</v>
      </c>
      <c r="E14" s="88">
        <v>0.1</v>
      </c>
      <c r="F14" s="88">
        <f>E14</f>
        <v>0.1</v>
      </c>
      <c r="G14" s="88">
        <v>0.1</v>
      </c>
      <c r="H14" s="82"/>
      <c r="I14" s="82"/>
    </row>
    <row r="15" spans="1:9">
      <c r="B15" s="87"/>
      <c r="C15" s="87"/>
      <c r="D15" s="87"/>
      <c r="E15" s="87"/>
      <c r="F15" s="87"/>
      <c r="G15" s="87"/>
      <c r="H15" s="82"/>
      <c r="I15" s="82"/>
    </row>
    <row r="16" spans="1:9">
      <c r="A16" s="79" t="s">
        <v>383</v>
      </c>
      <c r="B16" s="87"/>
      <c r="C16" s="86">
        <f>ROUND((C12*C14),2)</f>
        <v>2.75</v>
      </c>
      <c r="D16" s="86">
        <f>ROUND((D12*D14),2)</f>
        <v>6.63</v>
      </c>
      <c r="E16" s="86">
        <f>ROUND((E12*E14),2)</f>
        <v>0</v>
      </c>
      <c r="F16" s="86">
        <f>ROUND((F12*F14),2)</f>
        <v>0</v>
      </c>
      <c r="G16" s="86">
        <f>ROUND((G12*G14),2)</f>
        <v>1.85</v>
      </c>
      <c r="H16" s="82"/>
      <c r="I16" s="81"/>
    </row>
    <row r="17" spans="1:9">
      <c r="B17" s="82"/>
      <c r="C17" s="85"/>
      <c r="D17" s="85"/>
      <c r="E17" s="85"/>
      <c r="F17" s="85"/>
      <c r="G17" s="85"/>
      <c r="H17" s="82"/>
      <c r="I17" s="82"/>
    </row>
    <row r="18" spans="1:9">
      <c r="A18" s="79" t="s">
        <v>382</v>
      </c>
      <c r="B18" s="84">
        <f>'Demand Basis'!$B$15</f>
        <v>1</v>
      </c>
      <c r="C18" s="83">
        <f>ROUND((C$16*$B18),2)</f>
        <v>2.75</v>
      </c>
      <c r="D18" s="83">
        <f>ROUND((D$16*$B18),2)</f>
        <v>6.63</v>
      </c>
      <c r="E18" s="83">
        <f>ROUND((E$16*$B18),2)</f>
        <v>0</v>
      </c>
      <c r="F18" s="83">
        <f>ROUND((F$16*$B18),2)</f>
        <v>0</v>
      </c>
      <c r="G18" s="83">
        <f>ROUND((G$16*$B18),2)</f>
        <v>1.85</v>
      </c>
      <c r="H18" s="82"/>
      <c r="I18" s="81">
        <f>SUM(C18:G18)</f>
        <v>11.229999999999999</v>
      </c>
    </row>
    <row r="19" spans="1:9">
      <c r="B19" s="84"/>
      <c r="C19" s="83"/>
      <c r="D19" s="83"/>
      <c r="E19" s="83"/>
      <c r="F19" s="83"/>
      <c r="G19" s="83"/>
      <c r="H19" s="82"/>
      <c r="I19" s="82"/>
    </row>
    <row r="20" spans="1:9">
      <c r="A20" s="79" t="s">
        <v>381</v>
      </c>
      <c r="B20" s="84">
        <f>'Demand Basis'!$C$15</f>
        <v>0.99000312994982598</v>
      </c>
      <c r="C20" s="83"/>
      <c r="D20" s="83">
        <f>ROUND((D$16*$B20),2)</f>
        <v>6.56</v>
      </c>
      <c r="E20" s="83">
        <f>ROUND((E$16*$B20),2)</f>
        <v>0</v>
      </c>
      <c r="F20" s="83">
        <f>ROUND((F$16*$B20),2)</f>
        <v>0</v>
      </c>
      <c r="G20" s="83">
        <f>ROUND((G$16*$B20),2)</f>
        <v>1.83</v>
      </c>
      <c r="H20" s="82"/>
      <c r="I20" s="81">
        <f>SUM(C20:G20)</f>
        <v>8.39</v>
      </c>
    </row>
    <row r="21" spans="1:9">
      <c r="B21" s="84"/>
      <c r="C21" s="83"/>
      <c r="D21" s="83"/>
      <c r="E21" s="83"/>
      <c r="F21" s="83"/>
      <c r="G21" s="83"/>
      <c r="H21" s="82"/>
      <c r="I21" s="82"/>
    </row>
    <row r="22" spans="1:9">
      <c r="A22" s="79" t="s">
        <v>380</v>
      </c>
      <c r="B22" s="84">
        <f>'Demand Basis'!$D$15</f>
        <v>0.98334487304733798</v>
      </c>
      <c r="C22" s="83"/>
      <c r="D22" s="83"/>
      <c r="E22" s="83">
        <f>ROUND((E$16*$B22),2)</f>
        <v>0</v>
      </c>
      <c r="F22" s="83">
        <f>ROUND((F$16*$B22),2)</f>
        <v>0</v>
      </c>
      <c r="G22" s="83">
        <f>ROUND((G$16*$B22),2)</f>
        <v>1.82</v>
      </c>
      <c r="H22" s="82"/>
      <c r="I22" s="81">
        <f>SUM(C22:G22)</f>
        <v>1.82</v>
      </c>
    </row>
    <row r="23" spans="1:9">
      <c r="B23" s="84"/>
      <c r="C23" s="83"/>
      <c r="D23" s="83"/>
      <c r="E23" s="83"/>
      <c r="F23" s="83"/>
      <c r="G23" s="83"/>
      <c r="H23" s="85"/>
      <c r="I23" s="82"/>
    </row>
    <row r="24" spans="1:9">
      <c r="A24" s="79" t="s">
        <v>379</v>
      </c>
      <c r="B24" s="84">
        <f>'Demand Basis'!$E$15</f>
        <v>0.97327212542562558</v>
      </c>
      <c r="C24" s="83"/>
      <c r="D24" s="83"/>
      <c r="E24" s="83"/>
      <c r="F24" s="83">
        <f>ROUND((F$16*$B24),2)</f>
        <v>0</v>
      </c>
      <c r="G24" s="83">
        <f>ROUND((G$16*$B24),2)</f>
        <v>1.8</v>
      </c>
      <c r="H24" s="82"/>
      <c r="I24" s="81">
        <f>SUM(C24:G24)</f>
        <v>1.8</v>
      </c>
    </row>
    <row r="26" spans="1:9">
      <c r="A26" s="79"/>
      <c r="E26" s="80"/>
    </row>
    <row r="27" spans="1:9">
      <c r="A27" s="79"/>
    </row>
  </sheetData>
  <printOptions horizontalCentered="1"/>
  <pageMargins left="0.5" right="0.5" top="0.5" bottom="0.5" header="0.5" footer="0.5"/>
  <pageSetup orientation="portrait" r:id="rId1"/>
  <headerFooter alignWithMargins="0">
    <oddHeader xml:space="preserve">&amp;L&amp;F
&amp;A&amp;C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K354"/>
  <sheetViews>
    <sheetView tabSelected="1" topLeftCell="A343" zoomScale="110" zoomScaleNormal="110" workbookViewId="0">
      <selection activeCell="F357" sqref="F357"/>
    </sheetView>
  </sheetViews>
  <sheetFormatPr defaultColWidth="9" defaultRowHeight="12.75"/>
  <cols>
    <col min="1" max="1" width="4.25" style="116" customWidth="1"/>
    <col min="2" max="2" width="9" style="116"/>
    <col min="3" max="3" width="3.375" style="116" customWidth="1"/>
    <col min="4" max="4" width="15.625" style="116" customWidth="1"/>
    <col min="5" max="5" width="12" style="116" customWidth="1"/>
    <col min="6" max="6" width="17.75" style="116" customWidth="1"/>
    <col min="7" max="7" width="9.375" style="116" customWidth="1"/>
    <col min="8" max="8" width="13" style="116" customWidth="1"/>
    <col min="9" max="9" width="9" style="116"/>
    <col min="10" max="10" width="8.625" style="116" bestFit="1" customWidth="1"/>
    <col min="11" max="11" width="15.75" style="116" bestFit="1" customWidth="1"/>
    <col min="12" max="16384" width="9" style="116"/>
  </cols>
  <sheetData>
    <row r="3" spans="1:11">
      <c r="A3" s="560" t="s">
        <v>115</v>
      </c>
      <c r="B3" s="118" t="s">
        <v>696</v>
      </c>
      <c r="I3" s="561" t="s">
        <v>622</v>
      </c>
      <c r="J3" s="561" t="s">
        <v>621</v>
      </c>
    </row>
    <row r="5" spans="1:11">
      <c r="B5" s="116" t="s">
        <v>695</v>
      </c>
      <c r="C5" s="116" t="s">
        <v>694</v>
      </c>
      <c r="I5" s="116" t="s">
        <v>693</v>
      </c>
      <c r="J5" s="562">
        <v>700</v>
      </c>
      <c r="K5" s="116" t="s">
        <v>239</v>
      </c>
    </row>
    <row r="7" spans="1:11">
      <c r="B7" s="116" t="s">
        <v>692</v>
      </c>
      <c r="C7" s="116" t="s">
        <v>691</v>
      </c>
      <c r="I7" s="116" t="s">
        <v>642</v>
      </c>
      <c r="J7" s="563">
        <f>'Carrying Charge'!B10/100</f>
        <v>7.0699999999999999E-2</v>
      </c>
    </row>
    <row r="9" spans="1:11">
      <c r="B9" s="116" t="s">
        <v>690</v>
      </c>
      <c r="C9" s="116" t="s">
        <v>689</v>
      </c>
      <c r="I9" s="116" t="s">
        <v>688</v>
      </c>
      <c r="J9" s="564">
        <f>'Carrying Charge'!L18/100</f>
        <v>0.10240376833664719</v>
      </c>
    </row>
    <row r="11" spans="1:11">
      <c r="B11" s="116" t="s">
        <v>687</v>
      </c>
      <c r="C11" s="116" t="s">
        <v>686</v>
      </c>
      <c r="I11" s="116" t="s">
        <v>685</v>
      </c>
      <c r="J11" s="565">
        <f>H124</f>
        <v>34.93</v>
      </c>
      <c r="K11" s="116" t="s">
        <v>239</v>
      </c>
    </row>
    <row r="13" spans="1:11">
      <c r="B13" s="116" t="s">
        <v>684</v>
      </c>
      <c r="C13" s="116" t="s">
        <v>683</v>
      </c>
      <c r="I13" s="116" t="s">
        <v>682</v>
      </c>
      <c r="J13" s="564">
        <f>+F176</f>
        <v>5.3999999999999999E-2</v>
      </c>
    </row>
    <row r="15" spans="1:11">
      <c r="B15" s="116" t="s">
        <v>681</v>
      </c>
      <c r="C15" s="116" t="s">
        <v>680</v>
      </c>
      <c r="I15" s="116" t="s">
        <v>679</v>
      </c>
      <c r="J15" s="117">
        <v>40</v>
      </c>
      <c r="K15" s="116" t="s">
        <v>678</v>
      </c>
    </row>
    <row r="17" spans="1:10">
      <c r="B17" s="116" t="s">
        <v>677</v>
      </c>
      <c r="C17" s="116" t="s">
        <v>676</v>
      </c>
      <c r="I17" s="116" t="s">
        <v>675</v>
      </c>
      <c r="J17" s="116">
        <f>+H33</f>
        <v>1.3542000000000001</v>
      </c>
    </row>
    <row r="19" spans="1:10">
      <c r="B19" s="116" t="s">
        <v>674</v>
      </c>
      <c r="C19" s="116" t="s">
        <v>673</v>
      </c>
      <c r="I19" s="116" t="s">
        <v>672</v>
      </c>
      <c r="J19" s="564">
        <v>0.02</v>
      </c>
    </row>
    <row r="20" spans="1:10">
      <c r="J20" s="564"/>
    </row>
    <row r="21" spans="1:10">
      <c r="B21" s="116" t="s">
        <v>671</v>
      </c>
      <c r="C21" s="116" t="s">
        <v>670</v>
      </c>
      <c r="I21" s="116" t="s">
        <v>669</v>
      </c>
      <c r="J21" s="564">
        <f>+J19</f>
        <v>0.02</v>
      </c>
    </row>
    <row r="26" spans="1:10">
      <c r="A26" s="560" t="s">
        <v>12</v>
      </c>
      <c r="B26" s="118" t="s">
        <v>668</v>
      </c>
    </row>
    <row r="30" spans="1:10" ht="12.75" customHeight="1"/>
    <row r="31" spans="1:10" ht="12.75" customHeight="1"/>
    <row r="32" spans="1:10">
      <c r="F32" s="566">
        <f>(1+J7)^J15-1</f>
        <v>14.371353383977675</v>
      </c>
    </row>
    <row r="33" spans="1:8">
      <c r="B33" s="116" t="s">
        <v>667</v>
      </c>
      <c r="D33" s="567">
        <f>+J9</f>
        <v>0.10240376833664719</v>
      </c>
      <c r="E33" s="120" t="s">
        <v>88</v>
      </c>
      <c r="F33" s="120" t="s">
        <v>666</v>
      </c>
      <c r="G33" s="120" t="s">
        <v>15</v>
      </c>
      <c r="H33" s="568">
        <f>ROUND(D33*F32/F34,4)</f>
        <v>1.3542000000000001</v>
      </c>
    </row>
    <row r="34" spans="1:8">
      <c r="F34" s="569">
        <f>J7*(1+J7)^J15</f>
        <v>1.0867546842472215</v>
      </c>
    </row>
    <row r="36" spans="1:8">
      <c r="A36" s="560" t="s">
        <v>18</v>
      </c>
      <c r="B36" s="118" t="s">
        <v>665</v>
      </c>
    </row>
    <row r="43" spans="1:8">
      <c r="C43" s="116" t="s">
        <v>664</v>
      </c>
    </row>
    <row r="67" spans="2:6">
      <c r="B67" s="118" t="s">
        <v>663</v>
      </c>
    </row>
    <row r="69" spans="2:6">
      <c r="C69" s="116" t="s">
        <v>660</v>
      </c>
      <c r="D69" s="117">
        <v>1</v>
      </c>
    </row>
    <row r="70" spans="2:6">
      <c r="C70" s="116" t="s">
        <v>659</v>
      </c>
      <c r="D70" s="570">
        <f>1-(1+J21)/(1+J7)</f>
        <v>4.7352199495657055E-2</v>
      </c>
      <c r="E70" s="571" t="s">
        <v>658</v>
      </c>
      <c r="F70" s="570">
        <f>J11*((1+J19)/(1+J7))</f>
        <v>33.275987671616697</v>
      </c>
    </row>
    <row r="71" spans="2:6">
      <c r="C71" s="116" t="s">
        <v>657</v>
      </c>
      <c r="D71" s="570">
        <f>1-((1+J21)/(1+J7))^J15</f>
        <v>0.85635359434801617</v>
      </c>
      <c r="E71" s="571" t="s">
        <v>656</v>
      </c>
      <c r="F71" s="570">
        <f>(1+J19)^(D69-1)</f>
        <v>1</v>
      </c>
    </row>
    <row r="72" spans="2:6">
      <c r="C72" s="116" t="s">
        <v>655</v>
      </c>
      <c r="D72" s="570">
        <f>(1+J21)^(D69-1)</f>
        <v>1</v>
      </c>
      <c r="E72" s="571" t="s">
        <v>654</v>
      </c>
      <c r="F72" s="570">
        <f>1-J13/2</f>
        <v>0.97299999999999998</v>
      </c>
    </row>
    <row r="81" spans="2:6">
      <c r="B81" s="116" t="s">
        <v>653</v>
      </c>
      <c r="D81" s="572">
        <f>(1/12)*(J17*J5*D70/D71*D72+F70*F71)/F72</f>
        <v>7.3391975936473113</v>
      </c>
    </row>
    <row r="83" spans="2:6">
      <c r="B83" s="118" t="s">
        <v>662</v>
      </c>
    </row>
    <row r="85" spans="2:6">
      <c r="C85" s="116" t="s">
        <v>660</v>
      </c>
      <c r="D85" s="117">
        <v>2</v>
      </c>
    </row>
    <row r="86" spans="2:6">
      <c r="C86" s="116" t="s">
        <v>659</v>
      </c>
      <c r="D86" s="570">
        <f>1-(1+J21)/(1+J7)</f>
        <v>4.7352199495657055E-2</v>
      </c>
      <c r="E86" s="116" t="s">
        <v>658</v>
      </c>
      <c r="F86" s="570">
        <f>J11*((1+J19)/(1+J7))</f>
        <v>33.275987671616697</v>
      </c>
    </row>
    <row r="87" spans="2:6">
      <c r="C87" s="116" t="s">
        <v>657</v>
      </c>
      <c r="D87" s="570">
        <f>1-((1+J21)/(1+J7))^J15</f>
        <v>0.85635359434801617</v>
      </c>
      <c r="E87" s="116" t="s">
        <v>656</v>
      </c>
      <c r="F87" s="570">
        <f>(1+J19)^(D85-1)</f>
        <v>1.02</v>
      </c>
    </row>
    <row r="88" spans="2:6">
      <c r="C88" s="116" t="s">
        <v>655</v>
      </c>
      <c r="D88" s="570">
        <f>(1+J21)^(D85-1)</f>
        <v>1.02</v>
      </c>
      <c r="E88" s="116" t="s">
        <v>654</v>
      </c>
      <c r="F88" s="570">
        <f>1-J13/2</f>
        <v>0.97299999999999998</v>
      </c>
    </row>
    <row r="90" spans="2:6">
      <c r="B90" s="116" t="s">
        <v>653</v>
      </c>
      <c r="D90" s="572">
        <f>(1/12)*(J17*J5*D86/D87*D88+F86*F87)/F88</f>
        <v>7.485981545520259</v>
      </c>
    </row>
    <row r="91" spans="2:6">
      <c r="D91" s="572"/>
    </row>
    <row r="92" spans="2:6">
      <c r="B92" s="118" t="s">
        <v>661</v>
      </c>
      <c r="D92" s="572"/>
    </row>
    <row r="93" spans="2:6">
      <c r="D93" s="572"/>
    </row>
    <row r="94" spans="2:6">
      <c r="C94" s="116" t="s">
        <v>660</v>
      </c>
      <c r="D94" s="117">
        <v>3</v>
      </c>
    </row>
    <row r="95" spans="2:6">
      <c r="C95" s="116" t="s">
        <v>659</v>
      </c>
      <c r="D95" s="570">
        <f>1-(1+J21)/(1+J7)</f>
        <v>4.7352199495657055E-2</v>
      </c>
      <c r="E95" s="116" t="s">
        <v>658</v>
      </c>
      <c r="F95" s="570">
        <f>J11*((1+J19)/(1+J7))</f>
        <v>33.275987671616697</v>
      </c>
    </row>
    <row r="96" spans="2:6">
      <c r="C96" s="116" t="s">
        <v>657</v>
      </c>
      <c r="D96" s="570">
        <f>1-((1+J21)/(1+J7))^J15</f>
        <v>0.85635359434801617</v>
      </c>
      <c r="E96" s="116" t="s">
        <v>656</v>
      </c>
      <c r="F96" s="570">
        <f>(1+J19)^(D94-1)</f>
        <v>1.0404</v>
      </c>
    </row>
    <row r="97" spans="1:7">
      <c r="C97" s="116" t="s">
        <v>655</v>
      </c>
      <c r="D97" s="570">
        <f>(1+J21)^(D94-1)</f>
        <v>1.0404</v>
      </c>
      <c r="E97" s="116" t="s">
        <v>654</v>
      </c>
      <c r="F97" s="570">
        <f>1-J13/2</f>
        <v>0.97299999999999998</v>
      </c>
    </row>
    <row r="99" spans="1:7">
      <c r="B99" s="116" t="s">
        <v>653</v>
      </c>
      <c r="D99" s="572">
        <f>(1/12)*(J17*J5*D95/D96*D97+F95*F96)/F97</f>
        <v>7.6357011764306639</v>
      </c>
    </row>
    <row r="102" spans="1:7">
      <c r="B102" s="116" t="s">
        <v>651</v>
      </c>
      <c r="F102" s="573">
        <f>+(D81+D90+D99)/3</f>
        <v>7.4869601051994117</v>
      </c>
      <c r="G102" s="116" t="s">
        <v>845</v>
      </c>
    </row>
    <row r="103" spans="1:7">
      <c r="B103" s="116" t="s">
        <v>652</v>
      </c>
    </row>
    <row r="105" spans="1:7">
      <c r="B105" s="116" t="s">
        <v>651</v>
      </c>
      <c r="F105" s="572">
        <f>+G154/I156*F102</f>
        <v>3.1195667104997549</v>
      </c>
      <c r="G105" s="116" t="s">
        <v>990</v>
      </c>
    </row>
    <row r="106" spans="1:7">
      <c r="B106" s="116" t="s">
        <v>650</v>
      </c>
    </row>
    <row r="109" spans="1:7">
      <c r="A109" s="118" t="s">
        <v>649</v>
      </c>
    </row>
    <row r="115" spans="1:11">
      <c r="A115" s="560" t="s">
        <v>115</v>
      </c>
      <c r="B115" s="118" t="s">
        <v>1007</v>
      </c>
    </row>
    <row r="117" spans="1:11">
      <c r="C117" s="116" t="s">
        <v>1006</v>
      </c>
      <c r="H117" s="766">
        <v>17.72</v>
      </c>
      <c r="I117" s="116" t="s">
        <v>648</v>
      </c>
    </row>
    <row r="118" spans="1:11">
      <c r="C118" s="116" t="s">
        <v>635</v>
      </c>
      <c r="G118" s="116" t="s">
        <v>88</v>
      </c>
      <c r="H118" s="696">
        <v>8760</v>
      </c>
      <c r="I118" s="116" t="s">
        <v>634</v>
      </c>
    </row>
    <row r="119" spans="1:11">
      <c r="C119" s="116" t="s">
        <v>644</v>
      </c>
      <c r="G119" s="116" t="s">
        <v>88</v>
      </c>
      <c r="H119" s="696">
        <v>490000</v>
      </c>
      <c r="I119" s="116" t="s">
        <v>144</v>
      </c>
      <c r="K119" s="692"/>
    </row>
    <row r="120" spans="1:11">
      <c r="C120" s="116" t="s">
        <v>1003</v>
      </c>
      <c r="G120" s="116" t="s">
        <v>88</v>
      </c>
      <c r="H120" s="697">
        <v>0.25</v>
      </c>
      <c r="K120" s="693"/>
    </row>
    <row r="121" spans="1:11">
      <c r="C121" s="115" t="s">
        <v>647</v>
      </c>
      <c r="D121" s="115"/>
      <c r="E121" s="115"/>
      <c r="F121" s="115"/>
      <c r="G121" s="115" t="s">
        <v>88</v>
      </c>
      <c r="H121" s="698">
        <v>0.1</v>
      </c>
      <c r="I121" s="115"/>
      <c r="K121" s="694"/>
    </row>
    <row r="122" spans="1:11">
      <c r="C122" s="116" t="s">
        <v>646</v>
      </c>
      <c r="H122" s="574">
        <f>H117*(H118*(1-H121))*H119*H120/1000</f>
        <v>17113798.799999997</v>
      </c>
      <c r="I122" s="116" t="s">
        <v>645</v>
      </c>
      <c r="K122" s="695"/>
    </row>
    <row r="123" spans="1:11" ht="13.5" thickBot="1">
      <c r="C123" s="575" t="s">
        <v>644</v>
      </c>
      <c r="D123" s="575"/>
      <c r="E123" s="575"/>
      <c r="F123" s="575"/>
      <c r="G123" s="575" t="s">
        <v>151</v>
      </c>
      <c r="H123" s="576">
        <f>+H119</f>
        <v>490000</v>
      </c>
      <c r="I123" s="575" t="s">
        <v>144</v>
      </c>
    </row>
    <row r="124" spans="1:11">
      <c r="C124" s="116" t="s">
        <v>643</v>
      </c>
      <c r="H124" s="565">
        <f>ROUND(H122/H123,2)</f>
        <v>34.93</v>
      </c>
      <c r="I124" s="116" t="s">
        <v>239</v>
      </c>
    </row>
    <row r="132" spans="1:9">
      <c r="A132" s="560" t="s">
        <v>115</v>
      </c>
      <c r="B132" s="118" t="s">
        <v>638</v>
      </c>
      <c r="G132" s="561" t="s">
        <v>43</v>
      </c>
      <c r="H132" s="561" t="s">
        <v>45</v>
      </c>
      <c r="I132" s="561" t="s">
        <v>637</v>
      </c>
    </row>
    <row r="133" spans="1:9">
      <c r="A133" s="560"/>
      <c r="B133" s="118"/>
      <c r="G133" s="561"/>
      <c r="H133" s="561"/>
      <c r="I133" s="561"/>
    </row>
    <row r="134" spans="1:9">
      <c r="A134" s="560"/>
      <c r="B134" s="118"/>
      <c r="G134" s="561"/>
      <c r="H134" s="561"/>
      <c r="I134" s="561"/>
    </row>
    <row r="135" spans="1:9">
      <c r="A135" s="560"/>
      <c r="B135" s="560" t="s">
        <v>1001</v>
      </c>
      <c r="C135" s="699" t="s">
        <v>1008</v>
      </c>
      <c r="D135" s="700"/>
      <c r="E135" s="700"/>
      <c r="F135" s="700"/>
      <c r="G135" s="700"/>
      <c r="H135" s="700"/>
      <c r="I135" s="700"/>
    </row>
    <row r="136" spans="1:9">
      <c r="A136" s="560"/>
      <c r="B136" s="118"/>
      <c r="C136" s="700"/>
      <c r="D136" s="700"/>
      <c r="E136" s="700"/>
      <c r="F136" s="700"/>
      <c r="G136" s="700"/>
      <c r="H136" s="700"/>
      <c r="I136" s="700"/>
    </row>
    <row r="137" spans="1:9">
      <c r="A137" s="560"/>
      <c r="B137" s="118"/>
      <c r="C137" s="700" t="s">
        <v>1009</v>
      </c>
      <c r="D137" s="700"/>
      <c r="E137" s="700"/>
      <c r="F137" s="700"/>
      <c r="G137" s="700"/>
      <c r="H137" s="700"/>
      <c r="I137" s="701">
        <f>+H174</f>
        <v>1.3525741772634214E-2</v>
      </c>
    </row>
    <row r="138" spans="1:9">
      <c r="A138" s="560"/>
      <c r="B138" s="118"/>
      <c r="C138" s="702" t="s">
        <v>1010</v>
      </c>
      <c r="D138" s="702"/>
      <c r="E138" s="702"/>
      <c r="F138" s="702"/>
      <c r="G138" s="702"/>
      <c r="H138" s="702" t="s">
        <v>151</v>
      </c>
      <c r="I138" s="703">
        <v>2</v>
      </c>
    </row>
    <row r="139" spans="1:9">
      <c r="A139" s="560"/>
      <c r="B139" s="118"/>
      <c r="C139" s="700" t="s">
        <v>1011</v>
      </c>
      <c r="D139" s="700"/>
      <c r="E139" s="704"/>
      <c r="F139" s="700"/>
      <c r="G139" s="700"/>
      <c r="H139" s="700"/>
      <c r="I139" s="701">
        <f>+I137/I138</f>
        <v>6.7628708863171072E-3</v>
      </c>
    </row>
    <row r="140" spans="1:9">
      <c r="A140" s="560"/>
      <c r="B140" s="118"/>
      <c r="G140" s="561"/>
      <c r="H140" s="561"/>
      <c r="I140" s="561"/>
    </row>
    <row r="144" spans="1:9">
      <c r="B144" s="560" t="s">
        <v>1002</v>
      </c>
      <c r="C144" s="118" t="s">
        <v>636</v>
      </c>
    </row>
    <row r="146" spans="2:10">
      <c r="C146" s="124" t="s">
        <v>992</v>
      </c>
      <c r="G146" s="767">
        <v>3.0419999999999998</v>
      </c>
      <c r="H146" s="766">
        <v>2.2650000000000001</v>
      </c>
      <c r="J146" s="579" t="s">
        <v>630</v>
      </c>
    </row>
    <row r="147" spans="2:10">
      <c r="C147" s="702" t="s">
        <v>1012</v>
      </c>
      <c r="D147" s="702"/>
      <c r="E147" s="702"/>
      <c r="F147" s="115"/>
      <c r="G147" s="580">
        <f>1-I139</f>
        <v>0.99323712911368289</v>
      </c>
      <c r="H147" s="580">
        <f>G147</f>
        <v>0.99323712911368289</v>
      </c>
      <c r="I147" s="115"/>
      <c r="J147" s="115"/>
    </row>
    <row r="148" spans="2:10">
      <c r="C148" s="116" t="s">
        <v>636</v>
      </c>
      <c r="G148" s="581">
        <f>ROUND(G146/G147,2)</f>
        <v>3.06</v>
      </c>
      <c r="H148" s="581">
        <f>ROUND(H146/H147,2)</f>
        <v>2.2799999999999998</v>
      </c>
      <c r="J148" s="579" t="s">
        <v>630</v>
      </c>
    </row>
    <row r="151" spans="2:10">
      <c r="B151" s="560" t="s">
        <v>1013</v>
      </c>
      <c r="C151" s="118" t="s">
        <v>631</v>
      </c>
    </row>
    <row r="153" spans="2:10">
      <c r="C153" s="116" t="s">
        <v>636</v>
      </c>
      <c r="G153" s="582">
        <f>+G148</f>
        <v>3.06</v>
      </c>
      <c r="H153" s="683">
        <f>+H148</f>
        <v>2.2799999999999998</v>
      </c>
      <c r="J153" s="579" t="s">
        <v>630</v>
      </c>
    </row>
    <row r="154" spans="2:10">
      <c r="C154" s="115" t="s">
        <v>635</v>
      </c>
      <c r="D154" s="115"/>
      <c r="E154" s="115"/>
      <c r="F154" s="115" t="s">
        <v>88</v>
      </c>
      <c r="G154" s="583">
        <v>3650</v>
      </c>
      <c r="H154" s="583">
        <v>5110</v>
      </c>
      <c r="I154" s="115"/>
      <c r="J154" s="115" t="s">
        <v>634</v>
      </c>
    </row>
    <row r="155" spans="2:10">
      <c r="C155" s="116" t="s">
        <v>633</v>
      </c>
      <c r="G155" s="584">
        <f>ROUND(G153*G154,0)</f>
        <v>11169</v>
      </c>
      <c r="H155" s="584">
        <f>ROUND(H153*H154,0)</f>
        <v>11651</v>
      </c>
      <c r="I155" s="585">
        <f>+G155+H155</f>
        <v>22820</v>
      </c>
    </row>
    <row r="156" spans="2:10" ht="13.5" thickBot="1">
      <c r="C156" s="575" t="s">
        <v>632</v>
      </c>
      <c r="D156" s="575"/>
      <c r="E156" s="575"/>
      <c r="F156" s="575"/>
      <c r="G156" s="575"/>
      <c r="H156" s="575"/>
      <c r="I156" s="586">
        <f>+G154+H154</f>
        <v>8760</v>
      </c>
      <c r="J156" s="575"/>
    </row>
    <row r="157" spans="2:10">
      <c r="C157" s="116" t="s">
        <v>631</v>
      </c>
      <c r="I157" s="581">
        <f>ROUND(I155/I156,2)</f>
        <v>2.61</v>
      </c>
      <c r="J157" s="579" t="s">
        <v>630</v>
      </c>
    </row>
    <row r="160" spans="2:10">
      <c r="B160" s="116" t="s">
        <v>629</v>
      </c>
    </row>
    <row r="161" spans="1:8">
      <c r="B161" s="116" t="s">
        <v>628</v>
      </c>
    </row>
    <row r="165" spans="1:8">
      <c r="A165" s="560" t="s">
        <v>12</v>
      </c>
      <c r="B165" s="118" t="s">
        <v>627</v>
      </c>
    </row>
    <row r="167" spans="1:8">
      <c r="D167" s="561" t="s">
        <v>626</v>
      </c>
      <c r="E167" s="561"/>
      <c r="F167" s="561" t="s">
        <v>6</v>
      </c>
      <c r="G167" s="561"/>
      <c r="H167" s="561" t="s">
        <v>7</v>
      </c>
    </row>
    <row r="169" spans="1:8">
      <c r="C169" s="116" t="s">
        <v>333</v>
      </c>
      <c r="F169" s="768">
        <f>'Demand Basis'!B15-'Demand Basis'!E15</f>
        <v>2.6727874574374422E-2</v>
      </c>
      <c r="G169" s="768"/>
      <c r="H169" s="768">
        <f>'Energy Basis'!B15-'Energy Basis'!E15</f>
        <v>2.9975710815830725E-2</v>
      </c>
    </row>
    <row r="170" spans="1:8">
      <c r="F170" s="768"/>
      <c r="G170" s="768"/>
      <c r="H170" s="768"/>
    </row>
    <row r="171" spans="1:8">
      <c r="C171" s="116" t="s">
        <v>240</v>
      </c>
      <c r="F171" s="768">
        <f>'Demand Basis'!B15-'Demand Basis'!D15</f>
        <v>1.6655126952662025E-2</v>
      </c>
      <c r="G171" s="768"/>
      <c r="H171" s="768">
        <f>'Energy Basis'!B15-'Energy Basis'!D15</f>
        <v>2.1822165071200605E-2</v>
      </c>
    </row>
    <row r="172" spans="1:8">
      <c r="F172" s="768"/>
      <c r="G172" s="768"/>
      <c r="H172" s="768"/>
    </row>
    <row r="173" spans="1:8">
      <c r="F173" s="768"/>
      <c r="G173" s="768"/>
      <c r="H173" s="768"/>
    </row>
    <row r="174" spans="1:8">
      <c r="C174" s="116" t="s">
        <v>241</v>
      </c>
      <c r="F174" s="768">
        <f>'Demand Basis'!B15-'Demand Basis'!C15</f>
        <v>9.9968700501740226E-3</v>
      </c>
      <c r="G174" s="768"/>
      <c r="H174" s="563">
        <f>'Energy Basis'!B15-'Energy Basis'!C15</f>
        <v>1.3525741772634214E-2</v>
      </c>
    </row>
    <row r="175" spans="1:8">
      <c r="F175" s="564"/>
      <c r="G175" s="564"/>
      <c r="H175" s="564"/>
    </row>
    <row r="176" spans="1:8">
      <c r="C176" s="116" t="s">
        <v>625</v>
      </c>
      <c r="F176" s="587">
        <f>ROUND((1+F169)*(1+F171)*(1+F174)-1,3)</f>
        <v>5.3999999999999999E-2</v>
      </c>
      <c r="G176" s="578"/>
      <c r="H176" s="587">
        <f>ROUND((1+H169)*(1+H171)*(1+H174)-1,3)</f>
        <v>6.7000000000000004E-2</v>
      </c>
    </row>
    <row r="179" spans="1:8">
      <c r="B179" s="116" t="s">
        <v>624</v>
      </c>
    </row>
    <row r="182" spans="1:8">
      <c r="A182" s="560" t="s">
        <v>115</v>
      </c>
      <c r="B182" s="118" t="s">
        <v>623</v>
      </c>
      <c r="G182" s="561" t="s">
        <v>622</v>
      </c>
      <c r="H182" s="561" t="s">
        <v>621</v>
      </c>
    </row>
    <row r="184" spans="1:8">
      <c r="C184" s="116" t="s">
        <v>620</v>
      </c>
      <c r="H184" s="119">
        <f>'Carrying Charge'!J18/100</f>
        <v>0.10948521002141</v>
      </c>
    </row>
    <row r="185" spans="1:8">
      <c r="C185" s="115" t="s">
        <v>619</v>
      </c>
      <c r="D185" s="115"/>
      <c r="E185" s="115"/>
      <c r="F185" s="115"/>
      <c r="G185" s="115"/>
      <c r="H185" s="588">
        <f>+F354</f>
        <v>5.1651825866658972E-2</v>
      </c>
    </row>
    <row r="186" spans="1:8">
      <c r="C186" s="116" t="s">
        <v>618</v>
      </c>
      <c r="G186" s="560" t="s">
        <v>617</v>
      </c>
      <c r="H186" s="587">
        <f>+H184+H185</f>
        <v>0.16113703588806896</v>
      </c>
    </row>
    <row r="190" spans="1:8">
      <c r="A190" s="560" t="s">
        <v>12</v>
      </c>
      <c r="B190" s="118" t="s">
        <v>245</v>
      </c>
    </row>
    <row r="192" spans="1:8">
      <c r="C192" s="116" t="s">
        <v>616</v>
      </c>
      <c r="H192" s="589">
        <v>0.05</v>
      </c>
    </row>
    <row r="193" spans="1:8">
      <c r="C193" s="115" t="s">
        <v>615</v>
      </c>
      <c r="D193" s="115"/>
      <c r="E193" s="115"/>
      <c r="F193" s="115"/>
      <c r="G193" s="115"/>
      <c r="H193" s="590">
        <v>0.26</v>
      </c>
    </row>
    <row r="194" spans="1:8">
      <c r="C194" s="116" t="s">
        <v>614</v>
      </c>
      <c r="G194" s="560" t="s">
        <v>613</v>
      </c>
      <c r="H194" s="591">
        <f>+H192+H193</f>
        <v>0.31</v>
      </c>
    </row>
    <row r="195" spans="1:8">
      <c r="H195" s="592"/>
    </row>
    <row r="196" spans="1:8">
      <c r="C196" s="116" t="s">
        <v>612</v>
      </c>
      <c r="H196" s="589">
        <f>46%+10%</f>
        <v>0.56000000000000005</v>
      </c>
    </row>
    <row r="197" spans="1:8">
      <c r="C197" s="115" t="s">
        <v>611</v>
      </c>
      <c r="D197" s="115"/>
      <c r="E197" s="115"/>
      <c r="F197" s="115"/>
      <c r="G197" s="115"/>
      <c r="H197" s="590">
        <v>0.22</v>
      </c>
    </row>
    <row r="198" spans="1:8">
      <c r="C198" s="116" t="s">
        <v>610</v>
      </c>
      <c r="G198" s="560" t="s">
        <v>609</v>
      </c>
      <c r="H198" s="591">
        <f>+H196+H197</f>
        <v>0.78</v>
      </c>
    </row>
    <row r="199" spans="1:8">
      <c r="H199" s="592"/>
    </row>
    <row r="200" spans="1:8">
      <c r="H200" s="592"/>
    </row>
    <row r="201" spans="1:8">
      <c r="H201" s="592"/>
    </row>
    <row r="202" spans="1:8">
      <c r="A202" s="560" t="s">
        <v>18</v>
      </c>
      <c r="B202" s="118" t="s">
        <v>608</v>
      </c>
      <c r="H202" s="592"/>
    </row>
    <row r="203" spans="1:8">
      <c r="H203" s="592"/>
    </row>
    <row r="204" spans="1:8">
      <c r="C204" s="116" t="s">
        <v>607</v>
      </c>
      <c r="G204" s="560" t="s">
        <v>606</v>
      </c>
      <c r="H204" s="593">
        <v>0.23</v>
      </c>
    </row>
    <row r="208" spans="1:8">
      <c r="A208" s="560" t="s">
        <v>29</v>
      </c>
      <c r="B208" s="118" t="s">
        <v>605</v>
      </c>
    </row>
    <row r="210" spans="1:11">
      <c r="B210" s="116" t="s">
        <v>604</v>
      </c>
      <c r="D210" s="116" t="s">
        <v>603</v>
      </c>
    </row>
    <row r="211" spans="1:11">
      <c r="B211" s="116" t="s">
        <v>602</v>
      </c>
      <c r="D211" s="116" t="s">
        <v>601</v>
      </c>
    </row>
    <row r="215" spans="1:11">
      <c r="B215" s="116" t="s">
        <v>600</v>
      </c>
    </row>
    <row r="220" spans="1:11">
      <c r="B220" s="116" t="s">
        <v>599</v>
      </c>
      <c r="E220" s="578">
        <f>ROUND((1+H204)*((1+H194)+(1+H198)*0.5)*H186/12,4)</f>
        <v>3.6299999999999999E-2</v>
      </c>
      <c r="F220" s="116" t="s">
        <v>598</v>
      </c>
    </row>
    <row r="223" spans="1:11">
      <c r="A223" s="560" t="s">
        <v>79</v>
      </c>
      <c r="B223" s="118" t="s">
        <v>597</v>
      </c>
      <c r="H223" s="120" t="s">
        <v>596</v>
      </c>
      <c r="I223" s="120" t="s">
        <v>518</v>
      </c>
      <c r="J223" s="120"/>
      <c r="K223" s="120" t="s">
        <v>143</v>
      </c>
    </row>
    <row r="224" spans="1:11">
      <c r="H224" s="594" t="s">
        <v>595</v>
      </c>
      <c r="I224" s="594" t="s">
        <v>110</v>
      </c>
      <c r="J224" s="594"/>
      <c r="K224" s="594" t="s">
        <v>110</v>
      </c>
    </row>
    <row r="225" spans="2:11">
      <c r="H225" s="120"/>
      <c r="I225" s="567">
        <f>+E220</f>
        <v>3.6299999999999999E-2</v>
      </c>
      <c r="J225" s="120"/>
      <c r="K225" s="120"/>
    </row>
    <row r="226" spans="2:11">
      <c r="B226" s="118" t="s">
        <v>594</v>
      </c>
    </row>
    <row r="227" spans="2:11">
      <c r="C227" s="595" t="s">
        <v>589</v>
      </c>
    </row>
    <row r="228" spans="2:11">
      <c r="D228" s="116" t="s">
        <v>585</v>
      </c>
      <c r="H228" s="596">
        <v>391</v>
      </c>
      <c r="I228" s="565">
        <f>ROUND(H228*I$225,2)</f>
        <v>14.19</v>
      </c>
    </row>
    <row r="229" spans="2:11">
      <c r="D229" s="116" t="s">
        <v>584</v>
      </c>
      <c r="H229" s="596">
        <v>38</v>
      </c>
      <c r="I229" s="116">
        <f>ROUND(H229*I$225,2)</f>
        <v>1.38</v>
      </c>
    </row>
    <row r="230" spans="2:11">
      <c r="D230" s="116" t="s">
        <v>583</v>
      </c>
      <c r="H230" s="596">
        <v>391</v>
      </c>
      <c r="I230" s="116">
        <f>ROUND(H230*I$225,2)</f>
        <v>14.19</v>
      </c>
    </row>
    <row r="231" spans="2:11">
      <c r="D231" s="116" t="s">
        <v>588</v>
      </c>
      <c r="H231" s="596">
        <v>391</v>
      </c>
      <c r="I231" s="116">
        <f>ROUND(H231*I$225,2)</f>
        <v>14.19</v>
      </c>
    </row>
    <row r="232" spans="2:11">
      <c r="C232" s="115"/>
      <c r="D232" s="115" t="s">
        <v>587</v>
      </c>
      <c r="E232" s="115"/>
      <c r="F232" s="115"/>
      <c r="G232" s="115"/>
      <c r="H232" s="597">
        <v>38</v>
      </c>
      <c r="I232" s="115">
        <f>ROUND(H232*I$225,2)</f>
        <v>1.38</v>
      </c>
      <c r="J232" s="115"/>
      <c r="K232" s="115"/>
    </row>
    <row r="233" spans="2:11">
      <c r="C233" s="116" t="s">
        <v>9</v>
      </c>
      <c r="H233" s="117"/>
      <c r="I233" s="598">
        <f>SUM(I228:I232)</f>
        <v>45.33</v>
      </c>
      <c r="J233" s="116" t="s">
        <v>580</v>
      </c>
      <c r="K233" s="565">
        <f>ROUND(I233/5,2)</f>
        <v>9.07</v>
      </c>
    </row>
    <row r="234" spans="2:11">
      <c r="H234" s="117"/>
      <c r="J234" s="560" t="s">
        <v>199</v>
      </c>
      <c r="K234" s="577">
        <f>K235</f>
        <v>9.25</v>
      </c>
    </row>
    <row r="235" spans="2:11">
      <c r="H235" s="117"/>
      <c r="J235" s="116" t="s">
        <v>939</v>
      </c>
      <c r="K235" s="116">
        <v>9.25</v>
      </c>
    </row>
    <row r="236" spans="2:11">
      <c r="C236" s="595" t="s">
        <v>586</v>
      </c>
      <c r="H236" s="117"/>
    </row>
    <row r="237" spans="2:11">
      <c r="D237" s="116" t="s">
        <v>585</v>
      </c>
      <c r="H237" s="596">
        <v>391</v>
      </c>
      <c r="I237" s="565">
        <f>ROUND(H237*I$225,2)</f>
        <v>14.19</v>
      </c>
    </row>
    <row r="238" spans="2:11">
      <c r="D238" s="116" t="s">
        <v>584</v>
      </c>
      <c r="H238" s="596">
        <v>230</v>
      </c>
      <c r="I238" s="116">
        <f>ROUND(H238*I$225,2)</f>
        <v>8.35</v>
      </c>
    </row>
    <row r="239" spans="2:11">
      <c r="D239" s="116" t="s">
        <v>593</v>
      </c>
      <c r="H239" s="596">
        <v>391</v>
      </c>
      <c r="I239" s="116">
        <f>ROUND(H239*I$225,2)</f>
        <v>14.19</v>
      </c>
    </row>
    <row r="240" spans="2:11">
      <c r="D240" s="116" t="s">
        <v>592</v>
      </c>
      <c r="H240" s="596">
        <v>391</v>
      </c>
      <c r="I240" s="116">
        <f>ROUND(H240*I$225,2)</f>
        <v>14.19</v>
      </c>
    </row>
    <row r="241" spans="2:11">
      <c r="C241" s="115"/>
      <c r="D241" s="115" t="s">
        <v>591</v>
      </c>
      <c r="E241" s="115"/>
      <c r="F241" s="115"/>
      <c r="G241" s="115"/>
      <c r="H241" s="597">
        <v>230</v>
      </c>
      <c r="I241" s="115">
        <f>ROUND(H241*I$225,2)</f>
        <v>8.35</v>
      </c>
      <c r="J241" s="115"/>
      <c r="K241" s="115"/>
    </row>
    <row r="242" spans="2:11">
      <c r="C242" s="116" t="s">
        <v>9</v>
      </c>
      <c r="H242" s="117"/>
      <c r="I242" s="598">
        <f>SUM(I237:I241)</f>
        <v>59.269999999999996</v>
      </c>
      <c r="J242" s="116" t="s">
        <v>580</v>
      </c>
      <c r="K242" s="565">
        <f>ROUND(I242/5,2)</f>
        <v>11.85</v>
      </c>
    </row>
    <row r="243" spans="2:11">
      <c r="H243" s="117"/>
      <c r="J243" s="560" t="s">
        <v>199</v>
      </c>
      <c r="K243" s="577">
        <f>K244</f>
        <v>12.1</v>
      </c>
    </row>
    <row r="244" spans="2:11">
      <c r="H244" s="117"/>
      <c r="J244" s="116" t="s">
        <v>939</v>
      </c>
      <c r="K244" s="116">
        <v>12.1</v>
      </c>
    </row>
    <row r="245" spans="2:11">
      <c r="H245" s="117"/>
    </row>
    <row r="246" spans="2:11">
      <c r="B246" s="118" t="s">
        <v>590</v>
      </c>
      <c r="H246" s="117"/>
    </row>
    <row r="247" spans="2:11">
      <c r="C247" s="595" t="s">
        <v>589</v>
      </c>
      <c r="H247" s="117"/>
    </row>
    <row r="248" spans="2:11">
      <c r="D248" s="116" t="s">
        <v>585</v>
      </c>
      <c r="H248" s="596">
        <v>400</v>
      </c>
      <c r="I248" s="565">
        <f>ROUND(H248*I$225,2)</f>
        <v>14.52</v>
      </c>
    </row>
    <row r="249" spans="2:11">
      <c r="D249" s="116" t="s">
        <v>584</v>
      </c>
      <c r="H249" s="596">
        <v>96</v>
      </c>
      <c r="I249" s="116">
        <f>ROUND(H249*I$225,2)</f>
        <v>3.48</v>
      </c>
    </row>
    <row r="250" spans="2:11">
      <c r="D250" s="116" t="s">
        <v>583</v>
      </c>
      <c r="H250" s="596">
        <v>400</v>
      </c>
      <c r="I250" s="116">
        <f>ROUND(H250*I$225,2)</f>
        <v>14.52</v>
      </c>
    </row>
    <row r="251" spans="2:11">
      <c r="D251" s="116" t="s">
        <v>588</v>
      </c>
      <c r="H251" s="596">
        <v>400</v>
      </c>
      <c r="I251" s="116">
        <f>ROUND(H251*I$225,2)</f>
        <v>14.52</v>
      </c>
    </row>
    <row r="252" spans="2:11">
      <c r="C252" s="115"/>
      <c r="D252" s="115" t="s">
        <v>587</v>
      </c>
      <c r="E252" s="115"/>
      <c r="F252" s="115"/>
      <c r="G252" s="115"/>
      <c r="H252" s="597">
        <v>38</v>
      </c>
      <c r="I252" s="115">
        <f>ROUND(H252*I$225,2)</f>
        <v>1.38</v>
      </c>
      <c r="J252" s="115"/>
      <c r="K252" s="115"/>
    </row>
    <row r="253" spans="2:11">
      <c r="C253" s="116" t="s">
        <v>9</v>
      </c>
      <c r="H253" s="117"/>
      <c r="I253" s="598">
        <f>SUM(I248:I252)</f>
        <v>48.419999999999995</v>
      </c>
      <c r="J253" s="116" t="s">
        <v>580</v>
      </c>
      <c r="K253" s="565">
        <f>ROUND(I253/5,2)</f>
        <v>9.68</v>
      </c>
    </row>
    <row r="254" spans="2:11">
      <c r="H254" s="117"/>
      <c r="J254" s="560" t="s">
        <v>199</v>
      </c>
      <c r="K254" s="577">
        <f>K255</f>
        <v>9.85</v>
      </c>
    </row>
    <row r="255" spans="2:11">
      <c r="H255" s="117"/>
      <c r="J255" s="116" t="s">
        <v>95</v>
      </c>
      <c r="K255" s="116">
        <v>9.85</v>
      </c>
    </row>
    <row r="256" spans="2:11">
      <c r="C256" s="595" t="s">
        <v>586</v>
      </c>
      <c r="H256" s="117"/>
    </row>
    <row r="257" spans="3:11">
      <c r="D257" s="116" t="s">
        <v>585</v>
      </c>
      <c r="H257" s="599">
        <v>400</v>
      </c>
      <c r="I257" s="565">
        <f>ROUND(H257*I$225,2)</f>
        <v>14.52</v>
      </c>
    </row>
    <row r="258" spans="3:11">
      <c r="D258" s="116" t="s">
        <v>584</v>
      </c>
      <c r="H258" s="599">
        <v>239</v>
      </c>
      <c r="I258" s="116">
        <f>ROUND(H258*I$225,2)</f>
        <v>8.68</v>
      </c>
    </row>
    <row r="259" spans="3:11">
      <c r="D259" s="116" t="s">
        <v>583</v>
      </c>
      <c r="H259" s="599">
        <v>400</v>
      </c>
      <c r="I259" s="116">
        <f>ROUND(H259*I$225,2)</f>
        <v>14.52</v>
      </c>
    </row>
    <row r="260" spans="3:11">
      <c r="D260" s="116" t="s">
        <v>582</v>
      </c>
      <c r="H260" s="599">
        <v>400</v>
      </c>
      <c r="I260" s="116">
        <f>ROUND(H260*I$225,2)</f>
        <v>14.52</v>
      </c>
    </row>
    <row r="261" spans="3:11">
      <c r="C261" s="115"/>
      <c r="D261" s="115" t="s">
        <v>581</v>
      </c>
      <c r="E261" s="115"/>
      <c r="F261" s="115"/>
      <c r="G261" s="115"/>
      <c r="H261" s="597">
        <v>239</v>
      </c>
      <c r="I261" s="115">
        <f>ROUND(H261*I$225,2)</f>
        <v>8.68</v>
      </c>
      <c r="J261" s="115"/>
      <c r="K261" s="115"/>
    </row>
    <row r="262" spans="3:11">
      <c r="C262" s="116" t="s">
        <v>9</v>
      </c>
      <c r="I262" s="598">
        <f>SUM(I257:I261)</f>
        <v>60.919999999999995</v>
      </c>
      <c r="J262" s="116" t="s">
        <v>580</v>
      </c>
      <c r="K262" s="565">
        <f>ROUND(I262/5,2)</f>
        <v>12.18</v>
      </c>
    </row>
    <row r="263" spans="3:11">
      <c r="J263" s="560" t="s">
        <v>199</v>
      </c>
      <c r="K263" s="577">
        <f>K264</f>
        <v>12.4</v>
      </c>
    </row>
    <row r="264" spans="3:11">
      <c r="J264" s="116" t="s">
        <v>1005</v>
      </c>
      <c r="K264" s="116">
        <v>12.4</v>
      </c>
    </row>
    <row r="306" spans="1:8">
      <c r="A306" s="560" t="s">
        <v>115</v>
      </c>
      <c r="B306" s="118" t="s">
        <v>579</v>
      </c>
    </row>
    <row r="307" spans="1:8">
      <c r="D307" s="120"/>
      <c r="E307" s="120"/>
      <c r="F307" s="120"/>
      <c r="G307" s="120"/>
      <c r="H307" s="120" t="s">
        <v>578</v>
      </c>
    </row>
    <row r="308" spans="1:8">
      <c r="D308" s="120"/>
      <c r="E308" s="120"/>
      <c r="F308" s="120"/>
      <c r="G308" s="120"/>
      <c r="H308" s="120" t="s">
        <v>577</v>
      </c>
    </row>
    <row r="309" spans="1:8">
      <c r="D309" s="594" t="s">
        <v>576</v>
      </c>
      <c r="E309" s="594"/>
      <c r="F309" s="594" t="s">
        <v>136</v>
      </c>
      <c r="G309" s="594"/>
      <c r="H309" s="594" t="s">
        <v>575</v>
      </c>
    </row>
    <row r="311" spans="1:8">
      <c r="D311" s="600"/>
      <c r="E311" s="601"/>
      <c r="F311" s="602"/>
      <c r="G311" s="120"/>
      <c r="H311" s="603"/>
    </row>
    <row r="312" spans="1:8">
      <c r="D312" s="604"/>
      <c r="E312" s="601"/>
      <c r="F312" s="602"/>
      <c r="G312" s="120"/>
      <c r="H312" s="603"/>
    </row>
    <row r="313" spans="1:8">
      <c r="D313" s="604"/>
      <c r="E313" s="601"/>
      <c r="F313" s="602"/>
      <c r="G313" s="120"/>
      <c r="H313" s="603"/>
    </row>
    <row r="314" spans="1:8">
      <c r="D314" s="604">
        <v>2020</v>
      </c>
      <c r="E314" s="601"/>
      <c r="F314" s="606">
        <v>2.0046066603851755E-2</v>
      </c>
      <c r="G314" s="120"/>
      <c r="H314" s="603">
        <v>1.1010926691146958</v>
      </c>
    </row>
    <row r="315" spans="1:8">
      <c r="D315" s="604">
        <f t="shared" ref="D312:D335" si="0">+D314+1</f>
        <v>2021</v>
      </c>
      <c r="E315" s="601"/>
      <c r="F315" s="606">
        <v>2.0046066603851755E-2</v>
      </c>
      <c r="G315" s="120"/>
      <c r="H315" s="603">
        <f t="shared" ref="H312:H335" si="1">H314*(1+F315)</f>
        <v>1.123165246096782</v>
      </c>
    </row>
    <row r="316" spans="1:8">
      <c r="D316" s="605">
        <f t="shared" si="0"/>
        <v>2022</v>
      </c>
      <c r="E316" s="120"/>
      <c r="F316" s="606">
        <v>2.0046066603851755E-2</v>
      </c>
      <c r="G316" s="120"/>
      <c r="H316" s="603">
        <f t="shared" si="1"/>
        <v>1.1456802914271698</v>
      </c>
    </row>
    <row r="317" spans="1:8">
      <c r="D317" s="605">
        <f t="shared" si="0"/>
        <v>2023</v>
      </c>
      <c r="E317" s="120"/>
      <c r="F317" s="606">
        <v>2.0046066603851755E-2</v>
      </c>
      <c r="G317" s="120"/>
      <c r="H317" s="603">
        <f t="shared" si="1"/>
        <v>1.1686466748558391</v>
      </c>
    </row>
    <row r="318" spans="1:8">
      <c r="D318" s="605">
        <f t="shared" si="0"/>
        <v>2024</v>
      </c>
      <c r="E318" s="120"/>
      <c r="F318" s="606">
        <v>2.0046066603851755E-2</v>
      </c>
      <c r="G318" s="120"/>
      <c r="H318" s="603">
        <f t="shared" si="1"/>
        <v>1.1920734439363692</v>
      </c>
    </row>
    <row r="319" spans="1:8">
      <c r="D319" s="605">
        <f t="shared" si="0"/>
        <v>2025</v>
      </c>
      <c r="E319" s="120"/>
      <c r="F319" s="606">
        <v>2.0046066603851755E-2</v>
      </c>
      <c r="G319" s="120"/>
      <c r="H319" s="603">
        <f t="shared" si="1"/>
        <v>1.2159698275902007</v>
      </c>
    </row>
    <row r="320" spans="1:8">
      <c r="D320" s="605">
        <f t="shared" si="0"/>
        <v>2026</v>
      </c>
      <c r="E320" s="120"/>
      <c r="F320" s="606">
        <v>2.0046066603851755E-2</v>
      </c>
      <c r="G320" s="120"/>
      <c r="H320" s="603">
        <f t="shared" si="1"/>
        <v>1.240345239742348</v>
      </c>
    </row>
    <row r="321" spans="4:8">
      <c r="D321" s="605">
        <f t="shared" si="0"/>
        <v>2027</v>
      </c>
      <c r="E321" s="120"/>
      <c r="F321" s="606">
        <v>2.0091255193746702E-2</v>
      </c>
      <c r="G321" s="120"/>
      <c r="H321" s="603">
        <f t="shared" si="1"/>
        <v>1.2652653324823604</v>
      </c>
    </row>
    <row r="322" spans="4:8">
      <c r="D322" s="605">
        <f t="shared" si="0"/>
        <v>2028</v>
      </c>
      <c r="E322" s="120"/>
      <c r="F322" s="606">
        <v>2.0322859225751902E-2</v>
      </c>
      <c r="G322" s="120"/>
      <c r="H322" s="603">
        <f t="shared" si="1"/>
        <v>1.2909791417176235</v>
      </c>
    </row>
    <row r="323" spans="4:8">
      <c r="D323" s="605">
        <f>+D322+1</f>
        <v>2029</v>
      </c>
      <c r="E323" s="120"/>
      <c r="F323" s="606">
        <v>2.0491088355354476E-2</v>
      </c>
      <c r="G323" s="120"/>
      <c r="H323" s="603">
        <f t="shared" si="1"/>
        <v>1.317432709375479</v>
      </c>
    </row>
    <row r="324" spans="4:8">
      <c r="D324" s="605">
        <f t="shared" si="0"/>
        <v>2030</v>
      </c>
      <c r="E324" s="120"/>
      <c r="F324" s="606">
        <v>2.0215214500519593E-2</v>
      </c>
      <c r="G324" s="120"/>
      <c r="H324" s="603">
        <f t="shared" si="1"/>
        <v>1.3440648941855051</v>
      </c>
    </row>
    <row r="325" spans="4:8">
      <c r="D325" s="605">
        <f t="shared" si="0"/>
        <v>2031</v>
      </c>
      <c r="E325" s="120"/>
      <c r="F325" s="607">
        <f>+F324</f>
        <v>2.0215214500519593E-2</v>
      </c>
      <c r="G325" s="120"/>
      <c r="H325" s="603">
        <f t="shared" si="1"/>
        <v>1.3712354543240834</v>
      </c>
    </row>
    <row r="326" spans="4:8">
      <c r="D326" s="605">
        <f t="shared" si="0"/>
        <v>2032</v>
      </c>
      <c r="E326" s="120"/>
      <c r="F326" s="607">
        <f t="shared" ref="F326:F335" si="2">+F325</f>
        <v>2.0215214500519593E-2</v>
      </c>
      <c r="G326" s="120"/>
      <c r="H326" s="603">
        <f t="shared" si="1"/>
        <v>1.3989552731639623</v>
      </c>
    </row>
    <row r="327" spans="4:8">
      <c r="D327" s="605">
        <f t="shared" si="0"/>
        <v>2033</v>
      </c>
      <c r="E327" s="120"/>
      <c r="F327" s="607">
        <f t="shared" si="2"/>
        <v>2.0215214500519593E-2</v>
      </c>
      <c r="G327" s="120"/>
      <c r="H327" s="603">
        <f t="shared" si="1"/>
        <v>1.4272354540876049</v>
      </c>
    </row>
    <row r="328" spans="4:8">
      <c r="D328" s="605">
        <f t="shared" si="0"/>
        <v>2034</v>
      </c>
      <c r="E328" s="120"/>
      <c r="F328" s="607">
        <f t="shared" si="2"/>
        <v>2.0215214500519593E-2</v>
      </c>
      <c r="G328" s="120"/>
      <c r="H328" s="603">
        <f t="shared" si="1"/>
        <v>1.4560873249347324</v>
      </c>
    </row>
    <row r="329" spans="4:8">
      <c r="D329" s="605">
        <f t="shared" si="0"/>
        <v>2035</v>
      </c>
      <c r="E329" s="120"/>
      <c r="F329" s="607">
        <f>+F328</f>
        <v>2.0215214500519593E-2</v>
      </c>
      <c r="G329" s="120"/>
      <c r="H329" s="603">
        <f t="shared" si="1"/>
        <v>1.4855224425397759</v>
      </c>
    </row>
    <row r="330" spans="4:8">
      <c r="D330" s="605">
        <f t="shared" si="0"/>
        <v>2036</v>
      </c>
      <c r="E330" s="120"/>
      <c r="F330" s="607">
        <f t="shared" si="2"/>
        <v>2.0215214500519593E-2</v>
      </c>
      <c r="G330" s="120"/>
      <c r="H330" s="603">
        <f t="shared" si="1"/>
        <v>1.5155525973610533</v>
      </c>
    </row>
    <row r="331" spans="4:8">
      <c r="D331" s="605">
        <f t="shared" si="0"/>
        <v>2037</v>
      </c>
      <c r="F331" s="607">
        <f t="shared" si="2"/>
        <v>2.0215214500519593E-2</v>
      </c>
      <c r="H331" s="603">
        <f t="shared" si="1"/>
        <v>1.5461898182035267</v>
      </c>
    </row>
    <row r="332" spans="4:8">
      <c r="D332" s="605">
        <f t="shared" si="0"/>
        <v>2038</v>
      </c>
      <c r="F332" s="607">
        <f t="shared" si="2"/>
        <v>2.0215214500519593E-2</v>
      </c>
      <c r="H332" s="603">
        <f t="shared" si="1"/>
        <v>1.5774463770370306</v>
      </c>
    </row>
    <row r="333" spans="4:8">
      <c r="D333" s="605">
        <f t="shared" si="0"/>
        <v>2039</v>
      </c>
      <c r="F333" s="607">
        <f t="shared" si="2"/>
        <v>2.0215214500519593E-2</v>
      </c>
      <c r="H333" s="603">
        <f t="shared" si="1"/>
        <v>1.6093347939119018</v>
      </c>
    </row>
    <row r="334" spans="4:8">
      <c r="D334" s="605">
        <f t="shared" si="0"/>
        <v>2040</v>
      </c>
      <c r="F334" s="607">
        <f t="shared" si="2"/>
        <v>2.0215214500519593E-2</v>
      </c>
      <c r="H334" s="603">
        <f t="shared" si="1"/>
        <v>1.6418678419739805</v>
      </c>
    </row>
    <row r="335" spans="4:8">
      <c r="D335" s="605">
        <f t="shared" si="0"/>
        <v>2041</v>
      </c>
      <c r="F335" s="607">
        <f t="shared" si="2"/>
        <v>2.0215214500519593E-2</v>
      </c>
      <c r="H335" s="603">
        <f>H334*(1+F335)</f>
        <v>1.6750585525809898</v>
      </c>
    </row>
    <row r="336" spans="4:8">
      <c r="D336" s="605"/>
    </row>
    <row r="338" spans="1:7">
      <c r="D338" s="116" t="s">
        <v>574</v>
      </c>
      <c r="F338" s="608" t="str">
        <f>FIXED(D311,0,1)&amp;" to "&amp;FIXED(D335,0,1)&amp;" ="</f>
        <v>0 to 2041 =</v>
      </c>
      <c r="G338" s="609">
        <f>+H335</f>
        <v>1.6750585525809898</v>
      </c>
    </row>
    <row r="340" spans="1:7">
      <c r="D340" s="116" t="s">
        <v>573</v>
      </c>
      <c r="G340" s="116">
        <f>COUNT(D314:D335)</f>
        <v>22</v>
      </c>
    </row>
    <row r="342" spans="1:7">
      <c r="D342" s="116" t="s">
        <v>1051</v>
      </c>
      <c r="G342" s="587">
        <f>ROUND(G338^(1/G340)-1,3)</f>
        <v>2.4E-2</v>
      </c>
    </row>
    <row r="348" spans="1:7">
      <c r="A348" s="560" t="s">
        <v>12</v>
      </c>
      <c r="B348" s="118" t="s">
        <v>838</v>
      </c>
    </row>
    <row r="350" spans="1:7">
      <c r="D350" s="116" t="s">
        <v>572</v>
      </c>
      <c r="F350" s="799">
        <v>1259918</v>
      </c>
    </row>
    <row r="351" spans="1:7">
      <c r="D351" s="115" t="s">
        <v>571</v>
      </c>
      <c r="E351" s="115"/>
      <c r="F351" s="800">
        <v>41581</v>
      </c>
    </row>
    <row r="352" spans="1:7">
      <c r="D352" s="116" t="s">
        <v>570</v>
      </c>
      <c r="F352" s="801">
        <f>SUM(F350:F351)</f>
        <v>1301499</v>
      </c>
    </row>
    <row r="353" spans="4:6" ht="13.5" thickBot="1">
      <c r="D353" s="575" t="s">
        <v>569</v>
      </c>
      <c r="E353" s="575"/>
      <c r="F353" s="802">
        <v>25197541</v>
      </c>
    </row>
    <row r="354" spans="4:6">
      <c r="D354" s="116" t="s">
        <v>568</v>
      </c>
      <c r="F354" s="610">
        <f>F352/F353</f>
        <v>5.1651825866658972E-2</v>
      </c>
    </row>
  </sheetData>
  <printOptions horizontalCentered="1"/>
  <pageMargins left="0.75" right="0.75" top="1" bottom="0.5" header="0.5" footer="0.5"/>
  <pageSetup scale="60" fitToHeight="3" orientation="portrait" r:id="rId1"/>
  <headerFooter alignWithMargins="0">
    <oddHeader>&amp;L&amp;F
Page &amp;P of &amp;N&amp;CKentucky Power Company
Cogen Rate Design
Twelve Months Ended September 30, 2014</oddHeader>
  </headerFooter>
  <rowBreaks count="8" manualBreakCount="8">
    <brk id="35" max="16383" man="1"/>
    <brk id="106" max="16383" man="1"/>
    <brk id="127" max="16383" man="1"/>
    <brk id="129" max="16383" man="1"/>
    <brk id="179" max="16383" man="1"/>
    <brk id="220" max="16383" man="1"/>
    <brk id="263" max="16383" man="1"/>
    <brk id="305" max="16383" man="1"/>
  </rowBreaks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1</xdr:col>
                <xdr:colOff>47625</xdr:colOff>
                <xdr:row>27</xdr:row>
                <xdr:rowOff>9525</xdr:rowOff>
              </from>
              <to>
                <xdr:col>4</xdr:col>
                <xdr:colOff>257175</xdr:colOff>
                <xdr:row>31</xdr:row>
                <xdr:rowOff>57150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1</xdr:col>
                <xdr:colOff>47625</xdr:colOff>
                <xdr:row>36</xdr:row>
                <xdr:rowOff>142875</xdr:rowOff>
              </from>
              <to>
                <xdr:col>5</xdr:col>
                <xdr:colOff>695325</xdr:colOff>
                <xdr:row>41</xdr:row>
                <xdr:rowOff>114300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1</xdr:col>
                <xdr:colOff>28575</xdr:colOff>
                <xdr:row>43</xdr:row>
                <xdr:rowOff>57150</xdr:rowOff>
              </from>
              <to>
                <xdr:col>3</xdr:col>
                <xdr:colOff>285750</xdr:colOff>
                <xdr:row>45</xdr:row>
                <xdr:rowOff>114300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1</xdr:col>
                <xdr:colOff>28575</xdr:colOff>
                <xdr:row>46</xdr:row>
                <xdr:rowOff>66675</xdr:rowOff>
              </from>
              <to>
                <xdr:col>3</xdr:col>
                <xdr:colOff>466725</xdr:colOff>
                <xdr:row>49</xdr:row>
                <xdr:rowOff>28575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1</xdr:col>
                <xdr:colOff>38100</xdr:colOff>
                <xdr:row>50</xdr:row>
                <xdr:rowOff>38100</xdr:rowOff>
              </from>
              <to>
                <xdr:col>3</xdr:col>
                <xdr:colOff>152400</xdr:colOff>
                <xdr:row>52</xdr:row>
                <xdr:rowOff>9525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38100</xdr:colOff>
                <xdr:row>53</xdr:row>
                <xdr:rowOff>9525</xdr:rowOff>
              </from>
              <to>
                <xdr:col>3</xdr:col>
                <xdr:colOff>238125</xdr:colOff>
                <xdr:row>55</xdr:row>
                <xdr:rowOff>114300</xdr:rowOff>
              </to>
            </anchor>
          </objectPr>
        </oleObject>
      </mc:Choice>
      <mc:Fallback>
        <oleObject progId="Equation.3" shapeId="1030" r:id="rId14"/>
      </mc:Fallback>
    </mc:AlternateContent>
    <mc:AlternateContent xmlns:mc="http://schemas.openxmlformats.org/markup-compatibility/2006">
      <mc:Choice Requires="x14">
        <oleObject progId="Equation.3" shapeId="1031" r:id="rId16">
          <objectPr defaultSize="0" autoPict="0" r:id="rId17">
            <anchor moveWithCells="1">
              <from>
                <xdr:col>1</xdr:col>
                <xdr:colOff>38100</xdr:colOff>
                <xdr:row>56</xdr:row>
                <xdr:rowOff>152400</xdr:rowOff>
              </from>
              <to>
                <xdr:col>3</xdr:col>
                <xdr:colOff>295275</xdr:colOff>
                <xdr:row>58</xdr:row>
                <xdr:rowOff>95250</xdr:rowOff>
              </to>
            </anchor>
          </objectPr>
        </oleObject>
      </mc:Choice>
      <mc:Fallback>
        <oleObject progId="Equation.3" shapeId="1031" r:id="rId16"/>
      </mc:Fallback>
    </mc:AlternateContent>
    <mc:AlternateContent xmlns:mc="http://schemas.openxmlformats.org/markup-compatibility/2006">
      <mc:Choice Requires="x14">
        <oleObject progId="Equation.3" shapeId="1032" r:id="rId18">
          <objectPr defaultSize="0" autoPict="0" r:id="rId19">
            <anchor moveWithCells="1">
              <from>
                <xdr:col>1</xdr:col>
                <xdr:colOff>38100</xdr:colOff>
                <xdr:row>59</xdr:row>
                <xdr:rowOff>123825</xdr:rowOff>
              </from>
              <to>
                <xdr:col>2</xdr:col>
                <xdr:colOff>38100</xdr:colOff>
                <xdr:row>62</xdr:row>
                <xdr:rowOff>28575</xdr:rowOff>
              </to>
            </anchor>
          </objectPr>
        </oleObject>
      </mc:Choice>
      <mc:Fallback>
        <oleObject progId="Equation.3" shapeId="1032" r:id="rId18"/>
      </mc:Fallback>
    </mc:AlternateContent>
    <mc:AlternateContent xmlns:mc="http://schemas.openxmlformats.org/markup-compatibility/2006">
      <mc:Choice Requires="x14">
        <oleObject progId="Equation.3" shapeId="1034" r:id="rId20">
          <objectPr defaultSize="0" autoPict="0" r:id="rId21">
            <anchor moveWithCells="1">
              <from>
                <xdr:col>1</xdr:col>
                <xdr:colOff>47625</xdr:colOff>
                <xdr:row>213</xdr:row>
                <xdr:rowOff>95250</xdr:rowOff>
              </from>
              <to>
                <xdr:col>6</xdr:col>
                <xdr:colOff>542925</xdr:colOff>
                <xdr:row>216</xdr:row>
                <xdr:rowOff>66675</xdr:rowOff>
              </to>
            </anchor>
          </objectPr>
        </oleObject>
      </mc:Choice>
      <mc:Fallback>
        <oleObject progId="Equation.3" shapeId="1034" r:id="rId20"/>
      </mc:Fallback>
    </mc:AlternateContent>
    <mc:AlternateContent xmlns:mc="http://schemas.openxmlformats.org/markup-compatibility/2006">
      <mc:Choice Requires="x14">
        <oleObject progId="Equation.3" shapeId="1035" r:id="rId22">
          <objectPr defaultSize="0" autoPict="0" r:id="rId23">
            <anchor moveWithCells="1">
              <from>
                <xdr:col>1</xdr:col>
                <xdr:colOff>180975</xdr:colOff>
                <xdr:row>72</xdr:row>
                <xdr:rowOff>133350</xdr:rowOff>
              </from>
              <to>
                <xdr:col>5</xdr:col>
                <xdr:colOff>1209675</xdr:colOff>
                <xdr:row>79</xdr:row>
                <xdr:rowOff>19050</xdr:rowOff>
              </to>
            </anchor>
          </objectPr>
        </oleObject>
      </mc:Choice>
      <mc:Fallback>
        <oleObject progId="Equation.3" shapeId="1035" r:id="rId22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zoomScale="87" zoomScaleNormal="87" workbookViewId="0">
      <selection activeCell="Q28" sqref="Q28"/>
    </sheetView>
  </sheetViews>
  <sheetFormatPr defaultColWidth="9" defaultRowHeight="15"/>
  <cols>
    <col min="1" max="1" width="19.875" style="121" customWidth="1"/>
    <col min="2" max="2" width="8.125" style="121" customWidth="1"/>
    <col min="3" max="3" width="7.375" style="121" customWidth="1"/>
    <col min="4" max="4" width="6.625" style="121" customWidth="1"/>
    <col min="5" max="5" width="7.125" style="121" customWidth="1"/>
    <col min="6" max="8" width="6.625" style="121" customWidth="1"/>
    <col min="9" max="9" width="8.25" style="121" customWidth="1"/>
    <col min="10" max="10" width="7.875" style="121" customWidth="1"/>
    <col min="11" max="11" width="8.25" style="121" customWidth="1"/>
    <col min="12" max="13" width="7.875" style="121" customWidth="1"/>
    <col min="14" max="16384" width="9" style="121"/>
  </cols>
  <sheetData>
    <row r="1" spans="1:13">
      <c r="G1" s="208" t="s">
        <v>736</v>
      </c>
    </row>
    <row r="2" spans="1:13">
      <c r="G2" s="208" t="s">
        <v>735</v>
      </c>
    </row>
    <row r="3" spans="1:13">
      <c r="G3" s="208" t="s">
        <v>734</v>
      </c>
    </row>
    <row r="4" spans="1:13">
      <c r="F4" s="611"/>
      <c r="G4" s="612"/>
      <c r="I4" s="123"/>
    </row>
    <row r="7" spans="1:13">
      <c r="B7" s="613"/>
      <c r="C7" s="613"/>
      <c r="D7" s="613"/>
      <c r="E7" s="613"/>
      <c r="F7" s="613"/>
      <c r="G7" s="614" t="s">
        <v>733</v>
      </c>
      <c r="H7" s="613"/>
      <c r="I7" s="613"/>
      <c r="J7" s="613"/>
      <c r="K7" s="613"/>
      <c r="L7" s="613"/>
      <c r="M7" s="613"/>
    </row>
    <row r="9" spans="1:13">
      <c r="B9" s="615">
        <v>2</v>
      </c>
      <c r="C9" s="615">
        <v>3</v>
      </c>
      <c r="D9" s="615">
        <v>4</v>
      </c>
      <c r="E9" s="615">
        <v>5</v>
      </c>
      <c r="F9" s="615">
        <v>10</v>
      </c>
      <c r="G9" s="615">
        <v>15</v>
      </c>
      <c r="H9" s="615">
        <v>20</v>
      </c>
      <c r="I9" s="615">
        <v>25</v>
      </c>
      <c r="J9" s="615">
        <v>30</v>
      </c>
      <c r="K9" s="615">
        <v>33</v>
      </c>
      <c r="L9" s="615">
        <v>40</v>
      </c>
      <c r="M9" s="615">
        <v>50</v>
      </c>
    </row>
    <row r="10" spans="1:13">
      <c r="A10" s="121" t="s">
        <v>732</v>
      </c>
      <c r="B10" s="616">
        <v>7.07</v>
      </c>
      <c r="C10" s="616">
        <v>7.07</v>
      </c>
      <c r="D10" s="616">
        <v>7.07</v>
      </c>
      <c r="E10" s="616">
        <v>7.07</v>
      </c>
      <c r="F10" s="616">
        <v>7.07</v>
      </c>
      <c r="G10" s="616">
        <v>7.07</v>
      </c>
      <c r="H10" s="616">
        <v>7.07</v>
      </c>
      <c r="I10" s="616">
        <v>7.07</v>
      </c>
      <c r="J10" s="616">
        <v>7.07</v>
      </c>
      <c r="K10" s="616">
        <v>7.07</v>
      </c>
      <c r="L10" s="616">
        <v>7.07</v>
      </c>
      <c r="M10" s="616">
        <v>7.07</v>
      </c>
    </row>
    <row r="11" spans="1:13"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6"/>
      <c r="M11" s="616"/>
    </row>
    <row r="12" spans="1:13">
      <c r="A12" s="121" t="s">
        <v>731</v>
      </c>
      <c r="B12" s="616">
        <v>49.039482235713457</v>
      </c>
      <c r="C12" s="616">
        <v>31.908141054678456</v>
      </c>
      <c r="D12" s="616">
        <v>23.324663926645481</v>
      </c>
      <c r="E12" s="616">
        <v>18.187745976942836</v>
      </c>
      <c r="F12" s="616">
        <v>8.0362103286162423</v>
      </c>
      <c r="G12" s="616">
        <v>4.7782465769760494</v>
      </c>
      <c r="H12" s="616">
        <v>3.2293467736443549</v>
      </c>
      <c r="I12" s="616">
        <v>2.3532647259040691</v>
      </c>
      <c r="J12" s="616">
        <v>1.8055275731288327</v>
      </c>
      <c r="K12" s="616">
        <v>1.5697392096074316</v>
      </c>
      <c r="L12" s="616">
        <v>1.1825906281929848</v>
      </c>
      <c r="M12" s="616">
        <v>0.8545166647474508</v>
      </c>
    </row>
    <row r="13" spans="1:13">
      <c r="B13" s="616"/>
      <c r="C13" s="616"/>
      <c r="D13" s="616"/>
      <c r="E13" s="616"/>
      <c r="F13" s="616"/>
      <c r="G13" s="616"/>
      <c r="H13" s="616"/>
      <c r="I13" s="616"/>
      <c r="J13" s="616"/>
      <c r="K13" s="616"/>
      <c r="L13" s="616"/>
      <c r="M13" s="616"/>
    </row>
    <row r="14" spans="1:13">
      <c r="A14" s="121" t="s">
        <v>730</v>
      </c>
      <c r="B14" s="616">
        <v>1.0647021352740726</v>
      </c>
      <c r="C14" s="616">
        <v>0.76612131492009583</v>
      </c>
      <c r="D14" s="616">
        <v>0.81870460509426957</v>
      </c>
      <c r="E14" s="616">
        <v>0.68097195696057944</v>
      </c>
      <c r="F14" s="616">
        <v>0.64282223007694195</v>
      </c>
      <c r="G14" s="616">
        <v>0.77427207546116505</v>
      </c>
      <c r="H14" s="616">
        <v>0.8012730997429226</v>
      </c>
      <c r="I14" s="616">
        <v>0.69334215098117669</v>
      </c>
      <c r="J14" s="616">
        <v>0.62299342901216659</v>
      </c>
      <c r="K14" s="616">
        <v>0.59159943191406017</v>
      </c>
      <c r="L14" s="616">
        <v>0.53778620547173417</v>
      </c>
      <c r="M14" s="616">
        <v>0.4886813004491169</v>
      </c>
    </row>
    <row r="15" spans="1:13">
      <c r="B15" s="616"/>
      <c r="C15" s="616"/>
      <c r="D15" s="616"/>
      <c r="E15" s="616"/>
      <c r="F15" s="616"/>
      <c r="G15" s="616"/>
      <c r="H15" s="616"/>
      <c r="I15" s="616"/>
      <c r="J15" s="616"/>
      <c r="K15" s="616"/>
      <c r="L15" s="616"/>
      <c r="M15" s="616"/>
    </row>
    <row r="16" spans="1:13" ht="45">
      <c r="A16" s="617" t="s">
        <v>729</v>
      </c>
      <c r="B16" s="618">
        <v>1.45</v>
      </c>
      <c r="C16" s="618">
        <v>1.45</v>
      </c>
      <c r="D16" s="618">
        <v>1.45</v>
      </c>
      <c r="E16" s="618">
        <v>1.45</v>
      </c>
      <c r="F16" s="618">
        <v>1.45</v>
      </c>
      <c r="G16" s="618">
        <v>1.45</v>
      </c>
      <c r="H16" s="618">
        <v>1.45</v>
      </c>
      <c r="I16" s="618">
        <v>1.45</v>
      </c>
      <c r="J16" s="618">
        <v>1.45</v>
      </c>
      <c r="K16" s="618">
        <v>1.45</v>
      </c>
      <c r="L16" s="618">
        <v>1.45</v>
      </c>
      <c r="M16" s="618">
        <v>1.45</v>
      </c>
    </row>
    <row r="17" spans="1:13">
      <c r="B17" s="616"/>
      <c r="C17" s="616"/>
      <c r="D17" s="616"/>
      <c r="E17" s="616"/>
      <c r="F17" s="616"/>
      <c r="G17" s="616"/>
      <c r="H17" s="616"/>
      <c r="I17" s="616"/>
      <c r="J17" s="616"/>
      <c r="K17" s="616"/>
      <c r="L17" s="616"/>
      <c r="M17" s="616"/>
    </row>
    <row r="18" spans="1:13">
      <c r="B18" s="616">
        <v>58.624184370987535</v>
      </c>
      <c r="C18" s="616">
        <v>41.194262369598562</v>
      </c>
      <c r="D18" s="616">
        <v>32.663368531739749</v>
      </c>
      <c r="E18" s="616">
        <v>27.388717933903415</v>
      </c>
      <c r="F18" s="616">
        <v>17.199032558693183</v>
      </c>
      <c r="G18" s="616">
        <v>14.072518652437212</v>
      </c>
      <c r="H18" s="616">
        <v>12.550619873387278</v>
      </c>
      <c r="I18" s="616">
        <v>11.566606876885245</v>
      </c>
      <c r="J18" s="616">
        <v>10.948521002141</v>
      </c>
      <c r="K18" s="616">
        <v>10.681338641521492</v>
      </c>
      <c r="L18" s="616">
        <v>10.240376833664719</v>
      </c>
      <c r="M18" s="616">
        <v>9.8631979651965676</v>
      </c>
    </row>
    <row r="20" spans="1:13">
      <c r="F20" s="121">
        <f>F18/12</f>
        <v>1.4332527132244319</v>
      </c>
    </row>
    <row r="21" spans="1:13">
      <c r="A21" s="152" t="s">
        <v>796</v>
      </c>
      <c r="B21" s="619"/>
      <c r="F21" s="620"/>
      <c r="H21" s="619"/>
    </row>
    <row r="23" spans="1:13">
      <c r="A23" s="122" t="s">
        <v>728</v>
      </c>
    </row>
    <row r="24" spans="1:13">
      <c r="B24" s="619"/>
    </row>
    <row r="25" spans="1:13">
      <c r="A25" s="121" t="s">
        <v>727</v>
      </c>
    </row>
    <row r="27" spans="1:13">
      <c r="A27" s="122" t="s">
        <v>929</v>
      </c>
    </row>
  </sheetData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42"/>
  <sheetViews>
    <sheetView showOutlineSymbols="0" topLeftCell="A82" zoomScaleNormal="100" zoomScaleSheetLayoutView="85" workbookViewId="0">
      <selection activeCell="H91" sqref="H91"/>
    </sheetView>
  </sheetViews>
  <sheetFormatPr defaultColWidth="9" defaultRowHeight="15"/>
  <cols>
    <col min="1" max="1" width="4.75" style="6" customWidth="1"/>
    <col min="2" max="2" width="23" style="6" customWidth="1"/>
    <col min="3" max="3" width="19.25" style="6" customWidth="1"/>
    <col min="4" max="4" width="14" style="6" bestFit="1" customWidth="1"/>
    <col min="5" max="5" width="26.875" style="6" bestFit="1" customWidth="1"/>
    <col min="6" max="6" width="14.875" style="6" bestFit="1" customWidth="1"/>
    <col min="7" max="7" width="16.375" style="6" customWidth="1"/>
    <col min="8" max="8" width="15.375" style="6" bestFit="1" customWidth="1"/>
    <col min="9" max="9" width="12.25" style="6" bestFit="1" customWidth="1"/>
    <col min="10" max="10" width="9" style="6"/>
    <col min="11" max="11" width="27.25" style="6" customWidth="1"/>
    <col min="12" max="12" width="23.375" style="6" customWidth="1"/>
    <col min="13" max="16384" width="9" style="6"/>
  </cols>
  <sheetData>
    <row r="1" spans="1:12" ht="15.75">
      <c r="A1" s="209" t="s">
        <v>0</v>
      </c>
      <c r="B1" s="210" t="s">
        <v>86</v>
      </c>
      <c r="G1" s="143"/>
      <c r="H1" s="143"/>
      <c r="I1" s="143"/>
    </row>
    <row r="2" spans="1:12">
      <c r="D2" s="211" t="s">
        <v>2</v>
      </c>
      <c r="E2" s="211"/>
      <c r="F2" s="211"/>
      <c r="G2" s="713"/>
      <c r="H2" s="713"/>
      <c r="I2" s="713"/>
    </row>
    <row r="3" spans="1:12" ht="15.75">
      <c r="B3" s="210"/>
      <c r="D3" s="211" t="s">
        <v>3</v>
      </c>
      <c r="E3" s="211" t="s">
        <v>74</v>
      </c>
      <c r="F3" s="211" t="s">
        <v>10</v>
      </c>
      <c r="G3" s="713"/>
      <c r="H3" s="713"/>
      <c r="I3" s="143"/>
      <c r="L3" s="6" t="s">
        <v>913</v>
      </c>
    </row>
    <row r="4" spans="1:12">
      <c r="D4" s="212" t="s">
        <v>1</v>
      </c>
      <c r="E4" s="212" t="s">
        <v>1</v>
      </c>
      <c r="F4" s="212" t="s">
        <v>1</v>
      </c>
      <c r="G4" s="144"/>
      <c r="H4" s="144"/>
      <c r="I4" s="143"/>
    </row>
    <row r="5" spans="1:12">
      <c r="B5" s="6" t="s">
        <v>5</v>
      </c>
      <c r="D5" s="211"/>
      <c r="F5" s="211"/>
      <c r="G5" s="143"/>
      <c r="H5" s="713"/>
      <c r="I5" s="143"/>
    </row>
    <row r="6" spans="1:12">
      <c r="B6" s="6" t="s">
        <v>6</v>
      </c>
      <c r="D6" s="213">
        <f>'EX AEV-1'!D21+'EX AEV-1'!D23+'EX AEV-1'!D24</f>
        <v>179517672.90759504</v>
      </c>
      <c r="E6" s="214">
        <v>0</v>
      </c>
      <c r="F6" s="215">
        <f>D6-E6</f>
        <v>179517672.90759504</v>
      </c>
      <c r="G6" s="8"/>
      <c r="H6" s="8" t="s">
        <v>914</v>
      </c>
      <c r="I6" s="143"/>
      <c r="L6" s="651"/>
    </row>
    <row r="7" spans="1:12">
      <c r="B7" s="6" t="s">
        <v>7</v>
      </c>
      <c r="D7" s="213">
        <f>'EX AEV-1'!D22</f>
        <v>64765247.198496237</v>
      </c>
      <c r="E7" s="216">
        <f>E9</f>
        <v>0</v>
      </c>
      <c r="F7" s="215">
        <f>D7-E7</f>
        <v>64765247.198496237</v>
      </c>
      <c r="G7" s="8"/>
      <c r="H7" s="145"/>
      <c r="I7" s="143"/>
    </row>
    <row r="8" spans="1:12">
      <c r="B8" s="6" t="s">
        <v>8</v>
      </c>
      <c r="D8" s="213">
        <f>'EX AEV-1'!D25</f>
        <v>13525406.788117623</v>
      </c>
      <c r="E8" s="216">
        <f>(E9-E6)-E7</f>
        <v>0</v>
      </c>
      <c r="F8" s="215">
        <f>D8-E8</f>
        <v>13525406.788117623</v>
      </c>
      <c r="G8" s="8"/>
      <c r="H8" s="145"/>
      <c r="I8" s="143"/>
    </row>
    <row r="9" spans="1:12">
      <c r="B9" s="217" t="s">
        <v>9</v>
      </c>
      <c r="C9" s="217"/>
      <c r="D9" s="218">
        <f>SUM(D6:D8)</f>
        <v>257808326.89420888</v>
      </c>
      <c r="E9" s="219">
        <v>0</v>
      </c>
      <c r="F9" s="218">
        <f>SUM(F6:F8)</f>
        <v>257808326.89420888</v>
      </c>
      <c r="G9" s="714"/>
      <c r="H9" s="8"/>
      <c r="I9" s="143"/>
    </row>
    <row r="10" spans="1:12">
      <c r="B10" s="143"/>
      <c r="C10" s="143"/>
      <c r="D10" s="143"/>
      <c r="E10" s="143"/>
      <c r="F10" s="8"/>
      <c r="G10" s="3"/>
      <c r="H10" s="8"/>
      <c r="I10" s="215"/>
    </row>
    <row r="12" spans="1:12" ht="15.75">
      <c r="A12" s="209" t="s">
        <v>12</v>
      </c>
      <c r="B12" s="210" t="s">
        <v>13</v>
      </c>
      <c r="E12" s="215"/>
      <c r="G12" s="2"/>
      <c r="I12" s="2"/>
    </row>
    <row r="14" spans="1:12" ht="15.75">
      <c r="E14" s="6" t="s">
        <v>16</v>
      </c>
      <c r="G14" s="220" t="s">
        <v>15</v>
      </c>
      <c r="H14" s="715">
        <v>17.5</v>
      </c>
      <c r="I14" s="6" t="s">
        <v>14</v>
      </c>
    </row>
    <row r="16" spans="1:12">
      <c r="B16" s="6" t="s">
        <v>109</v>
      </c>
      <c r="E16" s="213">
        <f>1598374+4778</f>
        <v>1603152</v>
      </c>
      <c r="F16" s="211" t="s">
        <v>88</v>
      </c>
      <c r="G16" s="4">
        <f>H14</f>
        <v>17.5</v>
      </c>
      <c r="H16" s="221" t="s">
        <v>15</v>
      </c>
      <c r="I16" s="215">
        <f>E16*G16</f>
        <v>28055160</v>
      </c>
    </row>
    <row r="17" spans="1:12">
      <c r="E17" s="2"/>
      <c r="G17" s="4"/>
      <c r="I17" s="215"/>
    </row>
    <row r="18" spans="1:12">
      <c r="E18" s="2"/>
      <c r="G18" s="4"/>
      <c r="I18" s="215"/>
    </row>
    <row r="19" spans="1:12" ht="15.75">
      <c r="A19" s="209" t="s">
        <v>18</v>
      </c>
      <c r="B19" s="210" t="s">
        <v>19</v>
      </c>
      <c r="C19" s="209"/>
    </row>
    <row r="21" spans="1:12">
      <c r="B21" s="6" t="s">
        <v>20</v>
      </c>
      <c r="E21" s="222">
        <f>F7</f>
        <v>64765247.198496237</v>
      </c>
      <c r="F21" s="223"/>
      <c r="G21" s="2"/>
      <c r="H21" s="215"/>
      <c r="I21" s="2"/>
    </row>
    <row r="22" spans="1:12">
      <c r="B22" s="6" t="s">
        <v>21</v>
      </c>
      <c r="E22" s="2">
        <f>E111+E102+D87+D86</f>
        <v>1992407328.0061221</v>
      </c>
      <c r="F22" s="223"/>
      <c r="G22" s="2"/>
      <c r="H22" s="2"/>
      <c r="I22" s="2"/>
    </row>
    <row r="23" spans="1:12">
      <c r="F23" s="2"/>
      <c r="G23" s="2"/>
      <c r="H23" s="2"/>
      <c r="I23" s="2"/>
    </row>
    <row r="24" spans="1:12">
      <c r="B24" s="6" t="s">
        <v>22</v>
      </c>
      <c r="E24" s="224">
        <f>ROUND((E21/E22),5)</f>
        <v>3.2509999999999997E-2</v>
      </c>
      <c r="F24" s="224" t="s">
        <v>23</v>
      </c>
      <c r="G24" s="224"/>
      <c r="H24" s="224"/>
      <c r="I24" s="224"/>
    </row>
    <row r="25" spans="1:12">
      <c r="B25" s="6" t="s">
        <v>24</v>
      </c>
      <c r="E25" s="224">
        <v>0.05</v>
      </c>
      <c r="F25" s="224" t="s">
        <v>23</v>
      </c>
      <c r="G25" s="224"/>
      <c r="H25" s="224"/>
      <c r="I25" s="224"/>
    </row>
    <row r="26" spans="1:12">
      <c r="B26" s="217"/>
      <c r="C26" s="217"/>
      <c r="D26" s="217"/>
      <c r="E26" s="217"/>
      <c r="F26" s="224"/>
      <c r="G26" s="224"/>
      <c r="H26" s="224"/>
      <c r="I26" s="224"/>
    </row>
    <row r="27" spans="1:12">
      <c r="B27" s="6" t="s">
        <v>25</v>
      </c>
      <c r="E27" s="224">
        <f>E24+E25</f>
        <v>8.251E-2</v>
      </c>
      <c r="F27" s="224" t="s">
        <v>23</v>
      </c>
      <c r="G27" s="224"/>
      <c r="H27" s="224"/>
      <c r="I27" s="224"/>
    </row>
    <row r="28" spans="1:12">
      <c r="H28" s="224"/>
    </row>
    <row r="29" spans="1:12">
      <c r="B29" s="6" t="s">
        <v>26</v>
      </c>
      <c r="E29" s="716">
        <v>0.56179999999999997</v>
      </c>
      <c r="F29" s="2"/>
      <c r="G29" s="2"/>
      <c r="H29" s="60"/>
      <c r="I29" s="2"/>
      <c r="L29" s="651"/>
    </row>
    <row r="30" spans="1:12">
      <c r="B30" s="6" t="s">
        <v>27</v>
      </c>
      <c r="E30" s="2">
        <f>ROUND((E22*E29),0)</f>
        <v>1119334437</v>
      </c>
      <c r="G30" s="2"/>
      <c r="H30" s="2"/>
      <c r="I30" s="2"/>
    </row>
    <row r="31" spans="1:12">
      <c r="G31" s="2"/>
      <c r="H31" s="225"/>
      <c r="I31" s="2"/>
    </row>
    <row r="32" spans="1:12">
      <c r="B32" s="6" t="s">
        <v>28</v>
      </c>
      <c r="E32" s="2">
        <f>+E30</f>
        <v>1119334437</v>
      </c>
      <c r="F32" s="226" t="s">
        <v>88</v>
      </c>
      <c r="G32" s="224">
        <f>+E27</f>
        <v>8.251E-2</v>
      </c>
      <c r="H32" s="221" t="s">
        <v>15</v>
      </c>
      <c r="I32" s="215">
        <f>ROUND((E30*E27),0)</f>
        <v>92356284</v>
      </c>
    </row>
    <row r="33" spans="1:9">
      <c r="F33" s="2"/>
      <c r="G33" s="2"/>
      <c r="H33" s="215"/>
      <c r="I33" s="2"/>
    </row>
    <row r="34" spans="1:9">
      <c r="D34" s="2"/>
      <c r="E34" s="2"/>
      <c r="F34" s="2"/>
      <c r="G34" s="2"/>
      <c r="H34" s="2"/>
      <c r="I34" s="2"/>
    </row>
    <row r="35" spans="1:9" ht="15.75">
      <c r="A35" s="209" t="s">
        <v>29</v>
      </c>
      <c r="B35" s="210" t="s">
        <v>30</v>
      </c>
      <c r="D35" s="215"/>
      <c r="F35" s="2"/>
      <c r="G35" s="2"/>
      <c r="H35" s="2"/>
      <c r="I35" s="2"/>
    </row>
    <row r="36" spans="1:9">
      <c r="D36" s="2"/>
      <c r="E36" s="2"/>
      <c r="F36" s="2"/>
      <c r="G36" s="2"/>
      <c r="H36" s="2"/>
      <c r="I36" s="2"/>
    </row>
    <row r="37" spans="1:9">
      <c r="B37" s="6" t="s">
        <v>31</v>
      </c>
      <c r="E37" s="222">
        <f>F9</f>
        <v>257808326.89420888</v>
      </c>
      <c r="F37" s="215"/>
      <c r="G37" s="215"/>
      <c r="H37" s="215"/>
      <c r="I37" s="2"/>
    </row>
    <row r="38" spans="1:9">
      <c r="B38" s="6" t="s">
        <v>32</v>
      </c>
      <c r="E38" s="227">
        <f>+I16</f>
        <v>28055160</v>
      </c>
      <c r="F38" s="2"/>
      <c r="G38" s="2"/>
      <c r="H38" s="2"/>
      <c r="I38" s="2"/>
    </row>
    <row r="39" spans="1:9">
      <c r="B39" s="6" t="s">
        <v>33</v>
      </c>
      <c r="E39" s="227">
        <f>+I32</f>
        <v>92356284</v>
      </c>
      <c r="F39" s="2"/>
      <c r="G39" s="2"/>
      <c r="H39" s="2"/>
      <c r="I39" s="2"/>
    </row>
    <row r="40" spans="1:9">
      <c r="B40" s="217" t="s">
        <v>34</v>
      </c>
      <c r="C40" s="217"/>
      <c r="D40" s="228"/>
      <c r="E40" s="218">
        <f>(E37-E38)-E39</f>
        <v>137396882.89420888</v>
      </c>
      <c r="F40" s="4"/>
      <c r="G40" s="2"/>
      <c r="H40" s="215"/>
    </row>
    <row r="41" spans="1:9">
      <c r="D41" s="2"/>
      <c r="E41" s="2"/>
      <c r="F41" s="229"/>
      <c r="H41" s="2"/>
    </row>
    <row r="42" spans="1:9">
      <c r="D42" s="2"/>
      <c r="F42" s="229"/>
      <c r="H42" s="215"/>
    </row>
    <row r="43" spans="1:9">
      <c r="B43" s="6" t="s">
        <v>35</v>
      </c>
      <c r="E43" s="2">
        <f>E22</f>
        <v>1992407328.0061221</v>
      </c>
      <c r="F43" s="224"/>
      <c r="H43" s="224"/>
    </row>
    <row r="44" spans="1:9">
      <c r="B44" s="6" t="s">
        <v>36</v>
      </c>
      <c r="D44" s="2"/>
      <c r="E44" s="227">
        <f>E30</f>
        <v>1119334437</v>
      </c>
      <c r="F44" s="224"/>
      <c r="H44" s="215"/>
    </row>
    <row r="45" spans="1:9">
      <c r="B45" s="217" t="s">
        <v>37</v>
      </c>
      <c r="C45" s="217"/>
      <c r="D45" s="217"/>
      <c r="E45" s="228">
        <f>E22-E30</f>
        <v>873072891.00612211</v>
      </c>
    </row>
    <row r="48" spans="1:9">
      <c r="B48" s="6" t="s">
        <v>38</v>
      </c>
      <c r="E48" s="224">
        <f>ROUND((E40/E45),5)</f>
        <v>0.15737000000000001</v>
      </c>
      <c r="F48" s="224" t="s">
        <v>23</v>
      </c>
    </row>
    <row r="49" spans="1:11">
      <c r="E49" s="224"/>
      <c r="F49" s="224"/>
    </row>
    <row r="51" spans="1:11" ht="15.75">
      <c r="A51" s="209" t="s">
        <v>79</v>
      </c>
      <c r="B51" s="210" t="s">
        <v>39</v>
      </c>
    </row>
    <row r="52" spans="1:11">
      <c r="D52" s="226" t="s">
        <v>40</v>
      </c>
      <c r="E52" s="211"/>
      <c r="F52" s="226" t="s">
        <v>41</v>
      </c>
      <c r="G52" s="211"/>
      <c r="H52" s="226" t="s">
        <v>1</v>
      </c>
      <c r="I52" s="211" t="s">
        <v>42</v>
      </c>
      <c r="J52" s="230" t="s">
        <v>780</v>
      </c>
    </row>
    <row r="53" spans="1:11">
      <c r="D53" s="211"/>
      <c r="F53" s="211"/>
      <c r="H53" s="211"/>
      <c r="I53" s="67"/>
      <c r="J53" s="230"/>
    </row>
    <row r="54" spans="1:11">
      <c r="B54" s="6" t="s">
        <v>43</v>
      </c>
      <c r="D54" s="2">
        <f>E45</f>
        <v>873072891.00612211</v>
      </c>
      <c r="E54" s="6" t="s">
        <v>44</v>
      </c>
      <c r="F54" s="224">
        <f>E48</f>
        <v>0.15737000000000001</v>
      </c>
      <c r="G54" s="224" t="s">
        <v>23</v>
      </c>
      <c r="H54" s="215">
        <f>ROUND((D54*F54),0)</f>
        <v>137395481</v>
      </c>
      <c r="I54" s="216" t="s">
        <v>72</v>
      </c>
      <c r="J54" s="230">
        <v>0.13600000000000001</v>
      </c>
      <c r="K54" s="4"/>
    </row>
    <row r="55" spans="1:11">
      <c r="B55" s="6" t="s">
        <v>45</v>
      </c>
      <c r="D55" s="2">
        <f>E44</f>
        <v>1119334437</v>
      </c>
      <c r="E55" s="6" t="s">
        <v>44</v>
      </c>
      <c r="F55" s="224">
        <f>E27</f>
        <v>8.251E-2</v>
      </c>
      <c r="G55" s="224" t="s">
        <v>23</v>
      </c>
      <c r="H55" s="2">
        <f>ROUND((D55*F55),0)</f>
        <v>92356284</v>
      </c>
      <c r="I55" s="216" t="s">
        <v>72</v>
      </c>
      <c r="J55" s="230">
        <v>5.0939999999999999E-2</v>
      </c>
      <c r="K55" s="4"/>
    </row>
    <row r="56" spans="1:11">
      <c r="B56" s="6" t="s">
        <v>8</v>
      </c>
      <c r="D56" s="2">
        <f>E16</f>
        <v>1603152</v>
      </c>
      <c r="E56" s="6" t="s">
        <v>46</v>
      </c>
      <c r="F56" s="4">
        <f>H14</f>
        <v>17.5</v>
      </c>
      <c r="G56" s="6" t="s">
        <v>47</v>
      </c>
      <c r="H56" s="2">
        <f>ROUND((D56*F56),0)</f>
        <v>28055160</v>
      </c>
      <c r="I56" s="231" t="s">
        <v>72</v>
      </c>
      <c r="K56" s="4"/>
    </row>
    <row r="57" spans="1:11">
      <c r="D57" s="2"/>
      <c r="H57" s="228"/>
      <c r="I57" s="231"/>
    </row>
    <row r="58" spans="1:11">
      <c r="B58" s="6" t="s">
        <v>9</v>
      </c>
      <c r="D58" s="2">
        <f>D54+D55</f>
        <v>1992407328.0061221</v>
      </c>
      <c r="E58" s="6" t="s">
        <v>44</v>
      </c>
      <c r="F58" s="215"/>
      <c r="H58" s="215">
        <f>SUM(H54:H56)</f>
        <v>257806925</v>
      </c>
      <c r="I58" s="216">
        <f>H58-F9</f>
        <v>-1401.8942088782787</v>
      </c>
    </row>
    <row r="59" spans="1:11">
      <c r="D59" s="2"/>
      <c r="F59" s="215"/>
      <c r="H59" s="215"/>
    </row>
    <row r="60" spans="1:11">
      <c r="D60" s="2"/>
      <c r="F60" s="215"/>
      <c r="H60" s="215"/>
    </row>
    <row r="61" spans="1:11" ht="15.75">
      <c r="A61" s="209" t="s">
        <v>80</v>
      </c>
      <c r="B61" s="210" t="s">
        <v>48</v>
      </c>
      <c r="C61" s="210"/>
    </row>
    <row r="62" spans="1:11">
      <c r="D62" s="211"/>
      <c r="E62" s="211"/>
      <c r="F62" s="211"/>
    </row>
    <row r="63" spans="1:11">
      <c r="B63" s="6" t="s">
        <v>72</v>
      </c>
      <c r="D63" s="212"/>
      <c r="E63" s="212"/>
      <c r="F63" s="212"/>
      <c r="G63" s="212"/>
    </row>
    <row r="64" spans="1:11">
      <c r="D64" s="212"/>
      <c r="E64" s="212"/>
      <c r="F64" s="212"/>
      <c r="G64" s="212"/>
      <c r="H64" s="212"/>
    </row>
    <row r="65" spans="2:9">
      <c r="B65" s="6" t="s">
        <v>106</v>
      </c>
      <c r="D65" s="232">
        <v>16</v>
      </c>
      <c r="E65" s="4"/>
      <c r="G65" s="4"/>
    </row>
    <row r="67" spans="2:9">
      <c r="B67" s="6" t="s">
        <v>87</v>
      </c>
      <c r="D67" s="4">
        <f>+H14</f>
        <v>17.5</v>
      </c>
      <c r="F67" s="211" t="s">
        <v>112</v>
      </c>
    </row>
    <row r="68" spans="2:9">
      <c r="B68" s="6" t="s">
        <v>98</v>
      </c>
      <c r="F68" s="211" t="s">
        <v>110</v>
      </c>
    </row>
    <row r="69" spans="2:9">
      <c r="B69" s="6" t="s">
        <v>99</v>
      </c>
      <c r="D69" s="660">
        <v>367.32</v>
      </c>
      <c r="F69" s="4">
        <f>D69</f>
        <v>367.32</v>
      </c>
    </row>
    <row r="70" spans="2:9">
      <c r="B70" s="6" t="s">
        <v>100</v>
      </c>
      <c r="D70" s="660">
        <v>108.5</v>
      </c>
      <c r="F70" s="134"/>
    </row>
    <row r="71" spans="2:9">
      <c r="B71" s="6" t="s">
        <v>101</v>
      </c>
      <c r="D71" s="233">
        <f>D69-D70</f>
        <v>258.82</v>
      </c>
      <c r="F71" s="233">
        <f>F69-F70</f>
        <v>367.32</v>
      </c>
    </row>
    <row r="72" spans="2:9">
      <c r="D72" s="134"/>
      <c r="F72" s="134"/>
    </row>
    <row r="73" spans="2:9">
      <c r="B73" s="6" t="s">
        <v>105</v>
      </c>
      <c r="D73" s="234">
        <f>'Carrying Charge'!G18/100</f>
        <v>0.14072518652437213</v>
      </c>
      <c r="F73" s="234">
        <f>D73</f>
        <v>0.14072518652437213</v>
      </c>
      <c r="H73" s="235"/>
      <c r="I73" s="235" t="s">
        <v>930</v>
      </c>
    </row>
    <row r="74" spans="2:9">
      <c r="B74" s="6" t="s">
        <v>102</v>
      </c>
      <c r="D74" s="145">
        <v>12</v>
      </c>
      <c r="F74" s="145">
        <v>12</v>
      </c>
      <c r="H74" s="390"/>
    </row>
    <row r="75" spans="2:9">
      <c r="B75" s="6" t="s">
        <v>103</v>
      </c>
      <c r="D75" s="236">
        <f>ROUND(D71*(D73/12),2)</f>
        <v>3.04</v>
      </c>
      <c r="F75" s="236">
        <f>ROUND(F71*(F73/12),2)</f>
        <v>4.3099999999999996</v>
      </c>
    </row>
    <row r="76" spans="2:9">
      <c r="D76" s="4"/>
      <c r="F76" s="4"/>
    </row>
    <row r="77" spans="2:9">
      <c r="B77" s="6" t="s">
        <v>145</v>
      </c>
      <c r="D77" s="4">
        <f>ROUND((D67+D75),0)</f>
        <v>21</v>
      </c>
      <c r="F77" s="4">
        <f>ROUND((F75)*20,0)/20</f>
        <v>4.3</v>
      </c>
    </row>
    <row r="78" spans="2:9">
      <c r="D78" s="4"/>
    </row>
    <row r="79" spans="2:9">
      <c r="B79" s="6" t="s">
        <v>94</v>
      </c>
      <c r="E79" s="235" t="s">
        <v>95</v>
      </c>
      <c r="F79" s="4">
        <v>3.75</v>
      </c>
      <c r="G79" s="212"/>
    </row>
    <row r="80" spans="2:9">
      <c r="E80" s="235" t="s">
        <v>107</v>
      </c>
      <c r="F80" s="4">
        <f>F77</f>
        <v>4.3</v>
      </c>
    </row>
    <row r="81" spans="1:9">
      <c r="E81" s="5"/>
      <c r="G81" s="5"/>
    </row>
    <row r="83" spans="1:9" ht="15.75">
      <c r="A83" s="209" t="s">
        <v>81</v>
      </c>
      <c r="B83" s="210" t="s">
        <v>108</v>
      </c>
      <c r="C83" s="210"/>
      <c r="F83" s="2"/>
      <c r="H83" s="2"/>
    </row>
    <row r="84" spans="1:9">
      <c r="D84" s="237" t="s">
        <v>49</v>
      </c>
      <c r="F84" s="237" t="s">
        <v>41</v>
      </c>
      <c r="H84" s="237" t="s">
        <v>50</v>
      </c>
      <c r="I84" s="224"/>
    </row>
    <row r="85" spans="1:9">
      <c r="D85" s="211"/>
      <c r="F85" s="211"/>
      <c r="H85" s="211"/>
    </row>
    <row r="86" spans="1:9">
      <c r="B86" s="6" t="s">
        <v>51</v>
      </c>
      <c r="D86" s="213">
        <f>1156916.24+43256</f>
        <v>1200172.24</v>
      </c>
      <c r="E86" s="6" t="s">
        <v>44</v>
      </c>
      <c r="F86" s="224">
        <f>E48</f>
        <v>0.15737000000000001</v>
      </c>
      <c r="G86" s="6" t="s">
        <v>23</v>
      </c>
      <c r="H86" s="215">
        <f>ROUND((D86*F86),0)</f>
        <v>188871</v>
      </c>
    </row>
    <row r="87" spans="1:9">
      <c r="B87" s="6" t="s">
        <v>52</v>
      </c>
      <c r="D87" s="213">
        <f>1904404.39+71134</f>
        <v>1975538.39</v>
      </c>
      <c r="E87" s="6" t="s">
        <v>44</v>
      </c>
      <c r="F87" s="224">
        <f>E27</f>
        <v>8.251E-2</v>
      </c>
      <c r="G87" s="6" t="s">
        <v>23</v>
      </c>
      <c r="H87" s="2">
        <f>ROUND((D87*F87),0)</f>
        <v>163002</v>
      </c>
    </row>
    <row r="88" spans="1:9">
      <c r="B88" s="6" t="s">
        <v>96</v>
      </c>
      <c r="D88" s="213">
        <f>1824+72</f>
        <v>1896</v>
      </c>
      <c r="E88" s="6" t="s">
        <v>46</v>
      </c>
      <c r="F88" s="4">
        <f>D77</f>
        <v>21</v>
      </c>
      <c r="G88" s="6" t="s">
        <v>47</v>
      </c>
      <c r="H88" s="2">
        <f>ROUND((D88*F88),0)</f>
        <v>39816</v>
      </c>
    </row>
    <row r="89" spans="1:9">
      <c r="B89" s="6" t="s">
        <v>97</v>
      </c>
      <c r="D89" s="213">
        <v>94.70200108166577</v>
      </c>
      <c r="E89" s="6" t="s">
        <v>46</v>
      </c>
      <c r="F89" s="4">
        <f>F80</f>
        <v>4.3</v>
      </c>
      <c r="G89" s="6" t="s">
        <v>47</v>
      </c>
      <c r="H89" s="2">
        <f>ROUND((D89*F89),0)</f>
        <v>407</v>
      </c>
    </row>
    <row r="90" spans="1:9">
      <c r="D90" s="2"/>
      <c r="H90" s="228"/>
    </row>
    <row r="91" spans="1:9">
      <c r="B91" s="6" t="s">
        <v>54</v>
      </c>
      <c r="D91" s="2">
        <f>D86+D87</f>
        <v>3175710.63</v>
      </c>
      <c r="E91" s="6" t="s">
        <v>44</v>
      </c>
      <c r="F91" s="215"/>
      <c r="H91" s="215">
        <f>SUM(H86:H89)</f>
        <v>392096</v>
      </c>
    </row>
    <row r="92" spans="1:9">
      <c r="F92" s="225"/>
    </row>
    <row r="94" spans="1:9">
      <c r="E94" s="215"/>
      <c r="G94" s="215"/>
      <c r="H94" s="215"/>
    </row>
    <row r="96" spans="1:9" ht="15.75">
      <c r="A96" s="209" t="s">
        <v>82</v>
      </c>
      <c r="B96" s="210" t="s">
        <v>17</v>
      </c>
      <c r="E96" s="215"/>
      <c r="G96" s="2"/>
      <c r="I96" s="2"/>
    </row>
    <row r="97" spans="1:9">
      <c r="B97" s="6" t="s">
        <v>55</v>
      </c>
      <c r="D97" s="6" t="s">
        <v>72</v>
      </c>
      <c r="E97" s="2">
        <f>E16</f>
        <v>1603152</v>
      </c>
      <c r="F97" s="6" t="s">
        <v>90</v>
      </c>
      <c r="G97" s="4">
        <f>$H$14</f>
        <v>17.5</v>
      </c>
      <c r="H97" s="6" t="s">
        <v>698</v>
      </c>
      <c r="I97" s="215">
        <f>ROUND((E97*G97),0)</f>
        <v>28055160</v>
      </c>
    </row>
    <row r="99" spans="1:9">
      <c r="E99" s="215"/>
      <c r="F99" s="215"/>
      <c r="G99" s="215"/>
      <c r="H99" s="238"/>
      <c r="I99" s="215"/>
    </row>
    <row r="101" spans="1:9" ht="15.75">
      <c r="A101" s="209" t="s">
        <v>83</v>
      </c>
      <c r="B101" s="210" t="s">
        <v>56</v>
      </c>
      <c r="C101" s="210"/>
    </row>
    <row r="102" spans="1:9">
      <c r="B102" s="6" t="s">
        <v>57</v>
      </c>
      <c r="D102" s="6" t="s">
        <v>72</v>
      </c>
      <c r="E102" s="652">
        <v>246977.23222596294</v>
      </c>
      <c r="F102" s="6" t="s">
        <v>89</v>
      </c>
      <c r="G102" s="224">
        <f>+F55</f>
        <v>8.251E-2</v>
      </c>
      <c r="H102" s="6" t="s">
        <v>697</v>
      </c>
      <c r="I102" s="215">
        <f>ROUND((E102*G102),0)</f>
        <v>20378</v>
      </c>
    </row>
    <row r="104" spans="1:9">
      <c r="B104" s="6" t="s">
        <v>113</v>
      </c>
      <c r="E104" s="227">
        <f>F9</f>
        <v>257808326.89420888</v>
      </c>
      <c r="H104" s="215"/>
    </row>
    <row r="105" spans="1:9">
      <c r="B105" s="6" t="s">
        <v>104</v>
      </c>
      <c r="E105" s="227">
        <f>H91</f>
        <v>392096</v>
      </c>
      <c r="H105" s="215"/>
    </row>
    <row r="106" spans="1:9">
      <c r="B106" s="6" t="s">
        <v>32</v>
      </c>
      <c r="E106" s="227">
        <f>I97</f>
        <v>28055160</v>
      </c>
      <c r="H106" s="2"/>
    </row>
    <row r="107" spans="1:9">
      <c r="B107" s="6" t="s">
        <v>91</v>
      </c>
      <c r="E107" s="227">
        <f>I102</f>
        <v>20378</v>
      </c>
      <c r="H107" s="2"/>
    </row>
    <row r="108" spans="1:9">
      <c r="B108" s="6" t="s">
        <v>959</v>
      </c>
      <c r="E108" s="227">
        <f>-C117</f>
        <v>14605655.401841622</v>
      </c>
      <c r="H108" s="2"/>
    </row>
    <row r="109" spans="1:9">
      <c r="B109" s="217"/>
      <c r="C109" s="217"/>
      <c r="D109" s="217"/>
      <c r="E109" s="239"/>
      <c r="H109" s="2"/>
    </row>
    <row r="110" spans="1:9">
      <c r="B110" s="6" t="s">
        <v>58</v>
      </c>
      <c r="E110" s="215">
        <f>((E104-E106)-E107-E105)+E108</f>
        <v>243946348.29605049</v>
      </c>
    </row>
    <row r="111" spans="1:9">
      <c r="B111" s="6" t="s">
        <v>59</v>
      </c>
      <c r="E111" s="213">
        <v>1988984640.1438961</v>
      </c>
      <c r="F111" s="2"/>
      <c r="H111" s="2"/>
    </row>
    <row r="112" spans="1:9">
      <c r="E112" s="227"/>
      <c r="H112" s="2"/>
    </row>
    <row r="113" spans="1:10">
      <c r="B113" s="6" t="s">
        <v>92</v>
      </c>
      <c r="E113" s="224">
        <f>ROUND((E110/E111),5)</f>
        <v>0.12265</v>
      </c>
      <c r="F113" s="6" t="s">
        <v>23</v>
      </c>
      <c r="H113" s="240"/>
    </row>
    <row r="114" spans="1:10">
      <c r="B114" s="379" t="s">
        <v>955</v>
      </c>
      <c r="E114" s="224"/>
      <c r="H114" s="240"/>
    </row>
    <row r="115" spans="1:10">
      <c r="B115" s="6" t="s">
        <v>956</v>
      </c>
      <c r="C115" s="248">
        <v>243427590.03069371</v>
      </c>
      <c r="E115" s="224"/>
      <c r="H115" s="240"/>
    </row>
    <row r="116" spans="1:10">
      <c r="B116" s="6" t="s">
        <v>957</v>
      </c>
      <c r="C116" s="390">
        <v>-0.06</v>
      </c>
    </row>
    <row r="117" spans="1:10">
      <c r="B117" s="6" t="s">
        <v>958</v>
      </c>
      <c r="C117" s="353">
        <f>C116*C115</f>
        <v>-14605655.401841622</v>
      </c>
    </row>
    <row r="119" spans="1:10" ht="15.75">
      <c r="A119" s="209" t="s">
        <v>84</v>
      </c>
      <c r="B119" s="210" t="s">
        <v>60</v>
      </c>
    </row>
    <row r="120" spans="1:10" ht="15.75">
      <c r="D120" s="241" t="s">
        <v>61</v>
      </c>
      <c r="E120" s="209"/>
      <c r="F120" s="241" t="s">
        <v>62</v>
      </c>
      <c r="G120" s="209"/>
      <c r="H120" s="241" t="s">
        <v>4</v>
      </c>
      <c r="I120" s="241" t="s">
        <v>63</v>
      </c>
      <c r="J120" s="209"/>
    </row>
    <row r="121" spans="1:10">
      <c r="F121" s="211"/>
      <c r="H121" s="211"/>
    </row>
    <row r="122" spans="1:10">
      <c r="B122" s="6" t="s">
        <v>93</v>
      </c>
      <c r="C122" s="6" t="s">
        <v>72</v>
      </c>
      <c r="D122" s="2">
        <f>E111-C115</f>
        <v>1745557050.1132023</v>
      </c>
      <c r="E122" s="6" t="s">
        <v>44</v>
      </c>
      <c r="F122" s="224">
        <f>E113</f>
        <v>0.12265</v>
      </c>
      <c r="G122" s="6" t="s">
        <v>292</v>
      </c>
      <c r="H122" s="215">
        <f>ROUND((D122*F122),0)</f>
        <v>214092572</v>
      </c>
    </row>
    <row r="123" spans="1:10">
      <c r="B123" s="6" t="s">
        <v>960</v>
      </c>
      <c r="D123" s="2">
        <f>C115</f>
        <v>243427590.03069371</v>
      </c>
      <c r="F123" s="224">
        <f>F122+C116</f>
        <v>6.2649999999999997E-2</v>
      </c>
      <c r="H123" s="215">
        <f>ROUND((D123*F123),0)</f>
        <v>15250739</v>
      </c>
    </row>
    <row r="124" spans="1:10">
      <c r="B124" s="6" t="s">
        <v>64</v>
      </c>
      <c r="D124" s="2">
        <f>+E102</f>
        <v>246977.23222596294</v>
      </c>
      <c r="E124" s="6" t="s">
        <v>44</v>
      </c>
      <c r="F124" s="224">
        <f>+G102</f>
        <v>8.251E-2</v>
      </c>
      <c r="G124" s="6" t="s">
        <v>23</v>
      </c>
      <c r="H124" s="2">
        <f>ROUND((D124*F124),0)</f>
        <v>20378</v>
      </c>
    </row>
    <row r="125" spans="1:10">
      <c r="B125" s="6" t="s">
        <v>53</v>
      </c>
      <c r="D125" s="2">
        <f>+E97</f>
        <v>1603152</v>
      </c>
      <c r="E125" s="6" t="s">
        <v>46</v>
      </c>
      <c r="F125" s="4">
        <f>+G97</f>
        <v>17.5</v>
      </c>
      <c r="G125" s="6" t="s">
        <v>14</v>
      </c>
      <c r="H125" s="2">
        <f>ROUND((D125*F125),0)</f>
        <v>28055160</v>
      </c>
    </row>
    <row r="126" spans="1:10">
      <c r="D126" s="2"/>
      <c r="G126" s="4"/>
      <c r="H126" s="217"/>
      <c r="I126" s="215"/>
    </row>
    <row r="127" spans="1:10">
      <c r="B127" s="6" t="s">
        <v>54</v>
      </c>
      <c r="D127" s="2">
        <f>SUM(D122:D124)</f>
        <v>1989231617.376122</v>
      </c>
      <c r="E127" s="6" t="s">
        <v>44</v>
      </c>
      <c r="G127" s="6" t="s">
        <v>961</v>
      </c>
      <c r="H127" s="215">
        <f>SUM(H122:H125)</f>
        <v>257418849</v>
      </c>
      <c r="I127" s="242"/>
    </row>
    <row r="128" spans="1:10">
      <c r="G128" s="6" t="s">
        <v>962</v>
      </c>
      <c r="H128" s="215">
        <f>F9-H91</f>
        <v>257416230.89420888</v>
      </c>
    </row>
    <row r="129" spans="1:8">
      <c r="B129" s="6" t="s">
        <v>73</v>
      </c>
      <c r="D129" s="2"/>
      <c r="G129" s="6" t="s">
        <v>42</v>
      </c>
      <c r="H129" s="669">
        <f>H128-H127</f>
        <v>-2618.1057911217213</v>
      </c>
    </row>
    <row r="132" spans="1:8" ht="15.75">
      <c r="A132" s="209" t="s">
        <v>85</v>
      </c>
      <c r="B132" s="210" t="s">
        <v>65</v>
      </c>
    </row>
    <row r="134" spans="1:8">
      <c r="B134" s="211" t="s">
        <v>66</v>
      </c>
      <c r="D134" s="235" t="s">
        <v>67</v>
      </c>
      <c r="E134" s="235" t="s">
        <v>68</v>
      </c>
      <c r="G134" s="235" t="s">
        <v>11</v>
      </c>
      <c r="H134" s="211" t="s">
        <v>69</v>
      </c>
    </row>
    <row r="135" spans="1:8">
      <c r="E135" s="211"/>
      <c r="G135" s="211"/>
    </row>
    <row r="136" spans="1:8">
      <c r="B136" s="6" t="s">
        <v>70</v>
      </c>
      <c r="D136" s="2">
        <f>+D125</f>
        <v>1603152</v>
      </c>
      <c r="E136" s="2">
        <f>D127</f>
        <v>1989231617.376122</v>
      </c>
      <c r="G136" s="215">
        <f>+H127</f>
        <v>257418849</v>
      </c>
    </row>
    <row r="137" spans="1:8">
      <c r="B137" s="6" t="s">
        <v>114</v>
      </c>
      <c r="D137" s="2">
        <f>+D88+D89</f>
        <v>1990.7020010816657</v>
      </c>
      <c r="E137" s="2">
        <f>+D91</f>
        <v>3175710.63</v>
      </c>
      <c r="G137" s="2">
        <f>+H91</f>
        <v>392096</v>
      </c>
    </row>
    <row r="138" spans="1:8">
      <c r="B138" s="217"/>
      <c r="C138" s="217"/>
      <c r="D138" s="228"/>
      <c r="E138" s="228"/>
      <c r="F138" s="217"/>
      <c r="G138" s="228"/>
      <c r="H138" s="217"/>
    </row>
    <row r="139" spans="1:8">
      <c r="B139" s="6" t="s">
        <v>71</v>
      </c>
      <c r="D139" s="2">
        <f>SUM(D136:D137)</f>
        <v>1605142.7020010818</v>
      </c>
      <c r="E139" s="2">
        <f>SUM(E136:E137)</f>
        <v>1992407328.0061221</v>
      </c>
      <c r="G139" s="215">
        <f>SUM(G136:G137)</f>
        <v>257810945</v>
      </c>
      <c r="H139" s="214">
        <f>G139-F9</f>
        <v>2618.1057911217213</v>
      </c>
    </row>
    <row r="140" spans="1:8">
      <c r="H140" s="2"/>
    </row>
    <row r="142" spans="1:8" ht="15.75">
      <c r="B142" s="209"/>
    </row>
  </sheetData>
  <phoneticPr fontId="0" type="noConversion"/>
  <printOptions horizontalCentered="1"/>
  <pageMargins left="0.5" right="0.5" top="1" bottom="0.5" header="0.5" footer="0.5"/>
  <pageSetup fitToHeight="5" orientation="portrait" r:id="rId1"/>
  <headerFooter alignWithMargins="0">
    <oddHeader xml:space="preserve">&amp;L&amp;"Arial,Regular"&amp;F
Page &amp;P of &amp;N&amp;C&amp;"Arial,Regular"KENTUCKY POWER COMPANY
RS Rate Design
Twelve Months Ended December 31, 2016
</oddHeader>
  </headerFooter>
  <rowBreaks count="1" manualBreakCount="1">
    <brk id="12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13" workbookViewId="0">
      <selection activeCell="J22" sqref="J22"/>
    </sheetView>
  </sheetViews>
  <sheetFormatPr defaultRowHeight="15.75"/>
  <cols>
    <col min="1" max="1" width="29.25" customWidth="1"/>
    <col min="2" max="2" width="17.75" customWidth="1"/>
    <col min="4" max="4" width="3.25" customWidth="1"/>
    <col min="5" max="5" width="14.875" customWidth="1"/>
  </cols>
  <sheetData>
    <row r="1" spans="1:2">
      <c r="A1" s="153" t="s">
        <v>814</v>
      </c>
    </row>
    <row r="4" spans="1:2">
      <c r="A4" s="792" t="s">
        <v>809</v>
      </c>
      <c r="B4" s="792"/>
    </row>
    <row r="5" spans="1:2">
      <c r="A5" t="s">
        <v>810</v>
      </c>
      <c r="B5" s="138">
        <f>'EX AEV-1'!D10</f>
        <v>42886747.338956222</v>
      </c>
    </row>
    <row r="6" spans="1:2">
      <c r="A6" t="s">
        <v>811</v>
      </c>
      <c r="B6" s="138">
        <f>'EX AEV-1'!D11</f>
        <v>20643519.272159707</v>
      </c>
    </row>
    <row r="7" spans="1:2">
      <c r="A7" t="s">
        <v>812</v>
      </c>
      <c r="B7" s="138">
        <f>RS!F6-B5-B6</f>
        <v>115987406.29647909</v>
      </c>
    </row>
    <row r="8" spans="1:2">
      <c r="A8" t="s">
        <v>7</v>
      </c>
      <c r="B8" s="138">
        <f>RS!F7</f>
        <v>64765247.198496237</v>
      </c>
    </row>
    <row r="9" spans="1:2">
      <c r="A9" t="s">
        <v>8</v>
      </c>
      <c r="B9" s="141">
        <f>RS!F8</f>
        <v>13525406.788117623</v>
      </c>
    </row>
    <row r="10" spans="1:2">
      <c r="A10" t="s">
        <v>9</v>
      </c>
      <c r="B10" s="139">
        <f>SUM(B5:B9)</f>
        <v>257808326.89420888</v>
      </c>
    </row>
    <row r="11" spans="1:2">
      <c r="A11" s="1"/>
    </row>
    <row r="12" spans="1:2">
      <c r="A12" s="792" t="s">
        <v>822</v>
      </c>
      <c r="B12" s="792"/>
    </row>
    <row r="13" spans="1:2">
      <c r="A13" t="s">
        <v>815</v>
      </c>
      <c r="B13" s="136">
        <v>267248588</v>
      </c>
    </row>
    <row r="14" spans="1:2">
      <c r="A14" t="s">
        <v>816</v>
      </c>
      <c r="B14" s="136">
        <f>B15-B13</f>
        <v>1725158740.0061221</v>
      </c>
    </row>
    <row r="15" spans="1:2">
      <c r="A15" t="s">
        <v>125</v>
      </c>
      <c r="B15" s="136">
        <f>RS!E22</f>
        <v>1992407328.0061221</v>
      </c>
    </row>
    <row r="16" spans="1:2">
      <c r="A16" t="s">
        <v>805</v>
      </c>
      <c r="B16" s="136">
        <v>10379140</v>
      </c>
    </row>
    <row r="17" spans="1:5">
      <c r="A17" t="s">
        <v>806</v>
      </c>
      <c r="B17" s="136">
        <f>RS!E16</f>
        <v>1603152</v>
      </c>
    </row>
    <row r="19" spans="1:5">
      <c r="A19" s="792" t="s">
        <v>807</v>
      </c>
      <c r="B19" s="792"/>
      <c r="C19" s="792"/>
    </row>
    <row r="20" spans="1:5">
      <c r="A20" t="s">
        <v>817</v>
      </c>
      <c r="B20" s="153">
        <f>ROUND((B10-E29-E28-E30)/B13,5)</f>
        <v>0.14374000000000001</v>
      </c>
      <c r="C20" t="s">
        <v>819</v>
      </c>
    </row>
    <row r="21" spans="1:5">
      <c r="A21" t="s">
        <v>818</v>
      </c>
      <c r="B21" s="153">
        <f>RS!E27</f>
        <v>8.251E-2</v>
      </c>
      <c r="C21" t="s">
        <v>819</v>
      </c>
    </row>
    <row r="22" spans="1:5">
      <c r="A22" t="s">
        <v>808</v>
      </c>
      <c r="B22" s="153">
        <f>ROUND((B5+B6+B9-B23*B17)/B16,2)</f>
        <v>4.18</v>
      </c>
      <c r="C22" t="s">
        <v>820</v>
      </c>
    </row>
    <row r="23" spans="1:5">
      <c r="A23" t="s">
        <v>13</v>
      </c>
      <c r="B23" s="160">
        <f>C30</f>
        <v>21</v>
      </c>
      <c r="C23" t="s">
        <v>821</v>
      </c>
    </row>
    <row r="26" spans="1:5">
      <c r="A26" s="154" t="s">
        <v>39</v>
      </c>
      <c r="B26" s="154" t="s">
        <v>40</v>
      </c>
      <c r="C26" s="154" t="s">
        <v>575</v>
      </c>
      <c r="D26" s="154"/>
      <c r="E26" s="154" t="s">
        <v>1</v>
      </c>
    </row>
    <row r="27" spans="1:5">
      <c r="A27" t="s">
        <v>817</v>
      </c>
      <c r="B27" s="136">
        <f>B13</f>
        <v>267248588</v>
      </c>
      <c r="C27">
        <f>B20</f>
        <v>0.14374000000000001</v>
      </c>
      <c r="E27" s="138">
        <f>C27*B27</f>
        <v>38414312.039120004</v>
      </c>
    </row>
    <row r="28" spans="1:5">
      <c r="A28" t="s">
        <v>818</v>
      </c>
      <c r="B28" s="136">
        <f>B14</f>
        <v>1725158740.0061221</v>
      </c>
      <c r="C28">
        <f>B21</f>
        <v>8.251E-2</v>
      </c>
      <c r="E28" s="138">
        <f>C28*B28</f>
        <v>142342847.63790512</v>
      </c>
    </row>
    <row r="29" spans="1:5">
      <c r="A29" t="s">
        <v>813</v>
      </c>
      <c r="B29" s="136">
        <f>B16</f>
        <v>10379140</v>
      </c>
      <c r="C29">
        <f>B22</f>
        <v>4.18</v>
      </c>
      <c r="E29" s="138">
        <f>C29*B29</f>
        <v>43384805.199999996</v>
      </c>
    </row>
    <row r="30" spans="1:5">
      <c r="A30" t="s">
        <v>13</v>
      </c>
      <c r="B30" s="136">
        <f>B17</f>
        <v>1603152</v>
      </c>
      <c r="C30" s="137">
        <v>21</v>
      </c>
      <c r="E30" s="141">
        <f>C30*B30</f>
        <v>33666192</v>
      </c>
    </row>
    <row r="31" spans="1:5">
      <c r="E31" s="138">
        <f>SUM(E27:E30)</f>
        <v>257808156.87702513</v>
      </c>
    </row>
    <row r="32" spans="1:5">
      <c r="E32" s="139">
        <f>E31-B10</f>
        <v>-170.01718375086784</v>
      </c>
    </row>
  </sheetData>
  <mergeCells count="3">
    <mergeCell ref="A19:C19"/>
    <mergeCell ref="A12:B12"/>
    <mergeCell ref="A4:B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4"/>
  <sheetViews>
    <sheetView showOutlineSymbols="0" zoomScale="70" zoomScaleNormal="70" workbookViewId="0">
      <selection activeCell="Q16" sqref="Q16:Q17"/>
    </sheetView>
  </sheetViews>
  <sheetFormatPr defaultColWidth="9" defaultRowHeight="15"/>
  <cols>
    <col min="1" max="1" width="3.375" style="6" bestFit="1" customWidth="1"/>
    <col min="2" max="2" width="24.625" style="6" customWidth="1"/>
    <col min="3" max="3" width="14.375" style="6" bestFit="1" customWidth="1"/>
    <col min="4" max="4" width="2.625" style="6" customWidth="1"/>
    <col min="5" max="5" width="15.625" style="6" bestFit="1" customWidth="1"/>
    <col min="6" max="6" width="5" style="6" bestFit="1" customWidth="1"/>
    <col min="7" max="7" width="17.125" style="6" bestFit="1" customWidth="1"/>
    <col min="8" max="8" width="2.5" style="6" customWidth="1"/>
    <col min="9" max="9" width="18.375" style="6" bestFit="1" customWidth="1"/>
    <col min="10" max="10" width="2.5" style="6" customWidth="1"/>
    <col min="11" max="11" width="14.375" style="143" bestFit="1" customWidth="1"/>
    <col min="12" max="12" width="2.5" style="6" customWidth="1"/>
    <col min="13" max="13" width="15.625" style="6" bestFit="1" customWidth="1"/>
    <col min="14" max="16384" width="9" style="6"/>
  </cols>
  <sheetData>
    <row r="1" spans="1:13" s="718" customFormat="1" ht="15.75">
      <c r="A1" s="717" t="s">
        <v>896</v>
      </c>
    </row>
    <row r="2" spans="1:13">
      <c r="A2" s="719"/>
      <c r="B2" s="720"/>
      <c r="C2" s="719"/>
      <c r="D2" s="719"/>
      <c r="E2" s="719"/>
      <c r="F2" s="719"/>
      <c r="G2" s="719"/>
      <c r="H2" s="719"/>
      <c r="I2" s="719"/>
      <c r="J2" s="719"/>
      <c r="K2" s="721"/>
      <c r="L2" s="719"/>
      <c r="M2" s="719"/>
    </row>
    <row r="3" spans="1:13">
      <c r="A3" s="719"/>
      <c r="B3" s="720"/>
      <c r="C3" s="719"/>
      <c r="D3" s="719"/>
      <c r="E3" s="719"/>
      <c r="F3" s="719"/>
      <c r="G3" s="719"/>
      <c r="H3" s="719"/>
      <c r="I3" s="719"/>
      <c r="J3" s="719"/>
      <c r="K3" s="721"/>
      <c r="L3" s="719"/>
      <c r="M3" s="719"/>
    </row>
    <row r="4" spans="1:13">
      <c r="A4" s="719"/>
      <c r="B4" s="720"/>
      <c r="C4" s="719"/>
      <c r="D4" s="719"/>
      <c r="E4" s="719"/>
      <c r="F4" s="719"/>
      <c r="G4" s="719"/>
      <c r="H4" s="719"/>
      <c r="I4" s="719"/>
      <c r="J4" s="719"/>
      <c r="K4" s="721"/>
      <c r="L4" s="719"/>
      <c r="M4" s="719"/>
    </row>
    <row r="5" spans="1:13">
      <c r="A5" s="719"/>
      <c r="B5" s="720"/>
      <c r="C5" s="719"/>
      <c r="D5" s="719"/>
      <c r="E5" s="719"/>
      <c r="F5" s="719"/>
      <c r="G5" s="719"/>
      <c r="H5" s="719"/>
      <c r="I5" s="719"/>
      <c r="J5" s="719"/>
      <c r="K5" s="721"/>
      <c r="L5" s="719"/>
      <c r="M5" s="719"/>
    </row>
    <row r="6" spans="1:13">
      <c r="A6" s="719"/>
      <c r="B6" s="720"/>
      <c r="C6" s="719"/>
      <c r="D6" s="719"/>
      <c r="E6" s="719"/>
      <c r="F6" s="719"/>
      <c r="G6" s="719"/>
      <c r="H6" s="719"/>
      <c r="I6" s="719"/>
      <c r="J6" s="719"/>
      <c r="K6" s="721"/>
      <c r="L6" s="719"/>
      <c r="M6" s="719"/>
    </row>
    <row r="7" spans="1:13">
      <c r="A7" s="6" t="s">
        <v>115</v>
      </c>
      <c r="B7" s="6" t="s">
        <v>86</v>
      </c>
    </row>
    <row r="8" spans="1:13">
      <c r="C8" s="211"/>
      <c r="D8" s="212"/>
      <c r="E8" s="212" t="s">
        <v>9</v>
      </c>
      <c r="F8" s="212"/>
      <c r="G8" s="144" t="s">
        <v>116</v>
      </c>
      <c r="H8" s="212"/>
      <c r="I8" s="212" t="s">
        <v>117</v>
      </c>
    </row>
    <row r="9" spans="1:13">
      <c r="C9" s="211"/>
      <c r="D9" s="212"/>
      <c r="E9" s="722" t="s">
        <v>118</v>
      </c>
      <c r="F9" s="211"/>
      <c r="G9" s="723" t="s">
        <v>119</v>
      </c>
      <c r="H9" s="211"/>
      <c r="I9" s="722" t="s">
        <v>120</v>
      </c>
    </row>
    <row r="10" spans="1:13">
      <c r="C10" s="211"/>
      <c r="D10" s="211"/>
      <c r="E10" s="722"/>
      <c r="F10" s="211"/>
      <c r="G10" s="713"/>
      <c r="H10" s="211"/>
    </row>
    <row r="11" spans="1:13">
      <c r="B11" s="6" t="s">
        <v>6</v>
      </c>
      <c r="D11" s="5"/>
      <c r="E11" s="213">
        <f>RS!D6</f>
        <v>179517672.90759504</v>
      </c>
      <c r="F11" s="5"/>
      <c r="G11" s="8">
        <f>'EX AEV-1'!D8</f>
        <v>116564708.115146</v>
      </c>
      <c r="H11" s="5"/>
      <c r="I11" s="215">
        <f>+E11-G11</f>
        <v>62952964.792449042</v>
      </c>
      <c r="M11" s="229"/>
    </row>
    <row r="12" spans="1:13">
      <c r="B12" s="6" t="s">
        <v>7</v>
      </c>
      <c r="D12" s="7"/>
      <c r="E12" s="213">
        <f>RS!D7</f>
        <v>64765247.198496237</v>
      </c>
      <c r="F12" s="7"/>
      <c r="G12" s="8">
        <v>0</v>
      </c>
      <c r="H12" s="7"/>
      <c r="I12" s="8">
        <f>+E12-G12</f>
        <v>64765247.198496237</v>
      </c>
      <c r="M12" s="229"/>
    </row>
    <row r="13" spans="1:13">
      <c r="B13" s="6" t="s">
        <v>8</v>
      </c>
      <c r="D13" s="7"/>
      <c r="E13" s="244">
        <f>RS!D8</f>
        <v>13525406.788117623</v>
      </c>
      <c r="F13" s="7"/>
      <c r="G13" s="342">
        <v>0</v>
      </c>
      <c r="H13" s="7"/>
      <c r="I13" s="342">
        <f>+E13-G13</f>
        <v>13525406.788117623</v>
      </c>
      <c r="K13" s="6"/>
      <c r="L13" s="7"/>
      <c r="M13" s="229"/>
    </row>
    <row r="14" spans="1:13">
      <c r="B14" s="6" t="s">
        <v>9</v>
      </c>
      <c r="D14" s="5"/>
      <c r="E14" s="8">
        <f>SUM(E11:E13)</f>
        <v>257808326.89420888</v>
      </c>
      <c r="F14" s="5"/>
      <c r="G14" s="8">
        <f>SUM(G11:G13)</f>
        <v>116564708.115146</v>
      </c>
      <c r="H14" s="5"/>
      <c r="I14" s="8">
        <f>SUM(I11:I13)</f>
        <v>141243618.7790629</v>
      </c>
      <c r="M14" s="229"/>
    </row>
    <row r="15" spans="1:13">
      <c r="C15" s="143"/>
      <c r="D15" s="143"/>
      <c r="E15" s="143"/>
      <c r="F15" s="143"/>
      <c r="G15" s="143"/>
      <c r="H15" s="143"/>
      <c r="I15" s="8"/>
    </row>
    <row r="16" spans="1:13">
      <c r="G16" s="143"/>
    </row>
    <row r="17" spans="1:13">
      <c r="A17" s="6" t="s">
        <v>18</v>
      </c>
      <c r="B17" s="6" t="s">
        <v>127</v>
      </c>
      <c r="G17" s="143"/>
    </row>
    <row r="18" spans="1:13">
      <c r="G18" s="143"/>
    </row>
    <row r="19" spans="1:13">
      <c r="B19" s="6" t="s">
        <v>121</v>
      </c>
      <c r="E19" s="215">
        <f>E14</f>
        <v>257808326.89420888</v>
      </c>
      <c r="G19" s="143"/>
    </row>
    <row r="20" spans="1:13">
      <c r="G20" s="143"/>
    </row>
    <row r="21" spans="1:13">
      <c r="B21" s="6" t="s">
        <v>122</v>
      </c>
      <c r="E21" s="8">
        <f>I64</f>
        <v>28055160</v>
      </c>
      <c r="G21" s="8"/>
    </row>
    <row r="22" spans="1:13">
      <c r="B22" s="6" t="s">
        <v>123</v>
      </c>
      <c r="E22" s="8">
        <f>I65+I66</f>
        <v>40223</v>
      </c>
      <c r="G22" s="8"/>
    </row>
    <row r="23" spans="1:13">
      <c r="B23" s="6" t="s">
        <v>1048</v>
      </c>
      <c r="E23" s="8">
        <f>G45+G46</f>
        <v>160409291.7672962</v>
      </c>
      <c r="G23" s="8"/>
    </row>
    <row r="24" spans="1:13" ht="30" customHeight="1">
      <c r="B24" s="793" t="s">
        <v>124</v>
      </c>
      <c r="C24" s="793"/>
      <c r="E24" s="8">
        <f>+E19-E21-E22+E23</f>
        <v>390122235.6615051</v>
      </c>
      <c r="G24" s="143"/>
    </row>
    <row r="25" spans="1:13">
      <c r="G25" s="143"/>
    </row>
    <row r="26" spans="1:13">
      <c r="B26" s="6" t="s">
        <v>125</v>
      </c>
      <c r="E26" s="2">
        <f>RS!E22</f>
        <v>1992407328.0061221</v>
      </c>
      <c r="G26" s="724"/>
    </row>
    <row r="27" spans="1:13">
      <c r="B27" s="6" t="s">
        <v>985</v>
      </c>
      <c r="E27" s="725">
        <f>ROUND(+E24/E26,6)</f>
        <v>0.19580400000000001</v>
      </c>
      <c r="G27" s="724"/>
    </row>
    <row r="28" spans="1:13">
      <c r="B28" s="6" t="s">
        <v>130</v>
      </c>
      <c r="E28" s="725">
        <f>E27-E45</f>
        <v>0.17083400000000001</v>
      </c>
      <c r="G28" s="248"/>
    </row>
    <row r="29" spans="1:13">
      <c r="B29" s="6" t="s">
        <v>984</v>
      </c>
      <c r="E29" s="725">
        <f>E27-E46</f>
        <v>9.8164000000000001E-2</v>
      </c>
    </row>
    <row r="32" spans="1:13" hidden="1">
      <c r="A32" s="143"/>
      <c r="B32" s="143"/>
      <c r="C32" s="794"/>
      <c r="D32" s="794"/>
      <c r="E32" s="794"/>
      <c r="F32" s="794"/>
      <c r="G32" s="794"/>
      <c r="H32" s="143"/>
      <c r="I32" s="143"/>
      <c r="J32" s="143"/>
      <c r="L32" s="143"/>
      <c r="M32" s="143"/>
    </row>
    <row r="33" spans="1:13" hidden="1">
      <c r="A33" s="143"/>
      <c r="B33" s="143"/>
      <c r="C33" s="726"/>
      <c r="D33" s="726"/>
      <c r="E33" s="726"/>
      <c r="F33" s="726"/>
      <c r="G33" s="726"/>
      <c r="H33" s="726"/>
      <c r="I33" s="726"/>
      <c r="J33" s="726"/>
      <c r="K33" s="726"/>
      <c r="L33" s="726"/>
      <c r="M33" s="727"/>
    </row>
    <row r="34" spans="1:13" hidden="1">
      <c r="A34" s="143"/>
      <c r="B34" s="143"/>
      <c r="C34" s="789"/>
      <c r="D34" s="727"/>
      <c r="E34" s="789"/>
      <c r="F34" s="727"/>
      <c r="G34" s="727"/>
      <c r="H34" s="727"/>
      <c r="I34" s="727"/>
      <c r="J34" s="727"/>
      <c r="K34" s="789"/>
      <c r="L34" s="727"/>
      <c r="M34" s="789"/>
    </row>
    <row r="35" spans="1:13" hidden="1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L35" s="143"/>
      <c r="M35" s="143"/>
    </row>
    <row r="36" spans="1:13" hidden="1">
      <c r="A36" s="143"/>
      <c r="B36" s="143"/>
      <c r="C36" s="145"/>
      <c r="D36" s="143"/>
      <c r="E36" s="145"/>
      <c r="F36" s="143"/>
      <c r="G36" s="145"/>
      <c r="H36" s="143"/>
      <c r="I36" s="8"/>
      <c r="J36" s="143"/>
      <c r="K36" s="145"/>
      <c r="L36" s="143"/>
      <c r="M36" s="729"/>
    </row>
    <row r="37" spans="1:13" hidden="1">
      <c r="A37" s="143"/>
      <c r="B37" s="143"/>
      <c r="C37" s="145"/>
      <c r="D37" s="143"/>
      <c r="E37" s="145"/>
      <c r="F37" s="143"/>
      <c r="G37" s="145"/>
      <c r="H37" s="143"/>
      <c r="I37" s="8"/>
      <c r="J37" s="143"/>
      <c r="K37" s="145"/>
      <c r="L37" s="143"/>
      <c r="M37" s="729"/>
    </row>
    <row r="38" spans="1:13" hidden="1">
      <c r="A38" s="143"/>
      <c r="B38" s="143"/>
      <c r="C38" s="145"/>
      <c r="D38" s="143"/>
      <c r="E38" s="145"/>
      <c r="F38" s="143"/>
      <c r="G38" s="145"/>
      <c r="H38" s="143"/>
      <c r="I38" s="8"/>
      <c r="J38" s="143"/>
      <c r="K38" s="145"/>
      <c r="L38" s="143"/>
      <c r="M38" s="729"/>
    </row>
    <row r="39" spans="1:13" hidden="1">
      <c r="A39" s="143"/>
      <c r="B39" s="143"/>
      <c r="C39" s="145"/>
      <c r="D39" s="143"/>
      <c r="E39" s="145"/>
      <c r="F39" s="143"/>
      <c r="G39" s="145"/>
      <c r="H39" s="143"/>
      <c r="I39" s="8"/>
      <c r="J39" s="143"/>
      <c r="K39" s="145"/>
      <c r="L39" s="143"/>
      <c r="M39" s="143"/>
    </row>
    <row r="40" spans="1:13">
      <c r="A40" s="143"/>
      <c r="B40" s="143"/>
      <c r="C40" s="145"/>
      <c r="D40" s="143"/>
      <c r="E40" s="145"/>
      <c r="F40" s="143"/>
      <c r="G40" s="145"/>
      <c r="H40" s="143"/>
      <c r="I40" s="8"/>
      <c r="J40" s="143"/>
      <c r="K40" s="145"/>
      <c r="L40" s="143"/>
      <c r="M40" s="143"/>
    </row>
    <row r="41" spans="1:13">
      <c r="A41" s="143"/>
      <c r="B41" s="143"/>
      <c r="C41" s="143"/>
      <c r="D41" s="143"/>
      <c r="E41" s="143"/>
      <c r="F41" s="143"/>
      <c r="G41" s="143"/>
      <c r="H41" s="790"/>
      <c r="I41" s="791"/>
      <c r="J41" s="143"/>
      <c r="L41" s="143"/>
      <c r="M41" s="143"/>
    </row>
    <row r="42" spans="1:13">
      <c r="I42" s="229"/>
    </row>
    <row r="43" spans="1:13">
      <c r="E43" s="6" t="s">
        <v>1049</v>
      </c>
      <c r="I43" s="229"/>
    </row>
    <row r="44" spans="1:13">
      <c r="B44" s="6" t="s">
        <v>982</v>
      </c>
      <c r="C44" s="2">
        <f>E67</f>
        <v>148589309.01320004</v>
      </c>
      <c r="E44" s="6">
        <v>0</v>
      </c>
      <c r="I44" s="229"/>
    </row>
    <row r="45" spans="1:13">
      <c r="B45" s="6" t="s">
        <v>983</v>
      </c>
      <c r="C45" s="2">
        <f t="shared" ref="C45:C46" si="0">E68</f>
        <v>270002746.76169997</v>
      </c>
      <c r="E45" s="6">
        <v>2.4969999999999999E-2</v>
      </c>
      <c r="G45" s="240">
        <f>E45*C45</f>
        <v>6741968.5866396483</v>
      </c>
      <c r="I45" s="229"/>
    </row>
    <row r="46" spans="1:13">
      <c r="B46" s="6" t="s">
        <v>984</v>
      </c>
      <c r="C46" s="2">
        <f t="shared" si="0"/>
        <v>1573815272.2312222</v>
      </c>
      <c r="E46" s="6">
        <v>9.7640000000000005E-2</v>
      </c>
      <c r="G46" s="240">
        <f>E46*C46</f>
        <v>153667323.18065655</v>
      </c>
      <c r="I46" s="229"/>
    </row>
    <row r="47" spans="1:13">
      <c r="I47" s="229"/>
    </row>
    <row r="48" spans="1:13" hidden="1">
      <c r="I48" s="229"/>
    </row>
    <row r="49" spans="1:13" hidden="1">
      <c r="I49" s="229"/>
    </row>
    <row r="50" spans="1:13" hidden="1"/>
    <row r="51" spans="1:13" hidden="1"/>
    <row r="52" spans="1:13" ht="29.25" hidden="1" customHeight="1">
      <c r="C52" s="728"/>
      <c r="D52" s="211"/>
      <c r="E52" s="728"/>
      <c r="F52" s="211"/>
      <c r="G52" s="144"/>
      <c r="H52" s="212"/>
      <c r="I52" s="212"/>
      <c r="J52" s="212"/>
      <c r="K52" s="212"/>
    </row>
    <row r="53" spans="1:13" hidden="1">
      <c r="C53" s="722"/>
      <c r="D53" s="211"/>
      <c r="E53" s="722"/>
      <c r="F53" s="211"/>
      <c r="G53" s="723"/>
      <c r="H53" s="211"/>
      <c r="I53" s="722"/>
      <c r="J53" s="211"/>
      <c r="K53" s="722"/>
    </row>
    <row r="54" spans="1:13" hidden="1">
      <c r="G54" s="143"/>
      <c r="K54" s="6"/>
    </row>
    <row r="55" spans="1:13" hidden="1">
      <c r="C55" s="725"/>
      <c r="E55" s="725"/>
      <c r="G55" s="729"/>
      <c r="I55" s="9"/>
      <c r="K55" s="224"/>
    </row>
    <row r="56" spans="1:13" hidden="1">
      <c r="C56" s="725"/>
      <c r="E56" s="725"/>
      <c r="G56" s="729"/>
      <c r="I56" s="9"/>
      <c r="K56" s="224"/>
    </row>
    <row r="57" spans="1:13" hidden="1">
      <c r="C57" s="725"/>
      <c r="E57" s="725"/>
      <c r="G57" s="729"/>
      <c r="I57" s="9"/>
      <c r="K57" s="224"/>
    </row>
    <row r="58" spans="1:13" hidden="1">
      <c r="I58" s="725"/>
    </row>
    <row r="60" spans="1:13">
      <c r="A60" s="6" t="s">
        <v>29</v>
      </c>
      <c r="B60" s="6" t="s">
        <v>39</v>
      </c>
      <c r="M60" s="215"/>
    </row>
    <row r="61" spans="1:13">
      <c r="D61" s="212"/>
      <c r="E61" s="212" t="s">
        <v>40</v>
      </c>
      <c r="F61" s="212"/>
      <c r="G61" s="144" t="s">
        <v>136</v>
      </c>
      <c r="H61" s="212"/>
      <c r="I61" s="212" t="s">
        <v>1</v>
      </c>
      <c r="J61" s="212"/>
      <c r="K61" s="6"/>
      <c r="L61" s="212"/>
    </row>
    <row r="62" spans="1:13">
      <c r="D62" s="211"/>
      <c r="E62" s="722" t="s">
        <v>118</v>
      </c>
      <c r="F62" s="211"/>
      <c r="G62" s="723" t="s">
        <v>119</v>
      </c>
      <c r="H62" s="211"/>
      <c r="I62" s="722" t="s">
        <v>137</v>
      </c>
      <c r="J62" s="211"/>
      <c r="K62" s="6"/>
      <c r="L62" s="211"/>
    </row>
    <row r="63" spans="1:13">
      <c r="D63" s="211"/>
      <c r="E63" s="722"/>
      <c r="F63" s="211"/>
      <c r="G63" s="713"/>
      <c r="H63" s="211"/>
      <c r="I63" s="722"/>
      <c r="J63" s="211"/>
      <c r="K63" s="6"/>
      <c r="L63" s="211"/>
    </row>
    <row r="64" spans="1:13">
      <c r="B64" s="6" t="s">
        <v>138</v>
      </c>
      <c r="D64" s="211"/>
      <c r="E64" s="145">
        <f>RS!E97</f>
        <v>1603152</v>
      </c>
      <c r="F64" s="382" t="s">
        <v>46</v>
      </c>
      <c r="G64" s="134">
        <f>RS!G16</f>
        <v>17.5</v>
      </c>
      <c r="H64" s="211"/>
      <c r="I64" s="730">
        <f t="shared" ref="I64:I69" si="1">+ROUND(E64*G64,0)</f>
        <v>28055160</v>
      </c>
      <c r="J64" s="211"/>
      <c r="K64" s="6"/>
      <c r="L64" s="211"/>
    </row>
    <row r="65" spans="2:13">
      <c r="B65" s="6" t="s">
        <v>139</v>
      </c>
      <c r="D65" s="211"/>
      <c r="E65" s="145">
        <f>RS!D88</f>
        <v>1896</v>
      </c>
      <c r="F65" s="382" t="s">
        <v>46</v>
      </c>
      <c r="G65" s="134">
        <f>RS!D77</f>
        <v>21</v>
      </c>
      <c r="H65" s="211"/>
      <c r="I65" s="730">
        <f t="shared" si="1"/>
        <v>39816</v>
      </c>
      <c r="J65" s="211"/>
      <c r="K65" s="6"/>
      <c r="L65" s="211"/>
    </row>
    <row r="66" spans="2:13">
      <c r="B66" s="6" t="s">
        <v>140</v>
      </c>
      <c r="D66" s="211"/>
      <c r="E66" s="145">
        <f>RS!D89</f>
        <v>94.70200108166577</v>
      </c>
      <c r="F66" s="382" t="s">
        <v>46</v>
      </c>
      <c r="G66" s="134">
        <f>RS!F80</f>
        <v>4.3</v>
      </c>
      <c r="H66" s="211"/>
      <c r="I66" s="730">
        <f t="shared" si="1"/>
        <v>407</v>
      </c>
      <c r="J66" s="211"/>
      <c r="K66" s="6"/>
      <c r="L66" s="211"/>
    </row>
    <row r="67" spans="2:13">
      <c r="B67" s="6" t="s">
        <v>129</v>
      </c>
      <c r="E67" s="2">
        <v>148589309.01320004</v>
      </c>
      <c r="F67" s="382" t="s">
        <v>44</v>
      </c>
      <c r="G67" s="731">
        <f>E27</f>
        <v>0.19580400000000001</v>
      </c>
      <c r="I67" s="730">
        <f t="shared" si="1"/>
        <v>29094381</v>
      </c>
      <c r="K67" s="6">
        <v>0.18004999999999999</v>
      </c>
    </row>
    <row r="68" spans="2:13">
      <c r="B68" s="6" t="s">
        <v>135</v>
      </c>
      <c r="E68" s="2">
        <v>270002746.76169997</v>
      </c>
      <c r="F68" s="382" t="s">
        <v>44</v>
      </c>
      <c r="G68" s="731">
        <f t="shared" ref="G68:G69" si="2">E28</f>
        <v>0.17083400000000001</v>
      </c>
      <c r="I68" s="730">
        <f t="shared" si="1"/>
        <v>46125649</v>
      </c>
      <c r="K68" s="6">
        <v>0.15508</v>
      </c>
      <c r="M68" s="6">
        <f>K67-K68</f>
        <v>2.4969999999999992E-2</v>
      </c>
    </row>
    <row r="69" spans="2:13">
      <c r="B69" s="6" t="s">
        <v>131</v>
      </c>
      <c r="E69" s="2">
        <v>1573815272.2312222</v>
      </c>
      <c r="F69" s="382" t="s">
        <v>44</v>
      </c>
      <c r="G69" s="731">
        <f t="shared" si="2"/>
        <v>9.8164000000000001E-2</v>
      </c>
      <c r="I69" s="730">
        <f t="shared" si="1"/>
        <v>154492002</v>
      </c>
      <c r="K69" s="6">
        <v>8.2409999999999997E-2</v>
      </c>
      <c r="M69" s="6">
        <f>K67-K69</f>
        <v>9.7639999999999991E-2</v>
      </c>
    </row>
    <row r="70" spans="2:13">
      <c r="B70" s="6" t="s">
        <v>74</v>
      </c>
      <c r="E70" s="2">
        <f>+E26</f>
        <v>1992407328.0061221</v>
      </c>
      <c r="F70" s="382" t="s">
        <v>44</v>
      </c>
      <c r="G70" s="732">
        <v>0</v>
      </c>
      <c r="I70" s="733">
        <f>ROUND(E70*G70,5)</f>
        <v>0</v>
      </c>
      <c r="K70" s="6"/>
    </row>
    <row r="71" spans="2:13">
      <c r="G71" s="143"/>
      <c r="I71" s="214">
        <f>SUM(I64:I70)</f>
        <v>257807415</v>
      </c>
      <c r="K71" s="215">
        <f>+E14</f>
        <v>257808326.89420888</v>
      </c>
      <c r="M71" s="214">
        <f>+I71-K71</f>
        <v>-911.89420887827873</v>
      </c>
    </row>
    <row r="72" spans="2:13">
      <c r="M72" s="2"/>
    </row>
    <row r="74" spans="2:13">
      <c r="B74" s="6" t="s">
        <v>141</v>
      </c>
    </row>
  </sheetData>
  <mergeCells count="2">
    <mergeCell ref="B24:C24"/>
    <mergeCell ref="C32:G32"/>
  </mergeCells>
  <printOptions horizontalCentered="1"/>
  <pageMargins left="0.5" right="0.5" top="0.5" bottom="0.5" header="0.5" footer="0.5"/>
  <pageSetup fitToHeight="4" orientation="portrait" r:id="rId1"/>
  <headerFooter alignWithMargins="0">
    <oddHeader>&amp;C&amp;"Arial,Regular"KENTUCKY POWER COMPANY
Experimental RS-TOD 2 Rate Design
Twelve Months Ended, December 31, 2016
Rate Design&amp;RPage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98"/>
  <sheetViews>
    <sheetView zoomScale="85" zoomScaleNormal="85" workbookViewId="0">
      <selection activeCell="M77" sqref="M77:M78"/>
    </sheetView>
  </sheetViews>
  <sheetFormatPr defaultColWidth="9" defaultRowHeight="15"/>
  <cols>
    <col min="1" max="1" width="3.375" style="16" bestFit="1" customWidth="1"/>
    <col min="2" max="2" width="24.625" style="16" customWidth="1"/>
    <col min="3" max="3" width="14" style="16" bestFit="1" customWidth="1"/>
    <col min="4" max="4" width="2.375" style="16" customWidth="1"/>
    <col min="5" max="5" width="16" style="16" bestFit="1" customWidth="1"/>
    <col min="6" max="6" width="4.75" style="16" customWidth="1"/>
    <col min="7" max="7" width="14" style="16" bestFit="1" customWidth="1"/>
    <col min="8" max="8" width="2.5" style="16" customWidth="1"/>
    <col min="9" max="9" width="17.75" style="16" bestFit="1" customWidth="1"/>
    <col min="10" max="10" width="2.5" style="16" customWidth="1"/>
    <col min="11" max="11" width="14.25" style="16" bestFit="1" customWidth="1"/>
    <col min="12" max="12" width="2.5" style="16" customWidth="1"/>
    <col min="13" max="13" width="15.25" style="16" bestFit="1" customWidth="1"/>
    <col min="14" max="16384" width="9" style="16"/>
  </cols>
  <sheetData>
    <row r="1" spans="1:14">
      <c r="A1" s="290"/>
      <c r="B1" s="291"/>
      <c r="C1" s="290"/>
      <c r="D1" s="290"/>
      <c r="E1" s="290"/>
      <c r="F1" s="290"/>
      <c r="G1" s="290"/>
      <c r="H1" s="290"/>
      <c r="I1" s="290"/>
      <c r="J1" s="290"/>
      <c r="K1" s="290"/>
      <c r="L1" s="290"/>
    </row>
    <row r="2" spans="1:14">
      <c r="A2" s="290"/>
      <c r="B2" s="291" t="s">
        <v>1028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</row>
    <row r="3" spans="1:14">
      <c r="A3" s="290"/>
      <c r="B3" s="291"/>
      <c r="C3" s="290"/>
      <c r="D3" s="290"/>
      <c r="E3" s="290"/>
      <c r="F3" s="290"/>
      <c r="G3" s="290"/>
      <c r="H3" s="290"/>
      <c r="I3" s="290"/>
      <c r="J3" s="290"/>
      <c r="K3" s="290"/>
      <c r="L3" s="290"/>
    </row>
    <row r="4" spans="1:14">
      <c r="A4" s="290"/>
      <c r="B4" s="291"/>
      <c r="C4" s="290"/>
      <c r="D4" s="290"/>
      <c r="E4" s="290"/>
      <c r="F4" s="290"/>
      <c r="G4" s="290"/>
      <c r="H4" s="290"/>
      <c r="I4" s="290"/>
      <c r="J4" s="290"/>
      <c r="K4" s="290"/>
      <c r="L4" s="290"/>
    </row>
    <row r="5" spans="1:14">
      <c r="A5" s="290"/>
      <c r="B5" s="291"/>
      <c r="C5" s="290"/>
      <c r="D5" s="290"/>
      <c r="E5" s="290"/>
      <c r="F5" s="290"/>
      <c r="G5" s="290"/>
      <c r="H5" s="290"/>
      <c r="I5" s="290"/>
      <c r="J5" s="290"/>
      <c r="K5" s="290"/>
      <c r="L5" s="290"/>
    </row>
    <row r="6" spans="1:14">
      <c r="A6" s="290"/>
      <c r="B6" s="291"/>
      <c r="C6" s="290"/>
      <c r="D6" s="290"/>
      <c r="E6" s="290"/>
      <c r="F6" s="290"/>
      <c r="G6" s="290"/>
      <c r="H6" s="290"/>
      <c r="I6" s="290"/>
      <c r="J6" s="290"/>
      <c r="K6" s="290"/>
      <c r="L6" s="290"/>
    </row>
    <row r="7" spans="1:14">
      <c r="A7" s="16" t="s">
        <v>115</v>
      </c>
      <c r="B7" s="16" t="s">
        <v>86</v>
      </c>
    </row>
    <row r="8" spans="1:14">
      <c r="C8" s="292"/>
      <c r="D8" s="293"/>
      <c r="E8" s="293" t="s">
        <v>9</v>
      </c>
      <c r="F8" s="293"/>
      <c r="G8" s="293" t="s">
        <v>116</v>
      </c>
      <c r="H8" s="293"/>
      <c r="I8" s="293" t="s">
        <v>117</v>
      </c>
      <c r="J8" s="292"/>
      <c r="L8" s="292"/>
    </row>
    <row r="9" spans="1:14">
      <c r="C9" s="292"/>
      <c r="D9" s="293"/>
      <c r="E9" s="294" t="s">
        <v>118</v>
      </c>
      <c r="F9" s="292"/>
      <c r="G9" s="294" t="s">
        <v>119</v>
      </c>
      <c r="H9" s="292"/>
      <c r="I9" s="294" t="s">
        <v>120</v>
      </c>
      <c r="J9" s="292"/>
      <c r="L9" s="292"/>
    </row>
    <row r="10" spans="1:14">
      <c r="C10" s="292"/>
      <c r="D10" s="292"/>
      <c r="E10" s="294"/>
      <c r="F10" s="292"/>
      <c r="G10" s="292"/>
      <c r="H10" s="292"/>
      <c r="J10" s="292"/>
      <c r="L10" s="292"/>
    </row>
    <row r="11" spans="1:14">
      <c r="B11" s="16" t="s">
        <v>6</v>
      </c>
      <c r="D11" s="295"/>
      <c r="E11" s="296">
        <f>'GS AF NM TODs'!C7</f>
        <v>57868765.595469862</v>
      </c>
      <c r="F11" s="295"/>
      <c r="G11" s="297">
        <f>'EX AEV-1'!E21</f>
        <v>36985160.50752487</v>
      </c>
      <c r="H11" s="295"/>
      <c r="I11" s="297">
        <f>+E11-G11</f>
        <v>20883605.087944992</v>
      </c>
      <c r="J11" s="295"/>
      <c r="L11" s="295"/>
      <c r="N11" s="298"/>
    </row>
    <row r="12" spans="1:14">
      <c r="B12" s="16" t="s">
        <v>7</v>
      </c>
      <c r="D12" s="17"/>
      <c r="E12" s="296">
        <f>'GS AF NM TODs'!C8</f>
        <v>18768157.196030855</v>
      </c>
      <c r="F12" s="17"/>
      <c r="G12" s="15">
        <v>0</v>
      </c>
      <c r="H12" s="17"/>
      <c r="I12" s="15">
        <f>+E12-G12</f>
        <v>18768157.196030855</v>
      </c>
      <c r="J12" s="17"/>
      <c r="L12" s="17"/>
      <c r="N12" s="298"/>
    </row>
    <row r="13" spans="1:14">
      <c r="B13" s="16" t="s">
        <v>8</v>
      </c>
      <c r="D13" s="17"/>
      <c r="E13" s="299">
        <f>'GS AF NM TODs'!C9</f>
        <v>4521729.4316637022</v>
      </c>
      <c r="F13" s="17"/>
      <c r="G13" s="14">
        <v>0</v>
      </c>
      <c r="H13" s="17"/>
      <c r="I13" s="14">
        <f>+E13-G13</f>
        <v>4521729.4316637022</v>
      </c>
      <c r="J13" s="17"/>
      <c r="L13" s="17"/>
      <c r="N13" s="298"/>
    </row>
    <row r="14" spans="1:14">
      <c r="B14" s="16" t="s">
        <v>9</v>
      </c>
      <c r="D14" s="295"/>
      <c r="E14" s="15">
        <f>SUM(E11:E13)</f>
        <v>81158652.223164424</v>
      </c>
      <c r="F14" s="295"/>
      <c r="G14" s="15">
        <f>SUM(G11:G13)</f>
        <v>36985160.50752487</v>
      </c>
      <c r="H14" s="295"/>
      <c r="I14" s="15">
        <f>SUM(I11:I13)</f>
        <v>44173491.715639547</v>
      </c>
      <c r="J14" s="295"/>
      <c r="L14" s="295"/>
    </row>
    <row r="15" spans="1:14">
      <c r="C15" s="300"/>
      <c r="D15" s="300"/>
      <c r="E15" s="300"/>
      <c r="F15" s="300"/>
      <c r="G15" s="300"/>
      <c r="H15" s="300"/>
      <c r="I15" s="15"/>
      <c r="J15" s="300"/>
      <c r="L15" s="300"/>
    </row>
    <row r="16" spans="1:14">
      <c r="C16" s="300"/>
      <c r="D16" s="300"/>
      <c r="E16" s="779" t="s">
        <v>44</v>
      </c>
      <c r="F16" s="300"/>
      <c r="G16" s="300"/>
      <c r="H16" s="300"/>
      <c r="I16" s="15"/>
      <c r="J16" s="300"/>
      <c r="L16" s="300"/>
    </row>
    <row r="17" spans="1:13">
      <c r="B17" s="16" t="s">
        <v>129</v>
      </c>
      <c r="C17" s="300"/>
      <c r="D17" s="300"/>
      <c r="E17" s="13">
        <v>10521888.08379999</v>
      </c>
      <c r="F17" s="300"/>
      <c r="G17" s="300"/>
      <c r="H17" s="300"/>
      <c r="I17" s="15"/>
      <c r="J17" s="300"/>
      <c r="L17" s="300"/>
    </row>
    <row r="18" spans="1:13">
      <c r="B18" s="16" t="s">
        <v>130</v>
      </c>
      <c r="C18" s="300"/>
      <c r="D18" s="300"/>
      <c r="E18" s="13">
        <v>14592324.846400002</v>
      </c>
      <c r="F18" s="300"/>
      <c r="G18" s="300"/>
      <c r="H18" s="300"/>
      <c r="I18" s="15"/>
      <c r="J18" s="300"/>
      <c r="L18" s="300"/>
    </row>
    <row r="19" spans="1:13">
      <c r="B19" s="16" t="s">
        <v>131</v>
      </c>
      <c r="C19" s="300"/>
      <c r="D19" s="300"/>
      <c r="E19" s="158">
        <f>E20-E17-E18</f>
        <v>562196754.20971859</v>
      </c>
      <c r="F19" s="300"/>
      <c r="G19" s="300"/>
      <c r="H19" s="300"/>
      <c r="I19" s="15"/>
      <c r="J19" s="300"/>
      <c r="L19" s="300"/>
    </row>
    <row r="20" spans="1:13">
      <c r="B20" s="16" t="s">
        <v>9</v>
      </c>
      <c r="C20" s="300"/>
      <c r="D20" s="300"/>
      <c r="E20" s="13">
        <f>'GS AF NM TODs'!E90+'GS AF NM TODs'!C137+'GS AF NM TODs'!C138+E93+E94+E95</f>
        <v>587310967.13991857</v>
      </c>
      <c r="F20" s="300"/>
      <c r="G20" s="300"/>
      <c r="H20" s="300"/>
      <c r="I20" s="15"/>
      <c r="J20" s="300"/>
      <c r="L20" s="300"/>
    </row>
    <row r="21" spans="1:13">
      <c r="C21" s="300"/>
      <c r="D21" s="300"/>
      <c r="E21" s="13"/>
      <c r="F21" s="300"/>
      <c r="G21" s="300"/>
      <c r="H21" s="300"/>
      <c r="I21" s="15"/>
      <c r="J21" s="300"/>
      <c r="L21" s="300"/>
    </row>
    <row r="22" spans="1:13">
      <c r="A22" s="16" t="s">
        <v>12</v>
      </c>
      <c r="B22" s="16" t="s">
        <v>158</v>
      </c>
      <c r="G22" s="300"/>
      <c r="K22" s="300"/>
    </row>
    <row r="23" spans="1:13">
      <c r="G23" s="300"/>
      <c r="K23" s="300"/>
    </row>
    <row r="24" spans="1:13" ht="45">
      <c r="C24" s="301" t="s">
        <v>157</v>
      </c>
      <c r="E24" s="293" t="s">
        <v>156</v>
      </c>
      <c r="G24" s="302" t="s">
        <v>155</v>
      </c>
      <c r="I24" s="301" t="s">
        <v>154</v>
      </c>
      <c r="K24" s="303" t="s">
        <v>153</v>
      </c>
      <c r="M24" s="301" t="s">
        <v>152</v>
      </c>
    </row>
    <row r="25" spans="1:13">
      <c r="C25" s="304">
        <v>0</v>
      </c>
      <c r="D25" s="292" t="s">
        <v>151</v>
      </c>
      <c r="E25" s="292">
        <v>12</v>
      </c>
      <c r="F25" s="292" t="s">
        <v>88</v>
      </c>
      <c r="G25" s="305">
        <f>'Carrying Charge'!J18/100</f>
        <v>0.10948521002141</v>
      </c>
      <c r="H25" s="292" t="s">
        <v>15</v>
      </c>
      <c r="I25" s="306">
        <f>ROUND((+C25/E25*G25)*20,0)/20</f>
        <v>0</v>
      </c>
      <c r="J25" s="16" t="s">
        <v>78</v>
      </c>
      <c r="K25" s="307">
        <f>G77</f>
        <v>25</v>
      </c>
      <c r="L25" s="16" t="s">
        <v>15</v>
      </c>
      <c r="M25" s="308">
        <f>I25+K25</f>
        <v>25</v>
      </c>
    </row>
    <row r="26" spans="1:13">
      <c r="C26" s="240"/>
      <c r="D26" s="292"/>
      <c r="F26" s="292"/>
      <c r="G26" s="309"/>
      <c r="H26" s="292"/>
      <c r="I26" s="310"/>
      <c r="K26" s="300"/>
    </row>
    <row r="28" spans="1:13">
      <c r="A28" s="16" t="s">
        <v>18</v>
      </c>
      <c r="B28" s="16" t="s">
        <v>1050</v>
      </c>
    </row>
    <row r="30" spans="1:13">
      <c r="B30" s="16" t="s">
        <v>121</v>
      </c>
      <c r="E30" s="297">
        <f>+E14</f>
        <v>81158652.223164424</v>
      </c>
    </row>
    <row r="32" spans="1:13">
      <c r="B32" s="16" t="s">
        <v>122</v>
      </c>
      <c r="E32" s="15">
        <f>I77</f>
        <v>8787300</v>
      </c>
      <c r="G32" s="297"/>
    </row>
    <row r="33" spans="2:7">
      <c r="B33" s="16" t="s">
        <v>831</v>
      </c>
      <c r="E33" s="15">
        <f>I78</f>
        <v>21900</v>
      </c>
      <c r="G33" s="297"/>
    </row>
    <row r="34" spans="2:7">
      <c r="B34" s="16" t="s">
        <v>150</v>
      </c>
      <c r="E34" s="15">
        <f>I79</f>
        <v>248580</v>
      </c>
      <c r="G34" s="297"/>
    </row>
    <row r="35" spans="2:7">
      <c r="B35" s="16" t="s">
        <v>123</v>
      </c>
      <c r="E35" s="14">
        <f>I96</f>
        <v>147300</v>
      </c>
      <c r="G35" s="297"/>
    </row>
    <row r="36" spans="2:7">
      <c r="B36" s="16" t="s">
        <v>986</v>
      </c>
      <c r="E36" s="15">
        <f>E46+E47</f>
        <v>54175562.241636515</v>
      </c>
      <c r="G36" s="297"/>
    </row>
    <row r="37" spans="2:7">
      <c r="B37" s="16" t="s">
        <v>126</v>
      </c>
      <c r="E37" s="15">
        <f>+E30-E32-E33-E34-E35+E36</f>
        <v>126129134.46480094</v>
      </c>
    </row>
    <row r="39" spans="2:7">
      <c r="B39" s="16" t="s">
        <v>125</v>
      </c>
      <c r="E39" s="11">
        <f>E20</f>
        <v>587310967.13991857</v>
      </c>
    </row>
    <row r="40" spans="2:7">
      <c r="B40" s="16" t="s">
        <v>129</v>
      </c>
      <c r="E40" s="311">
        <f>ROUND(+E37/E39,6)</f>
        <v>0.214757</v>
      </c>
    </row>
    <row r="41" spans="2:7">
      <c r="B41" s="16" t="s">
        <v>130</v>
      </c>
      <c r="E41" s="311">
        <f>E40-M94</f>
        <v>0.18801699999999999</v>
      </c>
    </row>
    <row r="42" spans="2:7">
      <c r="B42" s="16" t="s">
        <v>131</v>
      </c>
      <c r="E42" s="311">
        <f>E40-M95</f>
        <v>0.119087</v>
      </c>
    </row>
    <row r="44" spans="2:7">
      <c r="E44" s="16" t="s">
        <v>188</v>
      </c>
    </row>
    <row r="45" spans="2:7">
      <c r="B45" s="16" t="s">
        <v>982</v>
      </c>
      <c r="C45" s="11">
        <f>E81</f>
        <v>10521888.08379999</v>
      </c>
    </row>
    <row r="46" spans="2:7">
      <c r="B46" s="16" t="s">
        <v>983</v>
      </c>
      <c r="C46" s="11">
        <f t="shared" ref="C46:C47" si="0">E82</f>
        <v>14592324.846400002</v>
      </c>
      <c r="E46" s="240">
        <f>C46*M94</f>
        <v>390198.76639273623</v>
      </c>
    </row>
    <row r="47" spans="2:7">
      <c r="B47" s="16" t="s">
        <v>984</v>
      </c>
      <c r="C47" s="11">
        <f t="shared" si="0"/>
        <v>562196754.20971859</v>
      </c>
      <c r="E47" s="240">
        <f>C47*M95</f>
        <v>53785363.475243777</v>
      </c>
    </row>
    <row r="50" spans="1:13">
      <c r="A50" s="300"/>
      <c r="B50" s="300"/>
      <c r="C50" s="300"/>
      <c r="D50" s="300"/>
      <c r="E50" s="300"/>
      <c r="F50" s="300"/>
      <c r="G50" s="300"/>
      <c r="H50" s="300"/>
      <c r="I50" s="300"/>
      <c r="J50" s="300"/>
      <c r="K50" s="300"/>
      <c r="L50" s="300"/>
      <c r="M50" s="300"/>
    </row>
    <row r="51" spans="1:13" hidden="1">
      <c r="A51" s="300"/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</row>
    <row r="52" spans="1:13" hidden="1">
      <c r="A52" s="300"/>
      <c r="B52" s="300"/>
      <c r="C52" s="795"/>
      <c r="D52" s="795"/>
      <c r="E52" s="795"/>
      <c r="F52" s="300"/>
      <c r="G52" s="300"/>
      <c r="H52" s="300"/>
      <c r="I52" s="300"/>
      <c r="J52" s="300"/>
      <c r="K52" s="300"/>
      <c r="L52" s="300"/>
      <c r="M52" s="300"/>
    </row>
    <row r="53" spans="1:13" hidden="1">
      <c r="A53" s="300"/>
      <c r="B53" s="300"/>
      <c r="C53" s="780"/>
      <c r="D53" s="780"/>
      <c r="E53" s="780"/>
      <c r="F53" s="300"/>
      <c r="G53" s="780"/>
      <c r="H53" s="780"/>
      <c r="I53" s="780"/>
      <c r="J53" s="780"/>
      <c r="K53" s="780"/>
      <c r="L53" s="780"/>
      <c r="M53" s="312"/>
    </row>
    <row r="54" spans="1:13" hidden="1">
      <c r="A54" s="300"/>
      <c r="B54" s="300"/>
      <c r="C54" s="781"/>
      <c r="D54" s="312"/>
      <c r="E54" s="781"/>
      <c r="F54" s="312"/>
      <c r="G54" s="312"/>
      <c r="H54" s="312"/>
      <c r="I54" s="312"/>
      <c r="J54" s="312"/>
      <c r="K54" s="781"/>
      <c r="L54" s="312"/>
      <c r="M54" s="781"/>
    </row>
    <row r="55" spans="1:13" hidden="1">
      <c r="A55" s="300"/>
      <c r="B55" s="300"/>
      <c r="C55" s="300"/>
      <c r="D55" s="300"/>
      <c r="E55" s="300"/>
      <c r="F55" s="300"/>
      <c r="G55" s="300"/>
      <c r="H55" s="300"/>
      <c r="I55" s="300"/>
      <c r="J55" s="300"/>
      <c r="K55" s="300"/>
      <c r="L55" s="300"/>
      <c r="M55" s="300"/>
    </row>
    <row r="56" spans="1:13" hidden="1">
      <c r="A56" s="300"/>
      <c r="B56" s="300"/>
      <c r="C56" s="13"/>
      <c r="D56" s="300"/>
      <c r="E56" s="13"/>
      <c r="F56" s="300"/>
      <c r="G56" s="13"/>
      <c r="H56" s="300"/>
      <c r="I56" s="15"/>
      <c r="J56" s="300"/>
      <c r="K56" s="300"/>
      <c r="L56" s="300"/>
      <c r="M56" s="782"/>
    </row>
    <row r="57" spans="1:13" hidden="1">
      <c r="A57" s="300"/>
      <c r="B57" s="300"/>
      <c r="C57" s="13"/>
      <c r="D57" s="300"/>
      <c r="E57" s="13"/>
      <c r="F57" s="300"/>
      <c r="G57" s="13"/>
      <c r="H57" s="300"/>
      <c r="I57" s="15"/>
      <c r="J57" s="300"/>
      <c r="K57" s="300"/>
      <c r="L57" s="300"/>
      <c r="M57" s="782"/>
    </row>
    <row r="58" spans="1:13" hidden="1">
      <c r="A58" s="300"/>
      <c r="B58" s="300"/>
      <c r="C58" s="13"/>
      <c r="D58" s="300"/>
      <c r="E58" s="13"/>
      <c r="F58" s="300"/>
      <c r="G58" s="13"/>
      <c r="H58" s="300"/>
      <c r="I58" s="15"/>
      <c r="J58" s="300"/>
      <c r="K58" s="300"/>
      <c r="L58" s="300"/>
      <c r="M58" s="782"/>
    </row>
    <row r="59" spans="1:13" hidden="1">
      <c r="A59" s="300"/>
      <c r="B59" s="300"/>
      <c r="C59" s="13"/>
      <c r="D59" s="300"/>
      <c r="E59" s="13"/>
      <c r="F59" s="300"/>
      <c r="G59" s="13"/>
      <c r="H59" s="300"/>
      <c r="I59" s="15"/>
      <c r="J59" s="300"/>
      <c r="K59" s="300"/>
      <c r="L59" s="300"/>
      <c r="M59" s="300"/>
    </row>
    <row r="60" spans="1:13" hidden="1">
      <c r="A60" s="300"/>
      <c r="B60" s="300"/>
      <c r="C60" s="300"/>
      <c r="D60" s="300"/>
      <c r="E60" s="300"/>
      <c r="F60" s="300"/>
      <c r="G60" s="300"/>
      <c r="H60" s="300"/>
      <c r="I60" s="300"/>
      <c r="J60" s="300"/>
      <c r="K60" s="13"/>
      <c r="L60" s="300"/>
      <c r="M60" s="300"/>
    </row>
    <row r="61" spans="1:13" hidden="1">
      <c r="A61" s="300"/>
      <c r="B61" s="300"/>
      <c r="C61" s="300"/>
      <c r="D61" s="300"/>
      <c r="E61" s="783"/>
      <c r="F61" s="300"/>
      <c r="G61" s="300"/>
      <c r="H61" s="784"/>
      <c r="I61" s="785"/>
      <c r="J61" s="300"/>
      <c r="K61" s="300"/>
      <c r="L61" s="300"/>
      <c r="M61" s="300"/>
    </row>
    <row r="62" spans="1:13" hidden="1">
      <c r="E62" s="313"/>
      <c r="H62" s="314"/>
      <c r="I62" s="315"/>
    </row>
    <row r="63" spans="1:13" hidden="1"/>
    <row r="64" spans="1:13" hidden="1"/>
    <row r="65" spans="1:12" ht="29.25" hidden="1" customHeight="1">
      <c r="C65" s="301"/>
      <c r="D65" s="292"/>
      <c r="E65" s="301"/>
      <c r="F65" s="292"/>
      <c r="G65" s="293"/>
      <c r="H65" s="293"/>
      <c r="I65" s="293"/>
      <c r="J65" s="293"/>
      <c r="K65" s="293"/>
      <c r="L65" s="293"/>
    </row>
    <row r="66" spans="1:12" hidden="1">
      <c r="C66" s="294"/>
      <c r="D66" s="292"/>
      <c r="E66" s="294"/>
      <c r="F66" s="292"/>
      <c r="G66" s="294"/>
      <c r="H66" s="292"/>
      <c r="I66" s="294"/>
      <c r="J66" s="292"/>
      <c r="K66" s="294"/>
      <c r="L66" s="292"/>
    </row>
    <row r="67" spans="1:12" hidden="1"/>
    <row r="68" spans="1:12" hidden="1">
      <c r="C68" s="311"/>
      <c r="E68" s="311"/>
      <c r="F68" s="311"/>
      <c r="G68" s="311"/>
      <c r="I68" s="9"/>
      <c r="K68" s="316"/>
    </row>
    <row r="69" spans="1:12" hidden="1">
      <c r="C69" s="311"/>
      <c r="E69" s="311"/>
      <c r="F69" s="311"/>
      <c r="G69" s="311"/>
      <c r="I69" s="12"/>
      <c r="K69" s="316"/>
    </row>
    <row r="70" spans="1:12" ht="21" hidden="1" customHeight="1">
      <c r="C70" s="311"/>
      <c r="E70" s="311"/>
      <c r="F70" s="311"/>
      <c r="G70" s="311"/>
      <c r="I70" s="12"/>
      <c r="K70" s="316"/>
    </row>
    <row r="73" spans="1:12">
      <c r="A73" s="16" t="s">
        <v>29</v>
      </c>
      <c r="B73" s="16" t="s">
        <v>39</v>
      </c>
      <c r="I73" s="297"/>
    </row>
    <row r="74" spans="1:12">
      <c r="D74" s="293"/>
      <c r="E74" s="293" t="s">
        <v>40</v>
      </c>
      <c r="F74" s="293"/>
      <c r="G74" s="293" t="s">
        <v>136</v>
      </c>
      <c r="H74" s="293"/>
      <c r="I74" s="293" t="s">
        <v>147</v>
      </c>
      <c r="J74" s="293"/>
      <c r="L74" s="293"/>
    </row>
    <row r="75" spans="1:12">
      <c r="D75" s="292"/>
      <c r="E75" s="294" t="s">
        <v>118</v>
      </c>
      <c r="F75" s="292"/>
      <c r="G75" s="294" t="s">
        <v>119</v>
      </c>
      <c r="H75" s="292"/>
      <c r="I75" s="294" t="s">
        <v>137</v>
      </c>
      <c r="J75" s="292"/>
      <c r="L75" s="292"/>
    </row>
    <row r="76" spans="1:12">
      <c r="D76" s="292"/>
      <c r="E76" s="294"/>
      <c r="F76" s="292"/>
      <c r="G76" s="292"/>
      <c r="H76" s="292"/>
      <c r="I76" s="294"/>
      <c r="J76" s="292"/>
      <c r="L76" s="292"/>
    </row>
    <row r="77" spans="1:12">
      <c r="B77" s="16" t="s">
        <v>138</v>
      </c>
      <c r="D77" s="292"/>
      <c r="E77" s="11">
        <f>'GS AF NM TODs'!E41</f>
        <v>351492</v>
      </c>
      <c r="F77" s="317" t="s">
        <v>46</v>
      </c>
      <c r="G77" s="318">
        <f>'GS AF NM TODs'!I34</f>
        <v>25</v>
      </c>
      <c r="H77" s="292"/>
      <c r="I77" s="319">
        <f t="shared" ref="I77:I83" si="1">+ROUND(E77*G77,0)</f>
        <v>8787300</v>
      </c>
      <c r="J77" s="292"/>
      <c r="L77" s="292"/>
    </row>
    <row r="78" spans="1:12">
      <c r="B78" s="16" t="s">
        <v>830</v>
      </c>
      <c r="D78" s="292"/>
      <c r="E78" s="11">
        <f>'GS AF NM TODs'!C139</f>
        <v>876</v>
      </c>
      <c r="F78" s="317" t="s">
        <v>46</v>
      </c>
      <c r="G78" s="318">
        <f>'GS AF NM TODs'!E139</f>
        <v>25</v>
      </c>
      <c r="H78" s="292"/>
      <c r="I78" s="319">
        <f t="shared" si="1"/>
        <v>21900</v>
      </c>
      <c r="J78" s="292"/>
      <c r="L78" s="292"/>
    </row>
    <row r="79" spans="1:12">
      <c r="B79" s="16" t="s">
        <v>149</v>
      </c>
      <c r="D79" s="292"/>
      <c r="E79" s="11">
        <f>'GS AF NM TODs'!E42</f>
        <v>16572</v>
      </c>
      <c r="F79" s="317" t="s">
        <v>46</v>
      </c>
      <c r="G79" s="318">
        <f>'GS AF NM TODs'!C42</f>
        <v>15</v>
      </c>
      <c r="H79" s="292"/>
      <c r="I79" s="319">
        <f t="shared" si="1"/>
        <v>248580</v>
      </c>
      <c r="J79" s="292"/>
      <c r="L79" s="292"/>
    </row>
    <row r="80" spans="1:12">
      <c r="B80" s="16" t="s">
        <v>139</v>
      </c>
      <c r="D80" s="292"/>
      <c r="E80" s="11">
        <f>E96</f>
        <v>5892</v>
      </c>
      <c r="F80" s="317" t="s">
        <v>46</v>
      </c>
      <c r="G80" s="318">
        <f>M25</f>
        <v>25</v>
      </c>
      <c r="H80" s="292"/>
      <c r="I80" s="319">
        <f t="shared" ref="I80" si="2">+ROUND(E80*G80,0)</f>
        <v>147300</v>
      </c>
      <c r="J80" s="292"/>
      <c r="L80" s="292"/>
    </row>
    <row r="81" spans="1:13">
      <c r="B81" s="16" t="s">
        <v>129</v>
      </c>
      <c r="E81" s="11">
        <f>+E17</f>
        <v>10521888.08379999</v>
      </c>
      <c r="F81" s="317" t="s">
        <v>44</v>
      </c>
      <c r="G81" s="316">
        <f>E40</f>
        <v>0.214757</v>
      </c>
      <c r="I81" s="319">
        <f t="shared" si="1"/>
        <v>2259649</v>
      </c>
    </row>
    <row r="82" spans="1:13">
      <c r="B82" s="16" t="s">
        <v>130</v>
      </c>
      <c r="E82" s="11">
        <f>+E18</f>
        <v>14592324.846400002</v>
      </c>
      <c r="F82" s="317" t="s">
        <v>44</v>
      </c>
      <c r="G82" s="316">
        <f>E41</f>
        <v>0.18801699999999999</v>
      </c>
      <c r="I82" s="319">
        <f t="shared" si="1"/>
        <v>2743605</v>
      </c>
    </row>
    <row r="83" spans="1:13">
      <c r="B83" s="16" t="s">
        <v>131</v>
      </c>
      <c r="E83" s="11">
        <f>+E19</f>
        <v>562196754.20971859</v>
      </c>
      <c r="F83" s="317" t="s">
        <v>44</v>
      </c>
      <c r="G83" s="316">
        <f>E42</f>
        <v>0.119087</v>
      </c>
      <c r="I83" s="319">
        <f t="shared" si="1"/>
        <v>66950325</v>
      </c>
    </row>
    <row r="84" spans="1:13">
      <c r="B84" s="16" t="s">
        <v>74</v>
      </c>
      <c r="E84" s="11">
        <f>+E39</f>
        <v>587310967.13991857</v>
      </c>
      <c r="F84" s="317" t="s">
        <v>44</v>
      </c>
      <c r="G84" s="12">
        <v>0</v>
      </c>
      <c r="I84" s="320">
        <f>ROUND(E84*G84,5)</f>
        <v>0</v>
      </c>
    </row>
    <row r="85" spans="1:13">
      <c r="I85" s="321">
        <f>SUM(I77:I84)</f>
        <v>81158659</v>
      </c>
      <c r="K85" s="297">
        <f>+E14</f>
        <v>81158652.223164424</v>
      </c>
      <c r="M85" s="321">
        <f>+I85-K85</f>
        <v>6.7768355756998062</v>
      </c>
    </row>
    <row r="86" spans="1:13">
      <c r="I86" s="11"/>
    </row>
    <row r="88" spans="1:13">
      <c r="B88" s="16" t="s">
        <v>141</v>
      </c>
    </row>
    <row r="90" spans="1:13">
      <c r="A90" s="16" t="s">
        <v>79</v>
      </c>
      <c r="B90" s="16" t="s">
        <v>148</v>
      </c>
    </row>
    <row r="91" spans="1:13">
      <c r="E91" s="293" t="s">
        <v>40</v>
      </c>
      <c r="F91" s="293"/>
      <c r="G91" s="293" t="s">
        <v>136</v>
      </c>
      <c r="H91" s="293"/>
      <c r="I91" s="293" t="s">
        <v>147</v>
      </c>
      <c r="K91" s="16" t="s">
        <v>95</v>
      </c>
    </row>
    <row r="92" spans="1:13">
      <c r="B92" s="16" t="s">
        <v>146</v>
      </c>
      <c r="G92" s="11"/>
    </row>
    <row r="93" spans="1:13">
      <c r="B93" s="322" t="s">
        <v>129</v>
      </c>
      <c r="E93" s="323">
        <v>576856.58796911046</v>
      </c>
      <c r="G93" s="316">
        <f>G81</f>
        <v>0.214757</v>
      </c>
      <c r="I93" s="319">
        <f>+ROUND(E93*G93,0)</f>
        <v>123884</v>
      </c>
      <c r="K93" s="677">
        <v>0.17238000000000001</v>
      </c>
    </row>
    <row r="94" spans="1:13">
      <c r="B94" s="322" t="s">
        <v>130</v>
      </c>
      <c r="E94" s="323">
        <v>626447.17464835534</v>
      </c>
      <c r="G94" s="316">
        <f t="shared" ref="G94:G95" si="3">G82</f>
        <v>0.18801699999999999</v>
      </c>
      <c r="I94" s="319">
        <f>+ROUND(E94*G94,0)</f>
        <v>117783</v>
      </c>
      <c r="K94" s="677">
        <v>0.14563999999999999</v>
      </c>
      <c r="M94" s="677">
        <f>K93-K94</f>
        <v>2.6740000000000014E-2</v>
      </c>
    </row>
    <row r="95" spans="1:13">
      <c r="B95" s="322" t="s">
        <v>131</v>
      </c>
      <c r="E95" s="323">
        <v>6791270.6105784113</v>
      </c>
      <c r="G95" s="316">
        <f t="shared" si="3"/>
        <v>0.119087</v>
      </c>
      <c r="I95" s="319">
        <f>+ROUND(E95*G95,0)</f>
        <v>808752</v>
      </c>
      <c r="K95" s="677">
        <v>7.671E-2</v>
      </c>
      <c r="M95" s="677">
        <f>K93-K95</f>
        <v>9.5670000000000005E-2</v>
      </c>
    </row>
    <row r="96" spans="1:13">
      <c r="B96" s="322" t="s">
        <v>8</v>
      </c>
      <c r="E96" s="323">
        <v>5892</v>
      </c>
      <c r="G96" s="324">
        <f>M25</f>
        <v>25</v>
      </c>
      <c r="I96" s="320">
        <f>+ROUND(E96*G96,0)</f>
        <v>147300</v>
      </c>
    </row>
    <row r="98" spans="2:9">
      <c r="B98" s="16" t="s">
        <v>9</v>
      </c>
      <c r="I98" s="321">
        <f>SUM(I93:I96)</f>
        <v>1197719</v>
      </c>
    </row>
  </sheetData>
  <mergeCells count="1">
    <mergeCell ref="C52:E52"/>
  </mergeCells>
  <printOptions horizontalCentered="1"/>
  <pageMargins left="0.5" right="0.5" top="0.5" bottom="0.5" header="0.5" footer="0.5"/>
  <pageSetup fitToHeight="2" orientation="portrait" r:id="rId1"/>
  <headerFooter alignWithMargins="0">
    <oddHeader>&amp;C&amp;"Arial,Regular"KENTUCKY POWER COMPANY
Experimental SGS-TOD Rate Design
Twelve Months Ended, December 31, 2016
Rate Design&amp;RPage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47"/>
  <sheetViews>
    <sheetView showOutlineSymbols="0" zoomScaleNormal="100" workbookViewId="0">
      <selection activeCell="E26" sqref="E26"/>
    </sheetView>
  </sheetViews>
  <sheetFormatPr defaultColWidth="9.75" defaultRowHeight="15"/>
  <cols>
    <col min="1" max="1" width="4.75" style="19" customWidth="1"/>
    <col min="2" max="2" width="38.875" style="19" bestFit="1" customWidth="1"/>
    <col min="3" max="3" width="17.625" style="19" bestFit="1" customWidth="1"/>
    <col min="4" max="4" width="5.75" style="19" customWidth="1"/>
    <col min="5" max="5" width="13.5" style="19" customWidth="1"/>
    <col min="6" max="6" width="6" style="19" customWidth="1"/>
    <col min="7" max="7" width="13.5" style="19" customWidth="1"/>
    <col min="8" max="8" width="6" style="19" customWidth="1"/>
    <col min="9" max="9" width="13.5" style="19" customWidth="1"/>
    <col min="10" max="10" width="11.875" style="19" bestFit="1" customWidth="1"/>
    <col min="11" max="11" width="13.5" style="19" customWidth="1"/>
    <col min="12" max="16384" width="9.75" style="19"/>
  </cols>
  <sheetData>
    <row r="1" spans="1:11" ht="15.75">
      <c r="B1" s="331" t="s">
        <v>941</v>
      </c>
    </row>
    <row r="3" spans="1:11">
      <c r="A3" s="31" t="s">
        <v>223</v>
      </c>
      <c r="B3" s="250" t="s">
        <v>86</v>
      </c>
      <c r="C3" s="23" t="s">
        <v>2</v>
      </c>
      <c r="D3" s="30"/>
      <c r="F3" s="30"/>
      <c r="G3" s="23" t="s">
        <v>2</v>
      </c>
      <c r="I3" s="22"/>
    </row>
    <row r="4" spans="1:11">
      <c r="A4" s="30"/>
      <c r="B4" s="30"/>
      <c r="C4" s="23" t="s">
        <v>3</v>
      </c>
      <c r="D4" s="30"/>
      <c r="E4" s="23" t="s">
        <v>74</v>
      </c>
      <c r="F4" s="30"/>
      <c r="G4" s="23" t="s">
        <v>3</v>
      </c>
      <c r="I4" s="22"/>
      <c r="J4" s="30"/>
      <c r="K4" s="23" t="s">
        <v>75</v>
      </c>
    </row>
    <row r="5" spans="1:11">
      <c r="A5" s="30"/>
      <c r="B5" s="30"/>
      <c r="C5" s="251" t="s">
        <v>1</v>
      </c>
      <c r="D5" s="30"/>
      <c r="E5" s="251" t="s">
        <v>1</v>
      </c>
      <c r="F5" s="30"/>
      <c r="G5" s="251" t="s">
        <v>222</v>
      </c>
      <c r="I5" s="252"/>
      <c r="J5" s="30"/>
      <c r="K5" s="251" t="s">
        <v>1</v>
      </c>
    </row>
    <row r="6" spans="1:11">
      <c r="A6" s="30"/>
      <c r="D6" s="30"/>
    </row>
    <row r="7" spans="1:11">
      <c r="A7" s="30"/>
      <c r="B7" s="31" t="s">
        <v>221</v>
      </c>
      <c r="C7" s="253">
        <f>GS!D6</f>
        <v>57868765.595469862</v>
      </c>
      <c r="D7" s="30"/>
      <c r="E7" s="254">
        <v>0</v>
      </c>
      <c r="F7" s="30"/>
      <c r="G7" s="29">
        <f>+C7-E7</f>
        <v>57868765.595469862</v>
      </c>
      <c r="I7" s="29"/>
      <c r="J7" s="255"/>
      <c r="K7" s="29">
        <f>G7</f>
        <v>57868765.595469862</v>
      </c>
    </row>
    <row r="8" spans="1:11">
      <c r="A8" s="30"/>
      <c r="B8" s="31" t="s">
        <v>220</v>
      </c>
      <c r="C8" s="256">
        <f>GS!D7</f>
        <v>18768157.196030855</v>
      </c>
      <c r="D8" s="30"/>
      <c r="E8" s="20">
        <v>0</v>
      </c>
      <c r="F8" s="30"/>
      <c r="G8" s="29">
        <f>+C8-E8</f>
        <v>18768157.196030855</v>
      </c>
      <c r="I8" s="20"/>
      <c r="J8" s="30"/>
      <c r="K8" s="20">
        <f>G8</f>
        <v>18768157.196030855</v>
      </c>
    </row>
    <row r="9" spans="1:11">
      <c r="A9" s="30"/>
      <c r="B9" s="31" t="s">
        <v>53</v>
      </c>
      <c r="C9" s="257">
        <f>GS!D8</f>
        <v>4521729.4316637022</v>
      </c>
      <c r="D9" s="30"/>
      <c r="E9" s="20">
        <v>0</v>
      </c>
      <c r="F9" s="30"/>
      <c r="G9" s="258">
        <f>+C9-E9</f>
        <v>4521729.4316637022</v>
      </c>
      <c r="H9" s="259"/>
      <c r="I9" s="20"/>
      <c r="J9" s="30"/>
      <c r="K9" s="20">
        <f>G9</f>
        <v>4521729.4316637022</v>
      </c>
    </row>
    <row r="10" spans="1:11">
      <c r="A10" s="30"/>
      <c r="B10" s="260" t="s">
        <v>54</v>
      </c>
      <c r="C10" s="29">
        <f>SUM(C7:C9)</f>
        <v>81158652.223164424</v>
      </c>
      <c r="D10" s="261"/>
      <c r="E10" s="262">
        <v>0</v>
      </c>
      <c r="F10" s="261"/>
      <c r="G10" s="29">
        <f>SUM(G7:G9)</f>
        <v>81158652.223164424</v>
      </c>
      <c r="I10" s="262"/>
      <c r="J10" s="261"/>
      <c r="K10" s="263">
        <f>SUM(K7:K9)</f>
        <v>81158652.223164424</v>
      </c>
    </row>
    <row r="11" spans="1:11">
      <c r="A11" s="30"/>
      <c r="H11" s="264"/>
      <c r="I11" s="34"/>
    </row>
    <row r="12" spans="1:11" ht="19.5" customHeight="1">
      <c r="A12" s="30"/>
    </row>
    <row r="13" spans="1:11">
      <c r="A13" s="31"/>
      <c r="B13" s="31"/>
      <c r="C13" s="29"/>
      <c r="D13" s="31"/>
      <c r="E13" s="20"/>
      <c r="F13" s="31"/>
      <c r="G13" s="30"/>
      <c r="H13" s="23"/>
      <c r="I13" s="30"/>
      <c r="J13" s="30"/>
      <c r="K13" s="26"/>
    </row>
    <row r="14" spans="1:11">
      <c r="A14" s="31" t="s">
        <v>219</v>
      </c>
      <c r="B14" s="250" t="s">
        <v>218</v>
      </c>
      <c r="C14" s="29"/>
      <c r="D14" s="31"/>
      <c r="E14" s="734"/>
      <c r="F14" s="31"/>
      <c r="G14" s="30"/>
      <c r="H14" s="23"/>
      <c r="I14" s="30"/>
      <c r="J14" s="30"/>
      <c r="K14" s="26"/>
    </row>
    <row r="15" spans="1:11">
      <c r="A15" s="31"/>
      <c r="B15" s="31"/>
      <c r="C15" s="29"/>
      <c r="D15" s="31"/>
      <c r="E15" s="20"/>
      <c r="F15" s="31"/>
      <c r="G15" s="30"/>
      <c r="H15" s="23"/>
      <c r="I15" s="30"/>
      <c r="J15" s="30"/>
      <c r="K15" s="26"/>
    </row>
    <row r="16" spans="1:11">
      <c r="A16" s="31"/>
      <c r="B16" s="31" t="s">
        <v>217</v>
      </c>
      <c r="C16" s="253">
        <v>8509957</v>
      </c>
      <c r="D16" s="31"/>
      <c r="E16" s="20"/>
      <c r="F16" s="31" t="s">
        <v>216</v>
      </c>
      <c r="H16" s="23"/>
      <c r="I16" s="30"/>
      <c r="J16" s="30"/>
      <c r="K16" s="29">
        <f>G9</f>
        <v>4521729.4316637022</v>
      </c>
    </row>
    <row r="17" spans="1:11">
      <c r="A17" s="31"/>
      <c r="B17" s="31" t="s">
        <v>215</v>
      </c>
      <c r="C17" s="735">
        <v>0.64749999999999996</v>
      </c>
      <c r="D17" s="31"/>
      <c r="E17" s="20"/>
      <c r="F17" s="31" t="s">
        <v>214</v>
      </c>
      <c r="H17" s="23"/>
      <c r="I17" s="30"/>
      <c r="J17" s="30"/>
      <c r="K17" s="28">
        <f>C22</f>
        <v>732710.13434964558</v>
      </c>
    </row>
    <row r="18" spans="1:11">
      <c r="A18" s="31"/>
      <c r="B18" s="31" t="s">
        <v>213</v>
      </c>
      <c r="C18" s="28">
        <f>C16*C17</f>
        <v>5510197.1574999997</v>
      </c>
      <c r="D18" s="31"/>
      <c r="E18" s="20"/>
      <c r="F18" s="31" t="s">
        <v>212</v>
      </c>
      <c r="H18" s="23"/>
      <c r="I18" s="30"/>
      <c r="J18" s="30"/>
      <c r="K18" s="265">
        <f>424541+14011</f>
        <v>438552</v>
      </c>
    </row>
    <row r="19" spans="1:11">
      <c r="A19" s="31"/>
      <c r="B19" s="31" t="s">
        <v>789</v>
      </c>
      <c r="C19" s="735">
        <v>9.8299999999999998E-2</v>
      </c>
      <c r="D19" s="31"/>
      <c r="E19" s="20"/>
      <c r="F19" s="31" t="s">
        <v>211</v>
      </c>
      <c r="H19" s="23"/>
      <c r="I19" s="30"/>
      <c r="J19" s="30"/>
      <c r="K19" s="266">
        <v>130923</v>
      </c>
    </row>
    <row r="20" spans="1:11">
      <c r="A20" s="31"/>
      <c r="B20" s="31" t="s">
        <v>210</v>
      </c>
      <c r="C20" s="28">
        <f>C18*C19</f>
        <v>541652.38058224996</v>
      </c>
      <c r="D20" s="31"/>
      <c r="E20" s="20"/>
      <c r="F20" s="31" t="s">
        <v>209</v>
      </c>
      <c r="H20" s="23"/>
      <c r="I20" s="30"/>
      <c r="J20" s="30"/>
      <c r="K20" s="28">
        <f>K16-K17-K18-K19</f>
        <v>3219544.2973140567</v>
      </c>
    </row>
    <row r="21" spans="1:11">
      <c r="A21" s="31"/>
      <c r="B21" s="31" t="s">
        <v>208</v>
      </c>
      <c r="C21" s="736">
        <v>1.35273131</v>
      </c>
      <c r="D21" s="31"/>
      <c r="E21" s="20"/>
      <c r="F21" s="737" t="s">
        <v>207</v>
      </c>
      <c r="H21" s="23"/>
      <c r="I21" s="30"/>
      <c r="J21" s="30"/>
      <c r="K21" s="27">
        <f>E41+E42+C139+'SGS TOD'!E96</f>
        <v>374832</v>
      </c>
    </row>
    <row r="22" spans="1:11">
      <c r="A22" s="31"/>
      <c r="B22" s="31" t="s">
        <v>206</v>
      </c>
      <c r="C22" s="28">
        <f>C20*C21</f>
        <v>732710.13434964558</v>
      </c>
      <c r="D22" s="31"/>
      <c r="E22" s="20"/>
      <c r="F22" s="31" t="s">
        <v>829</v>
      </c>
      <c r="H22" s="23"/>
      <c r="I22" s="30"/>
      <c r="J22" s="30"/>
      <c r="K22" s="734">
        <f>ROUND(K20/K21,2)</f>
        <v>8.59</v>
      </c>
    </row>
    <row r="23" spans="1:11">
      <c r="A23" s="31"/>
      <c r="B23" s="31"/>
      <c r="C23" s="28"/>
      <c r="D23" s="31"/>
      <c r="E23" s="20"/>
      <c r="F23" s="31" t="s">
        <v>95</v>
      </c>
      <c r="H23" s="23"/>
      <c r="I23" s="30"/>
      <c r="J23" s="30"/>
      <c r="K23" s="26">
        <v>14</v>
      </c>
    </row>
    <row r="24" spans="1:11">
      <c r="A24" s="31"/>
      <c r="D24" s="31"/>
      <c r="E24" s="20"/>
      <c r="F24" s="31" t="s">
        <v>205</v>
      </c>
      <c r="H24" s="23"/>
      <c r="I24" s="30"/>
      <c r="J24" s="30"/>
      <c r="K24" s="26">
        <v>15</v>
      </c>
    </row>
    <row r="25" spans="1:11">
      <c r="A25" s="31"/>
      <c r="D25" s="31"/>
      <c r="E25" s="20"/>
      <c r="F25" s="31"/>
      <c r="G25" s="30"/>
      <c r="H25" s="23"/>
      <c r="I25" s="30"/>
      <c r="J25" s="30"/>
      <c r="K25" s="26"/>
    </row>
    <row r="26" spans="1:11">
      <c r="A26" s="31"/>
      <c r="B26" s="31"/>
      <c r="C26" s="29"/>
      <c r="D26" s="31"/>
      <c r="E26" s="20"/>
      <c r="F26" s="31"/>
      <c r="G26" s="30"/>
      <c r="H26" s="23"/>
      <c r="I26" s="30"/>
      <c r="J26" s="30"/>
      <c r="K26" s="26"/>
    </row>
    <row r="27" spans="1:11">
      <c r="A27" s="31" t="s">
        <v>204</v>
      </c>
      <c r="B27" s="250" t="s">
        <v>203</v>
      </c>
    </row>
    <row r="28" spans="1:11">
      <c r="A28" s="31"/>
      <c r="B28" s="19" t="s">
        <v>17</v>
      </c>
      <c r="C28" s="29">
        <f>K9</f>
        <v>4521729.4316637022</v>
      </c>
      <c r="D28" s="31" t="s">
        <v>72</v>
      </c>
      <c r="G28" s="30"/>
    </row>
    <row r="29" spans="1:11">
      <c r="A29" s="31"/>
      <c r="B29" s="31" t="s">
        <v>202</v>
      </c>
      <c r="C29" s="27">
        <f>+I42</f>
        <v>248580</v>
      </c>
      <c r="D29" s="31" t="s">
        <v>72</v>
      </c>
      <c r="E29" s="20"/>
      <c r="F29" s="31"/>
      <c r="G29" s="30"/>
    </row>
    <row r="30" spans="1:11">
      <c r="A30" s="31"/>
      <c r="B30" s="31" t="s">
        <v>201</v>
      </c>
      <c r="C30" s="29">
        <f>C28-C29</f>
        <v>4273149.4316637022</v>
      </c>
      <c r="D30" s="31" t="s">
        <v>200</v>
      </c>
      <c r="E30" s="20">
        <f>+E41</f>
        <v>351492</v>
      </c>
      <c r="F30" s="31" t="s">
        <v>197</v>
      </c>
      <c r="G30" s="30"/>
      <c r="H30" s="23" t="s">
        <v>15</v>
      </c>
      <c r="I30" s="26">
        <f>C30/E30</f>
        <v>12.157174079818892</v>
      </c>
      <c r="J30" s="31" t="s">
        <v>14</v>
      </c>
    </row>
    <row r="31" spans="1:11">
      <c r="A31" s="31"/>
      <c r="B31" s="31"/>
      <c r="C31" s="29"/>
      <c r="D31" s="31"/>
      <c r="E31" s="20"/>
      <c r="F31" s="31"/>
      <c r="G31" s="30"/>
      <c r="H31" s="23"/>
      <c r="I31" s="26"/>
      <c r="J31" s="31"/>
    </row>
    <row r="32" spans="1:11">
      <c r="A32" s="31"/>
      <c r="B32" s="31"/>
      <c r="C32" s="29"/>
      <c r="D32" s="31"/>
      <c r="E32" s="20"/>
      <c r="F32" s="31"/>
      <c r="G32" s="30" t="s">
        <v>95</v>
      </c>
      <c r="H32" s="23" t="s">
        <v>15</v>
      </c>
      <c r="I32" s="26">
        <v>22.5</v>
      </c>
      <c r="J32" s="31" t="s">
        <v>14</v>
      </c>
    </row>
    <row r="33" spans="1:10">
      <c r="A33" s="30"/>
      <c r="C33" s="30"/>
      <c r="D33" s="30"/>
      <c r="E33" s="30"/>
      <c r="F33" s="30"/>
      <c r="G33" s="30"/>
      <c r="H33" s="23"/>
      <c r="I33" s="26"/>
      <c r="J33" s="31"/>
    </row>
    <row r="34" spans="1:10">
      <c r="B34" s="31"/>
      <c r="C34" s="25"/>
      <c r="G34" s="267" t="s">
        <v>199</v>
      </c>
      <c r="I34" s="26">
        <v>25</v>
      </c>
      <c r="J34" s="31" t="s">
        <v>14</v>
      </c>
    </row>
    <row r="35" spans="1:10">
      <c r="B35" s="31"/>
      <c r="C35" s="25"/>
    </row>
    <row r="36" spans="1:10">
      <c r="B36" s="31" t="s">
        <v>942</v>
      </c>
      <c r="C36" s="25"/>
      <c r="E36" s="738">
        <f>GS!D30</f>
        <v>342480</v>
      </c>
    </row>
    <row r="37" spans="1:10">
      <c r="B37" s="31" t="s">
        <v>745</v>
      </c>
      <c r="C37" s="25"/>
      <c r="E37" s="19">
        <v>5892</v>
      </c>
    </row>
    <row r="38" spans="1:10">
      <c r="B38" s="31" t="s">
        <v>943</v>
      </c>
      <c r="C38" s="25"/>
      <c r="E38" s="19">
        <v>1020</v>
      </c>
    </row>
    <row r="39" spans="1:10">
      <c r="B39" s="31" t="s">
        <v>746</v>
      </c>
      <c r="C39" s="25"/>
      <c r="E39" s="19">
        <v>1224</v>
      </c>
    </row>
    <row r="40" spans="1:10">
      <c r="B40" s="31" t="s">
        <v>748</v>
      </c>
      <c r="C40" s="25"/>
      <c r="E40" s="259">
        <v>876</v>
      </c>
    </row>
    <row r="41" spans="1:10">
      <c r="A41" s="30"/>
      <c r="B41" s="31" t="s">
        <v>198</v>
      </c>
      <c r="C41" s="26">
        <f>I34</f>
        <v>25</v>
      </c>
      <c r="D41" s="23" t="s">
        <v>88</v>
      </c>
      <c r="E41" s="256">
        <f>SUM(E36:E40)</f>
        <v>351492</v>
      </c>
      <c r="F41" s="31" t="s">
        <v>197</v>
      </c>
      <c r="G41" s="267" t="s">
        <v>15</v>
      </c>
      <c r="I41" s="29">
        <f>ROUND((C41*E41),0)</f>
        <v>8787300</v>
      </c>
      <c r="J41" s="30"/>
    </row>
    <row r="42" spans="1:10">
      <c r="A42" s="30"/>
      <c r="B42" s="268" t="s">
        <v>944</v>
      </c>
      <c r="C42" s="25">
        <f>K24</f>
        <v>15</v>
      </c>
      <c r="D42" s="23" t="s">
        <v>88</v>
      </c>
      <c r="E42" s="256">
        <v>16572</v>
      </c>
      <c r="F42" s="31" t="s">
        <v>197</v>
      </c>
      <c r="G42" s="264" t="s">
        <v>15</v>
      </c>
      <c r="I42" s="29">
        <f>ROUND((C42*E42),0)</f>
        <v>248580</v>
      </c>
    </row>
    <row r="43" spans="1:10">
      <c r="A43" s="30"/>
      <c r="B43" s="268" t="s">
        <v>72</v>
      </c>
    </row>
    <row r="44" spans="1:10">
      <c r="A44" s="30"/>
      <c r="B44" s="268"/>
    </row>
    <row r="45" spans="1:10">
      <c r="A45" s="31" t="s">
        <v>196</v>
      </c>
      <c r="B45" s="250" t="s">
        <v>195</v>
      </c>
      <c r="E45" s="22"/>
    </row>
    <row r="46" spans="1:10">
      <c r="C46" s="269" t="s">
        <v>95</v>
      </c>
      <c r="E46" s="22"/>
      <c r="G46" s="22"/>
    </row>
    <row r="47" spans="1:10">
      <c r="A47" s="30"/>
      <c r="C47" s="270" t="s">
        <v>136</v>
      </c>
      <c r="E47" s="24"/>
      <c r="G47" s="24"/>
      <c r="I47" s="24"/>
    </row>
    <row r="48" spans="1:10">
      <c r="A48" s="30"/>
      <c r="C48" s="270"/>
      <c r="E48" s="24"/>
      <c r="G48" s="24"/>
      <c r="I48" s="24"/>
    </row>
    <row r="49" spans="1:11" s="740" customFormat="1" ht="14.25" hidden="1" customHeight="1">
      <c r="A49" s="739"/>
      <c r="B49" s="740" t="s">
        <v>945</v>
      </c>
      <c r="C49" s="741">
        <v>9.9519999999999997E-2</v>
      </c>
    </row>
    <row r="50" spans="1:11" s="740" customFormat="1" hidden="1">
      <c r="A50" s="739"/>
      <c r="B50" s="742" t="s">
        <v>946</v>
      </c>
      <c r="C50" s="741">
        <v>9.9430000000000004E-2</v>
      </c>
      <c r="D50" s="743"/>
      <c r="E50" s="744"/>
      <c r="F50" s="745"/>
      <c r="G50" s="745"/>
      <c r="H50" s="743"/>
      <c r="I50" s="746"/>
      <c r="J50" s="745"/>
      <c r="K50" s="747"/>
    </row>
    <row r="51" spans="1:11" s="740" customFormat="1" hidden="1">
      <c r="A51" s="739"/>
      <c r="B51" s="740" t="s">
        <v>188</v>
      </c>
      <c r="C51" s="741">
        <f>C49-C50</f>
        <v>8.9999999999992863E-5</v>
      </c>
    </row>
    <row r="52" spans="1:11" s="740" customFormat="1" hidden="1">
      <c r="A52" s="739"/>
      <c r="B52" s="740" t="s">
        <v>194</v>
      </c>
      <c r="C52" s="741">
        <f>(I34-I32)/500</f>
        <v>5.0000000000000001E-3</v>
      </c>
    </row>
    <row r="53" spans="1:11" s="740" customFormat="1" hidden="1">
      <c r="A53" s="739"/>
      <c r="B53" s="740" t="s">
        <v>193</v>
      </c>
      <c r="C53" s="741">
        <f>C51-C52</f>
        <v>-4.9100000000000072E-3</v>
      </c>
    </row>
    <row r="54" spans="1:11" s="740" customFormat="1" hidden="1">
      <c r="A54" s="739"/>
      <c r="B54" s="740" t="s">
        <v>945</v>
      </c>
      <c r="C54" s="748">
        <f>C79</f>
        <v>61576549</v>
      </c>
    </row>
    <row r="55" spans="1:11" s="740" customFormat="1" hidden="1">
      <c r="A55" s="739"/>
      <c r="B55" s="740" t="s">
        <v>192</v>
      </c>
      <c r="C55" s="748">
        <f>C54*C53</f>
        <v>-302340.85559000046</v>
      </c>
    </row>
    <row r="56" spans="1:11">
      <c r="A56" s="30"/>
      <c r="C56" s="271"/>
    </row>
    <row r="57" spans="1:11">
      <c r="A57" s="30"/>
      <c r="C57" s="20"/>
    </row>
    <row r="58" spans="1:11">
      <c r="A58" s="30"/>
      <c r="B58" s="31" t="s">
        <v>191</v>
      </c>
      <c r="C58" s="29">
        <f>K10</f>
        <v>81158652.223164424</v>
      </c>
      <c r="E58" s="20"/>
      <c r="F58" s="30"/>
      <c r="G58" s="30"/>
      <c r="H58" s="30"/>
      <c r="I58" s="30"/>
      <c r="J58" s="30"/>
      <c r="K58" s="272"/>
    </row>
    <row r="59" spans="1:11">
      <c r="A59" s="30"/>
      <c r="B59" s="31" t="s">
        <v>190</v>
      </c>
      <c r="C59" s="28">
        <f>I41</f>
        <v>8787300</v>
      </c>
      <c r="E59" s="20"/>
      <c r="F59" s="30"/>
      <c r="G59" s="30"/>
      <c r="H59" s="30"/>
      <c r="I59" s="30"/>
      <c r="J59" s="30"/>
      <c r="K59" s="272"/>
    </row>
    <row r="60" spans="1:11">
      <c r="A60" s="30"/>
      <c r="B60" s="31" t="s">
        <v>189</v>
      </c>
      <c r="C60" s="20">
        <f>I42</f>
        <v>248580</v>
      </c>
      <c r="E60" s="20"/>
      <c r="F60" s="30"/>
      <c r="G60" s="30"/>
      <c r="H60" s="30"/>
      <c r="I60" s="30"/>
      <c r="J60" s="30"/>
      <c r="K60" s="272"/>
    </row>
    <row r="61" spans="1:11">
      <c r="A61" s="30"/>
      <c r="B61" s="31"/>
      <c r="C61" s="28"/>
      <c r="E61" s="20"/>
      <c r="F61" s="30"/>
      <c r="G61" s="30"/>
      <c r="H61" s="30"/>
      <c r="I61" s="30"/>
      <c r="J61" s="30"/>
      <c r="K61" s="272"/>
    </row>
    <row r="62" spans="1:11">
      <c r="A62" s="30"/>
      <c r="C62" s="263">
        <f>C58-C59-C60-C61</f>
        <v>72122772.223164424</v>
      </c>
      <c r="D62" s="23"/>
      <c r="E62" s="20"/>
      <c r="F62" s="31"/>
      <c r="G62" s="33"/>
      <c r="H62" s="31"/>
      <c r="I62" s="30"/>
      <c r="J62" s="30"/>
      <c r="K62" s="272"/>
    </row>
    <row r="63" spans="1:11">
      <c r="A63" s="30"/>
      <c r="C63" s="273"/>
      <c r="D63" s="23"/>
      <c r="E63" s="20"/>
      <c r="F63" s="31"/>
      <c r="G63" s="33"/>
      <c r="H63" s="31"/>
      <c r="I63" s="30"/>
      <c r="J63" s="30"/>
      <c r="K63" s="272"/>
    </row>
    <row r="64" spans="1:11">
      <c r="A64" s="30"/>
      <c r="B64" s="19" t="s">
        <v>947</v>
      </c>
      <c r="C64" s="663">
        <f>GS!D34</f>
        <v>560314303.44697797</v>
      </c>
      <c r="D64" s="23"/>
      <c r="E64" s="20"/>
      <c r="F64" s="31"/>
      <c r="G64" s="33"/>
      <c r="H64" s="31"/>
      <c r="I64" s="30"/>
      <c r="J64" s="30"/>
      <c r="K64" s="272"/>
    </row>
    <row r="65" spans="1:11">
      <c r="A65" s="30"/>
      <c r="B65" s="19" t="s">
        <v>745</v>
      </c>
      <c r="C65" s="663">
        <v>7994574.3731958773</v>
      </c>
      <c r="D65" s="23"/>
      <c r="E65" s="20"/>
      <c r="F65" s="31"/>
      <c r="G65" s="33"/>
      <c r="H65" s="31"/>
      <c r="I65" s="30"/>
      <c r="J65" s="30"/>
      <c r="K65" s="272"/>
    </row>
    <row r="66" spans="1:11">
      <c r="A66" s="30"/>
      <c r="B66" s="19" t="s">
        <v>943</v>
      </c>
      <c r="C66" s="663">
        <v>1280317.4925962489</v>
      </c>
      <c r="D66" s="23"/>
      <c r="E66" s="20"/>
      <c r="F66" s="31"/>
      <c r="G66" s="33"/>
      <c r="H66" s="31"/>
      <c r="I66" s="30"/>
      <c r="J66" s="30"/>
      <c r="K66" s="272"/>
    </row>
    <row r="67" spans="1:11">
      <c r="A67" s="30"/>
      <c r="B67" s="19" t="s">
        <v>746</v>
      </c>
      <c r="C67" s="663">
        <v>4013592.9249714892</v>
      </c>
      <c r="D67" s="23"/>
      <c r="E67" s="20"/>
      <c r="F67" s="31"/>
      <c r="G67" s="33"/>
      <c r="H67" s="31"/>
      <c r="I67" s="30"/>
      <c r="J67" s="30"/>
      <c r="K67" s="272"/>
    </row>
    <row r="68" spans="1:11">
      <c r="A68" s="30"/>
      <c r="B68" s="19" t="s">
        <v>748</v>
      </c>
      <c r="C68" s="663">
        <v>1115842.6090179225</v>
      </c>
      <c r="D68" s="23"/>
      <c r="E68" s="20"/>
      <c r="F68" s="31"/>
      <c r="G68" s="33"/>
      <c r="H68" s="31"/>
      <c r="I68" s="30"/>
      <c r="J68" s="30"/>
      <c r="K68" s="272"/>
    </row>
    <row r="69" spans="1:11">
      <c r="A69" s="30"/>
      <c r="B69" s="259" t="s">
        <v>948</v>
      </c>
      <c r="C69" s="664">
        <v>3481919.3109452496</v>
      </c>
      <c r="D69" s="23"/>
      <c r="E69" s="20"/>
      <c r="F69" s="31"/>
      <c r="G69" s="33"/>
      <c r="H69" s="31"/>
      <c r="I69" s="30"/>
      <c r="J69" s="30"/>
      <c r="K69" s="272"/>
    </row>
    <row r="70" spans="1:11">
      <c r="A70" s="30"/>
      <c r="B70" s="19" t="s">
        <v>949</v>
      </c>
      <c r="C70" s="663">
        <f>SUM(C64:C69)</f>
        <v>578200550.15770483</v>
      </c>
      <c r="D70" s="23"/>
      <c r="E70" s="20"/>
      <c r="F70" s="31"/>
      <c r="G70" s="33"/>
      <c r="H70" s="31"/>
      <c r="I70" s="30"/>
      <c r="J70" s="30"/>
      <c r="K70" s="272"/>
    </row>
    <row r="71" spans="1:11">
      <c r="A71" s="30"/>
      <c r="C71" s="663"/>
      <c r="D71" s="23"/>
      <c r="E71" s="20"/>
      <c r="F71" s="31"/>
      <c r="G71" s="33"/>
      <c r="H71" s="31"/>
      <c r="I71" s="30"/>
      <c r="J71" s="30"/>
      <c r="K71" s="272"/>
    </row>
    <row r="72" spans="1:11">
      <c r="A72" s="30"/>
      <c r="B72" s="19" t="s">
        <v>950</v>
      </c>
      <c r="C72" s="34">
        <f>+C62</f>
        <v>72122772.223164424</v>
      </c>
      <c r="D72" s="274" t="s">
        <v>151</v>
      </c>
      <c r="E72" s="28">
        <f>C70</f>
        <v>578200550.15770483</v>
      </c>
      <c r="F72" s="22" t="s">
        <v>15</v>
      </c>
      <c r="G72" s="275">
        <f>ROUND(C72/E72,5)</f>
        <v>0.12474</v>
      </c>
      <c r="H72" s="23" t="s">
        <v>72</v>
      </c>
      <c r="I72" s="275" t="s">
        <v>72</v>
      </c>
      <c r="J72" s="23" t="s">
        <v>72</v>
      </c>
      <c r="K72" s="22" t="s">
        <v>72</v>
      </c>
    </row>
    <row r="73" spans="1:11">
      <c r="A73" s="30"/>
      <c r="C73" s="34"/>
      <c r="D73" s="274"/>
      <c r="E73" s="28"/>
      <c r="F73" s="22"/>
      <c r="G73" s="276"/>
      <c r="H73" s="23"/>
      <c r="I73" s="275"/>
      <c r="J73" s="23"/>
      <c r="K73" s="22"/>
    </row>
    <row r="74" spans="1:11">
      <c r="A74" s="30"/>
      <c r="C74" s="34"/>
      <c r="D74" s="274"/>
      <c r="E74" s="28"/>
      <c r="F74" s="22"/>
      <c r="G74" s="275"/>
      <c r="H74" s="23"/>
      <c r="I74" s="275"/>
      <c r="J74" s="23"/>
      <c r="K74" s="22"/>
    </row>
    <row r="77" spans="1:11">
      <c r="A77" s="31" t="s">
        <v>187</v>
      </c>
      <c r="B77" s="250" t="s">
        <v>39</v>
      </c>
      <c r="C77" s="277" t="s">
        <v>40</v>
      </c>
      <c r="D77" s="30"/>
      <c r="E77" s="251" t="s">
        <v>136</v>
      </c>
      <c r="F77" s="30"/>
      <c r="G77" s="251" t="s">
        <v>1</v>
      </c>
      <c r="H77" s="30"/>
      <c r="I77" s="251" t="s">
        <v>42</v>
      </c>
      <c r="J77" s="30"/>
    </row>
    <row r="78" spans="1:11">
      <c r="A78" s="30"/>
      <c r="J78" s="749" t="s">
        <v>781</v>
      </c>
    </row>
    <row r="79" spans="1:11">
      <c r="A79" s="30"/>
      <c r="B79" s="31" t="s">
        <v>186</v>
      </c>
      <c r="C79" s="278">
        <f>59293307+2283242</f>
        <v>61576549</v>
      </c>
      <c r="D79" s="31" t="s">
        <v>44</v>
      </c>
      <c r="E79" s="33">
        <f>G74</f>
        <v>0</v>
      </c>
      <c r="F79" s="31" t="s">
        <v>23</v>
      </c>
      <c r="G79" s="29">
        <f>ROUND((C79*E79),0)</f>
        <v>0</v>
      </c>
      <c r="J79" s="750">
        <v>0.11711000000000001</v>
      </c>
    </row>
    <row r="80" spans="1:11">
      <c r="A80" s="30"/>
      <c r="B80" s="31" t="s">
        <v>185</v>
      </c>
      <c r="C80" s="278">
        <f>68301984+1481654</f>
        <v>69783638</v>
      </c>
      <c r="D80" s="31" t="s">
        <v>44</v>
      </c>
      <c r="E80" s="33">
        <f>G72</f>
        <v>0.12474</v>
      </c>
      <c r="F80" s="31" t="s">
        <v>23</v>
      </c>
      <c r="G80" s="29">
        <f>ROUND((C80*E80),0)</f>
        <v>8704811</v>
      </c>
      <c r="J80" s="749">
        <v>7.2669999999999998E-2</v>
      </c>
    </row>
    <row r="81" spans="1:11">
      <c r="A81" s="30"/>
      <c r="B81" s="31" t="s">
        <v>184</v>
      </c>
      <c r="C81" s="20">
        <f>+E41</f>
        <v>351492</v>
      </c>
      <c r="D81" s="31" t="s">
        <v>46</v>
      </c>
      <c r="E81" s="26">
        <f>+C41</f>
        <v>25</v>
      </c>
      <c r="F81" s="31" t="s">
        <v>182</v>
      </c>
      <c r="G81" s="20">
        <f>ROUND((C81*E81),0)</f>
        <v>8787300</v>
      </c>
      <c r="J81" s="749">
        <v>17.5</v>
      </c>
    </row>
    <row r="82" spans="1:11">
      <c r="A82" s="30"/>
      <c r="B82" s="31" t="s">
        <v>183</v>
      </c>
      <c r="C82" s="20">
        <f>+E42</f>
        <v>16572</v>
      </c>
      <c r="D82" s="31" t="s">
        <v>46</v>
      </c>
      <c r="E82" s="26">
        <f>+C42</f>
        <v>15</v>
      </c>
      <c r="F82" s="31" t="s">
        <v>182</v>
      </c>
      <c r="G82" s="20">
        <f>ROUND((C82*E82),0)</f>
        <v>248580</v>
      </c>
      <c r="J82" s="749">
        <v>13.5</v>
      </c>
    </row>
    <row r="83" spans="1:11">
      <c r="A83" s="30"/>
      <c r="B83" s="279"/>
      <c r="C83" s="280"/>
      <c r="D83" s="261"/>
      <c r="E83" s="261"/>
      <c r="F83" s="261"/>
      <c r="G83" s="279"/>
      <c r="H83" s="30"/>
      <c r="J83" s="30"/>
    </row>
    <row r="84" spans="1:11">
      <c r="A84" s="30"/>
      <c r="B84" s="31" t="s">
        <v>181</v>
      </c>
      <c r="C84" s="30"/>
      <c r="D84" s="30"/>
      <c r="E84" s="30"/>
      <c r="F84" s="30"/>
      <c r="G84" s="29">
        <f>G79+G80+G81+G82</f>
        <v>17740691</v>
      </c>
      <c r="H84" s="30"/>
      <c r="I84" s="254">
        <f>G84-C58</f>
        <v>-63417961.223164424</v>
      </c>
      <c r="J84" s="30"/>
    </row>
    <row r="85" spans="1:11">
      <c r="A85" s="30"/>
      <c r="B85" s="31"/>
      <c r="C85" s="281"/>
      <c r="D85" s="30"/>
      <c r="E85" s="30"/>
      <c r="F85" s="30"/>
      <c r="G85" s="29"/>
      <c r="H85" s="30"/>
      <c r="I85" s="254"/>
      <c r="J85" s="30"/>
    </row>
    <row r="86" spans="1:11">
      <c r="A86" s="30"/>
      <c r="B86" s="6" t="s">
        <v>141</v>
      </c>
      <c r="C86" s="30"/>
      <c r="D86" s="30"/>
      <c r="E86" s="30"/>
      <c r="F86" s="30"/>
      <c r="G86" s="29"/>
      <c r="H86" s="30"/>
      <c r="I86" s="30"/>
      <c r="J86" s="30"/>
      <c r="K86" s="254"/>
    </row>
    <row r="87" spans="1:11">
      <c r="A87" s="30"/>
      <c r="B87" s="31"/>
      <c r="C87" s="30"/>
      <c r="D87" s="30"/>
      <c r="E87" s="30"/>
      <c r="F87" s="30"/>
      <c r="G87" s="29"/>
      <c r="H87" s="30"/>
      <c r="I87" s="30"/>
      <c r="J87" s="30"/>
      <c r="K87" s="254"/>
    </row>
    <row r="88" spans="1:11">
      <c r="A88" s="31" t="s">
        <v>180</v>
      </c>
      <c r="B88" s="250" t="s">
        <v>19</v>
      </c>
    </row>
    <row r="90" spans="1:11">
      <c r="A90" s="30"/>
      <c r="B90" s="31" t="s">
        <v>179</v>
      </c>
      <c r="C90" s="29">
        <f>+K8</f>
        <v>18768157.196030855</v>
      </c>
      <c r="D90" s="23" t="s">
        <v>151</v>
      </c>
      <c r="E90" s="20">
        <f>E72</f>
        <v>578200550.15770483</v>
      </c>
      <c r="F90" s="31" t="s">
        <v>178</v>
      </c>
      <c r="G90" s="33">
        <f>ROUND((C90/E90),5)</f>
        <v>3.2460000000000003E-2</v>
      </c>
    </row>
    <row r="91" spans="1:11">
      <c r="A91" s="30"/>
    </row>
    <row r="92" spans="1:11" ht="16.5">
      <c r="A92" s="30"/>
      <c r="B92" s="31" t="s">
        <v>177</v>
      </c>
      <c r="C92" s="30"/>
      <c r="D92" s="30"/>
      <c r="E92" s="30"/>
      <c r="F92" s="30"/>
      <c r="G92" s="665">
        <v>0.05</v>
      </c>
      <c r="H92" s="666"/>
    </row>
    <row r="93" spans="1:11">
      <c r="A93" s="30"/>
      <c r="B93" s="30"/>
      <c r="C93" s="30"/>
      <c r="D93" s="30"/>
      <c r="E93" s="30"/>
      <c r="F93" s="30"/>
      <c r="G93" s="279"/>
    </row>
    <row r="94" spans="1:11">
      <c r="A94" s="30"/>
      <c r="B94" s="31" t="s">
        <v>176</v>
      </c>
      <c r="C94" s="30"/>
      <c r="D94" s="30"/>
      <c r="E94" s="30"/>
      <c r="F94" s="30"/>
      <c r="G94" s="33">
        <f>G90+G92</f>
        <v>8.2460000000000006E-2</v>
      </c>
    </row>
    <row r="96" spans="1:11">
      <c r="A96" s="30"/>
      <c r="B96" s="31" t="s">
        <v>951</v>
      </c>
      <c r="C96" s="30"/>
      <c r="D96" s="30"/>
      <c r="E96" s="30"/>
      <c r="F96" s="30"/>
      <c r="G96" s="282">
        <f>G94</f>
        <v>8.2460000000000006E-2</v>
      </c>
    </row>
    <row r="98" spans="1:9">
      <c r="A98" s="30"/>
      <c r="B98" s="31" t="s">
        <v>175</v>
      </c>
      <c r="C98" s="30"/>
      <c r="D98" s="30"/>
      <c r="E98" s="30"/>
      <c r="F98" s="30"/>
      <c r="G98" s="283">
        <v>0.50919999999999999</v>
      </c>
      <c r="I98" s="18"/>
    </row>
    <row r="99" spans="1:9">
      <c r="A99" s="30"/>
      <c r="B99" s="31" t="s">
        <v>174</v>
      </c>
      <c r="C99" s="30"/>
      <c r="D99" s="30"/>
      <c r="E99" s="30"/>
      <c r="F99" s="30"/>
      <c r="G99" s="20">
        <f>ROUND((E90*G98),0)</f>
        <v>294419720</v>
      </c>
    </row>
    <row r="101" spans="1:9">
      <c r="A101" s="30"/>
      <c r="B101" s="31" t="s">
        <v>173</v>
      </c>
      <c r="C101" s="30"/>
      <c r="D101" s="30"/>
      <c r="E101" s="30"/>
      <c r="F101" s="30"/>
      <c r="G101" s="29">
        <f>ROUND((G99*G96),0)</f>
        <v>24277850</v>
      </c>
    </row>
    <row r="103" spans="1:9">
      <c r="A103" s="30"/>
    </row>
    <row r="105" spans="1:9">
      <c r="A105" s="31" t="s">
        <v>172</v>
      </c>
      <c r="B105" s="250" t="s">
        <v>30</v>
      </c>
    </row>
    <row r="107" spans="1:9">
      <c r="A107" s="30"/>
      <c r="B107" s="31" t="s">
        <v>952</v>
      </c>
      <c r="C107" s="30"/>
      <c r="D107" s="30"/>
      <c r="E107" s="29">
        <f>+K10</f>
        <v>81158652.223164424</v>
      </c>
    </row>
    <row r="108" spans="1:9">
      <c r="A108" s="30"/>
      <c r="B108" s="31" t="s">
        <v>171</v>
      </c>
      <c r="C108" s="30"/>
      <c r="D108" s="30"/>
      <c r="E108" s="20">
        <f>+I41</f>
        <v>8787300</v>
      </c>
    </row>
    <row r="109" spans="1:9">
      <c r="A109" s="30"/>
      <c r="B109" s="31" t="s">
        <v>170</v>
      </c>
      <c r="C109" s="30"/>
      <c r="D109" s="30"/>
      <c r="E109" s="20">
        <f>+I42</f>
        <v>248580</v>
      </c>
    </row>
    <row r="110" spans="1:9">
      <c r="A110" s="30"/>
      <c r="B110" s="31" t="s">
        <v>169</v>
      </c>
      <c r="C110" s="30"/>
      <c r="D110" s="30"/>
      <c r="E110" s="20">
        <f>+G101</f>
        <v>24277850</v>
      </c>
    </row>
    <row r="111" spans="1:9">
      <c r="A111" s="30"/>
      <c r="B111" s="30"/>
      <c r="C111" s="30"/>
      <c r="D111" s="30"/>
      <c r="E111" s="279"/>
    </row>
    <row r="112" spans="1:9">
      <c r="A112" s="30"/>
      <c r="B112" s="31" t="s">
        <v>34</v>
      </c>
      <c r="C112" s="30"/>
      <c r="D112" s="30"/>
      <c r="E112" s="29">
        <f>E107-E108-E109-E110</f>
        <v>47844922.223164424</v>
      </c>
    </row>
    <row r="113" spans="1:9">
      <c r="A113" s="30"/>
      <c r="B113" s="31" t="s">
        <v>37</v>
      </c>
      <c r="C113" s="30"/>
      <c r="D113" s="30"/>
      <c r="E113" s="20">
        <f>E90-G99</f>
        <v>283780830.15770483</v>
      </c>
    </row>
    <row r="114" spans="1:9">
      <c r="A114" s="30"/>
      <c r="B114" s="30"/>
      <c r="C114" s="30"/>
      <c r="D114" s="30"/>
      <c r="E114" s="261"/>
    </row>
    <row r="115" spans="1:9">
      <c r="A115" s="30"/>
      <c r="B115" s="31" t="s">
        <v>38</v>
      </c>
      <c r="C115" s="30"/>
      <c r="D115" s="30"/>
      <c r="E115" s="33">
        <f>ROUND((E112/E113),5)</f>
        <v>0.1686</v>
      </c>
      <c r="F115" s="31" t="s">
        <v>23</v>
      </c>
    </row>
    <row r="119" spans="1:9">
      <c r="A119" s="31" t="s">
        <v>82</v>
      </c>
      <c r="B119" s="250" t="s">
        <v>953</v>
      </c>
    </row>
    <row r="120" spans="1:9">
      <c r="A120" s="30"/>
      <c r="B120" s="30"/>
      <c r="C120" s="251" t="s">
        <v>40</v>
      </c>
      <c r="D120" s="30"/>
      <c r="E120" s="251" t="s">
        <v>136</v>
      </c>
      <c r="F120" s="30"/>
      <c r="G120" s="251" t="s">
        <v>1</v>
      </c>
      <c r="H120" s="30"/>
      <c r="I120" s="251" t="s">
        <v>42</v>
      </c>
    </row>
    <row r="121" spans="1:9">
      <c r="A121" s="30"/>
      <c r="B121" s="30"/>
    </row>
    <row r="122" spans="1:9">
      <c r="A122" s="30"/>
      <c r="B122" s="31" t="s">
        <v>43</v>
      </c>
      <c r="C122" s="20">
        <f>+E113</f>
        <v>283780830.15770483</v>
      </c>
      <c r="D122" s="31" t="s">
        <v>44</v>
      </c>
      <c r="E122" s="33">
        <f>E115</f>
        <v>0.1686</v>
      </c>
      <c r="G122" s="29">
        <f>ROUND((C122*E122),0)</f>
        <v>47845448</v>
      </c>
    </row>
    <row r="123" spans="1:9">
      <c r="A123" s="30"/>
      <c r="B123" s="31" t="s">
        <v>45</v>
      </c>
      <c r="C123" s="20">
        <f>+G99</f>
        <v>294419720</v>
      </c>
      <c r="D123" s="31" t="s">
        <v>44</v>
      </c>
      <c r="E123" s="33">
        <f>+G96</f>
        <v>8.2460000000000006E-2</v>
      </c>
      <c r="F123" s="30"/>
      <c r="G123" s="20">
        <f>ROUND((C123*E123),0)</f>
        <v>24277850</v>
      </c>
    </row>
    <row r="124" spans="1:9">
      <c r="A124" s="30"/>
      <c r="B124" s="31" t="s">
        <v>168</v>
      </c>
      <c r="C124" s="20">
        <f>+E41</f>
        <v>351492</v>
      </c>
      <c r="D124" s="31" t="s">
        <v>46</v>
      </c>
      <c r="E124" s="26">
        <f>+C41</f>
        <v>25</v>
      </c>
      <c r="F124" s="30"/>
      <c r="G124" s="20">
        <f>ROUND((C124*E124),0)</f>
        <v>8787300</v>
      </c>
    </row>
    <row r="125" spans="1:9">
      <c r="A125" s="30"/>
      <c r="B125" s="284" t="s">
        <v>167</v>
      </c>
      <c r="C125" s="285">
        <f>+E42</f>
        <v>16572</v>
      </c>
      <c r="D125" s="284" t="s">
        <v>46</v>
      </c>
      <c r="E125" s="286">
        <f>+C42</f>
        <v>15</v>
      </c>
      <c r="F125" s="32"/>
      <c r="G125" s="285">
        <f>ROUND((C125*E125),0)</f>
        <v>248580</v>
      </c>
    </row>
    <row r="126" spans="1:9">
      <c r="A126" s="30"/>
      <c r="B126" s="261"/>
      <c r="C126" s="261"/>
      <c r="D126" s="261"/>
      <c r="E126" s="261"/>
      <c r="F126" s="261"/>
      <c r="G126" s="261"/>
    </row>
    <row r="127" spans="1:9">
      <c r="A127" s="30"/>
      <c r="B127" s="19" t="s">
        <v>166</v>
      </c>
      <c r="C127" s="30"/>
      <c r="D127" s="30"/>
      <c r="E127" s="30"/>
      <c r="F127" s="30"/>
      <c r="G127" s="29">
        <f>SUM(G122:G125)</f>
        <v>81159178</v>
      </c>
      <c r="H127" s="30"/>
      <c r="I127" s="254">
        <f>G127-K10</f>
        <v>525.77683557569981</v>
      </c>
    </row>
    <row r="128" spans="1:9">
      <c r="A128" s="30"/>
      <c r="C128" s="30"/>
      <c r="D128" s="30"/>
      <c r="E128" s="30"/>
      <c r="F128" s="30"/>
      <c r="G128" s="29"/>
      <c r="H128" s="30"/>
      <c r="I128" s="254"/>
    </row>
    <row r="129" spans="1:9">
      <c r="B129" s="31" t="s">
        <v>165</v>
      </c>
    </row>
    <row r="132" spans="1:9">
      <c r="A132" s="19" t="s">
        <v>164</v>
      </c>
      <c r="B132" s="287" t="s">
        <v>163</v>
      </c>
    </row>
    <row r="134" spans="1:9">
      <c r="C134" s="22"/>
      <c r="D134" s="22"/>
      <c r="E134" s="22"/>
      <c r="F134" s="22"/>
      <c r="G134" s="22" t="s">
        <v>111</v>
      </c>
    </row>
    <row r="135" spans="1:9">
      <c r="C135" s="24" t="s">
        <v>40</v>
      </c>
      <c r="D135" s="24"/>
      <c r="E135" s="24" t="s">
        <v>136</v>
      </c>
      <c r="F135" s="24"/>
      <c r="G135" s="24" t="s">
        <v>1</v>
      </c>
      <c r="I135" s="19" t="s">
        <v>780</v>
      </c>
    </row>
    <row r="136" spans="1:9">
      <c r="B136" s="19" t="s">
        <v>923</v>
      </c>
    </row>
    <row r="137" spans="1:9">
      <c r="B137" s="19" t="s">
        <v>162</v>
      </c>
      <c r="C137" s="288">
        <v>428233.63347331493</v>
      </c>
      <c r="E137" s="289">
        <f>E122</f>
        <v>0.1686</v>
      </c>
      <c r="G137" s="20">
        <f>ROUND((C137*E137),0)</f>
        <v>72200</v>
      </c>
      <c r="I137" s="19">
        <v>0.1462</v>
      </c>
    </row>
    <row r="138" spans="1:9">
      <c r="B138" s="19" t="s">
        <v>161</v>
      </c>
      <c r="C138" s="288">
        <v>687608.97554460762</v>
      </c>
      <c r="E138" s="289">
        <f>E123</f>
        <v>8.2460000000000006E-2</v>
      </c>
      <c r="G138" s="20">
        <f>ROUND((C138*E138),0)</f>
        <v>56700</v>
      </c>
      <c r="I138" s="19">
        <v>6.2120000000000002E-2</v>
      </c>
    </row>
    <row r="139" spans="1:9">
      <c r="B139" s="19" t="s">
        <v>160</v>
      </c>
      <c r="C139" s="288">
        <v>876</v>
      </c>
      <c r="E139" s="26">
        <f>I34</f>
        <v>25</v>
      </c>
      <c r="F139" s="140"/>
      <c r="G139" s="285">
        <f>ROUND((C139*E139),0)</f>
        <v>21900</v>
      </c>
      <c r="I139" s="19">
        <v>22.5</v>
      </c>
    </row>
    <row r="140" spans="1:9">
      <c r="B140" s="19" t="s">
        <v>159</v>
      </c>
      <c r="G140" s="29">
        <f>SUM(G137:G139)</f>
        <v>150800</v>
      </c>
    </row>
    <row r="141" spans="1:9">
      <c r="G141" s="29"/>
    </row>
    <row r="142" spans="1:9">
      <c r="G142" s="29"/>
    </row>
    <row r="143" spans="1:9">
      <c r="B143" s="19" t="s">
        <v>746</v>
      </c>
      <c r="G143" s="29"/>
    </row>
    <row r="144" spans="1:9">
      <c r="B144" s="19" t="s">
        <v>162</v>
      </c>
      <c r="C144" s="288">
        <v>1593202.9780652148</v>
      </c>
      <c r="E144" s="289">
        <f>E137</f>
        <v>0.1686</v>
      </c>
      <c r="G144" s="20">
        <f>ROUND((C144*E144),0)</f>
        <v>268614</v>
      </c>
      <c r="I144" s="19">
        <v>0.16888</v>
      </c>
    </row>
    <row r="145" spans="2:9">
      <c r="B145" s="19" t="s">
        <v>161</v>
      </c>
      <c r="C145" s="288">
        <v>2420389.9469062747</v>
      </c>
      <c r="E145" s="289">
        <f>E138</f>
        <v>8.2460000000000006E-2</v>
      </c>
      <c r="G145" s="20">
        <f>ROUND((C145*E145),0)</f>
        <v>199585</v>
      </c>
      <c r="I145" s="19">
        <v>6.2120000000000002E-2</v>
      </c>
    </row>
    <row r="146" spans="2:9">
      <c r="B146" s="19" t="s">
        <v>160</v>
      </c>
      <c r="C146" s="288">
        <v>1224</v>
      </c>
      <c r="E146" s="26">
        <f>E139</f>
        <v>25</v>
      </c>
      <c r="F146" s="140"/>
      <c r="G146" s="285">
        <f>ROUND((C146*E146),0)</f>
        <v>30600</v>
      </c>
      <c r="I146" s="19">
        <v>22.5</v>
      </c>
    </row>
    <row r="147" spans="2:9">
      <c r="B147" s="19" t="s">
        <v>159</v>
      </c>
      <c r="G147" s="29">
        <f>SUM(G144:G146)</f>
        <v>498799</v>
      </c>
    </row>
  </sheetData>
  <printOptions horizontalCentered="1"/>
  <pageMargins left="0.9" right="0.5" top="0.8" bottom="0.5" header="0.5" footer="0.5"/>
  <pageSetup fitToHeight="2" orientation="portrait" r:id="rId1"/>
  <headerFooter alignWithMargins="0">
    <oddHeader xml:space="preserve">&amp;L&amp;"Arial,Regular"&amp;F
Page &amp;P of &amp;N
&amp;C&amp;"Arial,Regular"KENTUCKY POWER COMPANY 
SGS Rate Design
Twelve Months Ended December 31, 2016
</oddHeader>
  </headerFooter>
  <rowBreaks count="2" manualBreakCount="2">
    <brk id="85" max="10" man="1"/>
    <brk id="145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5"/>
  <sheetViews>
    <sheetView zoomScaleNormal="100" workbookViewId="0">
      <selection activeCell="J134" sqref="J134"/>
    </sheetView>
  </sheetViews>
  <sheetFormatPr defaultColWidth="9" defaultRowHeight="15"/>
  <cols>
    <col min="1" max="1" width="9" style="643"/>
    <col min="2" max="2" width="38" style="643" customWidth="1"/>
    <col min="3" max="3" width="23.5" style="643" bestFit="1" customWidth="1"/>
    <col min="4" max="4" width="19.375" style="643" customWidth="1"/>
    <col min="5" max="5" width="2.875" style="643" customWidth="1"/>
    <col min="6" max="6" width="14.875" style="643" bestFit="1" customWidth="1"/>
    <col min="7" max="7" width="2.875" style="643" customWidth="1"/>
    <col min="8" max="8" width="13.875" style="643" bestFit="1" customWidth="1"/>
    <col min="9" max="9" width="2.875" style="643" customWidth="1"/>
    <col min="10" max="10" width="12.25" style="643" customWidth="1"/>
    <col min="11" max="11" width="13.5" style="643" bestFit="1" customWidth="1"/>
    <col min="12" max="12" width="13.25" style="643" bestFit="1" customWidth="1"/>
    <col min="13" max="16384" width="9" style="643"/>
  </cols>
  <sheetData>
    <row r="1" spans="1:12" ht="15.75">
      <c r="A1" s="332" t="s">
        <v>750</v>
      </c>
    </row>
    <row r="3" spans="1:12" ht="15.75">
      <c r="A3" s="333" t="s">
        <v>115</v>
      </c>
      <c r="B3" s="334" t="s">
        <v>86</v>
      </c>
      <c r="C3" s="335"/>
      <c r="D3" s="336"/>
      <c r="E3" s="43"/>
      <c r="F3" s="333"/>
      <c r="G3" s="336"/>
      <c r="H3" s="333"/>
      <c r="I3" s="37"/>
      <c r="J3" s="37"/>
    </row>
    <row r="4" spans="1:12">
      <c r="A4" s="45"/>
      <c r="B4" s="37"/>
      <c r="C4" s="37"/>
      <c r="D4" s="337" t="s">
        <v>242</v>
      </c>
      <c r="E4" s="42"/>
      <c r="F4" s="337" t="s">
        <v>241</v>
      </c>
      <c r="G4" s="45"/>
      <c r="H4" s="337" t="s">
        <v>266</v>
      </c>
      <c r="I4" s="37"/>
      <c r="J4" s="337" t="s">
        <v>265</v>
      </c>
      <c r="K4" s="337" t="s">
        <v>9</v>
      </c>
    </row>
    <row r="5" spans="1:12">
      <c r="A5" s="45"/>
      <c r="B5" s="37"/>
      <c r="C5" s="338" t="s">
        <v>285</v>
      </c>
      <c r="D5" s="337"/>
      <c r="E5" s="42"/>
      <c r="F5" s="337"/>
      <c r="G5" s="45"/>
      <c r="H5" s="337"/>
      <c r="I5" s="37"/>
      <c r="J5" s="337"/>
    </row>
    <row r="6" spans="1:12">
      <c r="A6" s="45"/>
      <c r="B6" s="37"/>
      <c r="C6" s="37" t="s">
        <v>6</v>
      </c>
      <c r="D6" s="48">
        <f>'EX AEV-1'!E21+'EX AEV-1'!E23+'EX AEV-1'!E24</f>
        <v>57868765.595469862</v>
      </c>
      <c r="E6" s="44"/>
      <c r="F6" s="48">
        <f>'EX AEV-1'!F21+'EX AEV-1'!F23+'EX AEV-1'!F24</f>
        <v>677583.23050881107</v>
      </c>
      <c r="G6" s="37"/>
      <c r="H6" s="48">
        <f>'EX AEV-1'!G21</f>
        <v>64399.340392970989</v>
      </c>
      <c r="I6" s="37"/>
      <c r="J6" s="48"/>
    </row>
    <row r="7" spans="1:12">
      <c r="A7" s="45"/>
      <c r="B7" s="37"/>
      <c r="C7" s="37" t="s">
        <v>7</v>
      </c>
      <c r="D7" s="48">
        <f>'EX AEV-1'!E22</f>
        <v>18768157.196030855</v>
      </c>
      <c r="E7" s="46"/>
      <c r="F7" s="48">
        <f>'EX AEV-1'!F22</f>
        <v>256122.53626596142</v>
      </c>
      <c r="G7" s="37"/>
      <c r="H7" s="48">
        <f>'EX AEV-1'!G22</f>
        <v>47415.185875510077</v>
      </c>
      <c r="I7" s="37"/>
      <c r="J7" s="39"/>
    </row>
    <row r="8" spans="1:12">
      <c r="A8" s="45"/>
      <c r="B8" s="37"/>
      <c r="C8" s="37" t="s">
        <v>8</v>
      </c>
      <c r="D8" s="135">
        <f>'EX AEV-1'!E25</f>
        <v>4521729.4316637022</v>
      </c>
      <c r="E8" s="46"/>
      <c r="F8" s="135">
        <f>'EX AEV-1'!F25</f>
        <v>232024.58115740126</v>
      </c>
      <c r="G8" s="37"/>
      <c r="H8" s="135">
        <f>'EX AEV-1'!G25</f>
        <v>34999.041856256074</v>
      </c>
      <c r="I8" s="37"/>
      <c r="J8" s="54"/>
      <c r="K8" s="54"/>
    </row>
    <row r="9" spans="1:12">
      <c r="A9" s="45"/>
      <c r="B9" s="37"/>
      <c r="C9" s="37"/>
      <c r="D9" s="48">
        <f>SUM(D6:D8)</f>
        <v>81158652.223164424</v>
      </c>
      <c r="E9" s="46"/>
      <c r="F9" s="48">
        <f>SUM(F6:F8)</f>
        <v>1165730.3479321736</v>
      </c>
      <c r="G9" s="37"/>
      <c r="H9" s="48">
        <f>SUM(H6:H8)</f>
        <v>146813.56812473715</v>
      </c>
      <c r="I9" s="37"/>
      <c r="J9" s="46"/>
      <c r="K9" s="215">
        <f>SUM(D9:H9)</f>
        <v>82471196.13922134</v>
      </c>
      <c r="L9" s="215"/>
    </row>
    <row r="10" spans="1:12" ht="6.75" customHeight="1">
      <c r="A10" s="45"/>
      <c r="B10" s="37"/>
      <c r="C10" s="37"/>
      <c r="D10" s="48"/>
      <c r="E10" s="44"/>
      <c r="F10" s="48"/>
      <c r="G10" s="37"/>
      <c r="H10" s="48"/>
      <c r="I10" s="37"/>
      <c r="J10" s="48"/>
    </row>
    <row r="11" spans="1:12">
      <c r="A11" s="45"/>
      <c r="B11" s="37"/>
      <c r="C11" s="37" t="s">
        <v>743</v>
      </c>
      <c r="D11" s="48">
        <v>0</v>
      </c>
      <c r="E11" s="44"/>
      <c r="F11" s="48">
        <v>0</v>
      </c>
      <c r="G11" s="37"/>
      <c r="H11" s="48">
        <v>0</v>
      </c>
      <c r="I11" s="37"/>
      <c r="J11" s="48"/>
    </row>
    <row r="12" spans="1:12" ht="7.5" customHeight="1">
      <c r="A12" s="45"/>
      <c r="B12" s="37"/>
      <c r="C12" s="37"/>
      <c r="D12" s="135"/>
      <c r="E12" s="44"/>
      <c r="F12" s="135"/>
      <c r="G12" s="37"/>
      <c r="H12" s="135"/>
      <c r="I12" s="37"/>
      <c r="J12" s="135"/>
      <c r="K12" s="339"/>
    </row>
    <row r="13" spans="1:12">
      <c r="A13" s="45"/>
      <c r="B13" s="37"/>
      <c r="C13" s="37" t="s">
        <v>166</v>
      </c>
      <c r="D13" s="48">
        <f>SUM(D6:D8)-D11</f>
        <v>81158652.223164424</v>
      </c>
      <c r="E13" s="44"/>
      <c r="F13" s="48">
        <f>SUM(F6:F8)-F11</f>
        <v>1165730.3479321736</v>
      </c>
      <c r="G13" s="37"/>
      <c r="H13" s="48">
        <f>SUM(H6:H8)-H11</f>
        <v>146813.56812473715</v>
      </c>
      <c r="I13" s="37"/>
      <c r="J13" s="48"/>
      <c r="K13" s="215">
        <f>SUM(D13:H13)</f>
        <v>82471196.13922134</v>
      </c>
    </row>
    <row r="14" spans="1:12" ht="9.75" customHeight="1">
      <c r="A14" s="45"/>
      <c r="B14" s="37"/>
      <c r="C14" s="37"/>
      <c r="D14" s="48"/>
      <c r="E14" s="44"/>
      <c r="F14" s="48"/>
      <c r="G14" s="37"/>
      <c r="H14" s="48"/>
      <c r="I14" s="37"/>
      <c r="J14" s="48"/>
    </row>
    <row r="15" spans="1:12">
      <c r="B15" s="340" t="s">
        <v>751</v>
      </c>
    </row>
    <row r="16" spans="1:12">
      <c r="B16" s="246" t="s">
        <v>744</v>
      </c>
      <c r="C16" s="643" t="s">
        <v>745</v>
      </c>
      <c r="D16" s="214">
        <f>'SGS TOD'!I98</f>
        <v>1197719</v>
      </c>
    </row>
    <row r="17" spans="1:10">
      <c r="B17" s="246" t="s">
        <v>744</v>
      </c>
      <c r="C17" s="37" t="s">
        <v>746</v>
      </c>
      <c r="D17" s="214">
        <f>'GS AF NM TODs'!G147</f>
        <v>498799</v>
      </c>
    </row>
    <row r="18" spans="1:10">
      <c r="B18" s="246" t="s">
        <v>747</v>
      </c>
      <c r="C18" s="37" t="s">
        <v>748</v>
      </c>
      <c r="D18" s="214">
        <f>'GS AF NM TODs'!G140</f>
        <v>150800</v>
      </c>
      <c r="F18" s="214"/>
    </row>
    <row r="19" spans="1:10">
      <c r="B19" s="246" t="s">
        <v>747</v>
      </c>
      <c r="C19" s="37" t="s">
        <v>749</v>
      </c>
      <c r="D19" s="733">
        <f>H47</f>
        <v>172403.62910049359</v>
      </c>
    </row>
    <row r="20" spans="1:10">
      <c r="D20" s="214">
        <f>SUM(D16:D19)</f>
        <v>2019721.6291004936</v>
      </c>
    </row>
    <row r="21" spans="1:10" ht="12" customHeight="1">
      <c r="D21" s="214"/>
    </row>
    <row r="22" spans="1:10" ht="15.75">
      <c r="B22" s="341" t="s">
        <v>752</v>
      </c>
      <c r="D22" s="337" t="s">
        <v>242</v>
      </c>
      <c r="E22" s="42"/>
      <c r="F22" s="337" t="s">
        <v>241</v>
      </c>
      <c r="G22" s="45"/>
      <c r="H22" s="337" t="s">
        <v>266</v>
      </c>
      <c r="I22" s="37"/>
      <c r="J22" s="337"/>
    </row>
    <row r="23" spans="1:10">
      <c r="C23" s="48" t="s">
        <v>6</v>
      </c>
      <c r="D23" s="215">
        <f>D6-(D$20*(D6/D$9))</f>
        <v>56428638.211378619</v>
      </c>
      <c r="F23" s="215">
        <f>F6</f>
        <v>677583.23050881107</v>
      </c>
      <c r="H23" s="215">
        <f>H6</f>
        <v>64399.340392970989</v>
      </c>
    </row>
    <row r="24" spans="1:10">
      <c r="C24" s="48" t="s">
        <v>7</v>
      </c>
      <c r="D24" s="215">
        <f>D7-(D$20*(D7/D$9))-D11</f>
        <v>18301091.122496895</v>
      </c>
      <c r="F24" s="215">
        <f>F7-F11</f>
        <v>256122.53626596142</v>
      </c>
      <c r="H24" s="215">
        <f>H7-H11</f>
        <v>47415.185875510077</v>
      </c>
    </row>
    <row r="25" spans="1:10">
      <c r="C25" s="48" t="s">
        <v>8</v>
      </c>
      <c r="D25" s="342">
        <f>D8-(D$20*(D8/D$9))</f>
        <v>4409201.2601884147</v>
      </c>
      <c r="F25" s="342">
        <f>F8</f>
        <v>232024.58115740126</v>
      </c>
      <c r="H25" s="342">
        <f>H8</f>
        <v>34999.041856256074</v>
      </c>
    </row>
    <row r="26" spans="1:10">
      <c r="C26" s="215"/>
      <c r="D26" s="215">
        <f>SUM(D23:D25)</f>
        <v>79138930.594063923</v>
      </c>
      <c r="F26" s="215">
        <f>SUM(F23:F25)</f>
        <v>1165730.3479321736</v>
      </c>
      <c r="H26" s="215">
        <f>SUM(H23:H25)</f>
        <v>146813.56812473715</v>
      </c>
    </row>
    <row r="27" spans="1:10">
      <c r="C27" s="215"/>
      <c r="D27" s="215"/>
    </row>
    <row r="28" spans="1:10" ht="15.75">
      <c r="A28" s="127" t="s">
        <v>12</v>
      </c>
      <c r="B28" s="343" t="s">
        <v>258</v>
      </c>
      <c r="D28" s="215"/>
    </row>
    <row r="29" spans="1:10">
      <c r="D29" s="215"/>
    </row>
    <row r="30" spans="1:10">
      <c r="B30" s="643" t="s">
        <v>756</v>
      </c>
      <c r="D30" s="213">
        <v>342480</v>
      </c>
      <c r="E30" s="243"/>
      <c r="F30" s="344">
        <v>900</v>
      </c>
      <c r="G30" s="243"/>
      <c r="H30" s="344">
        <v>72</v>
      </c>
      <c r="J30" s="2"/>
    </row>
    <row r="31" spans="1:10">
      <c r="B31" s="643" t="s">
        <v>757</v>
      </c>
      <c r="D31" s="213">
        <f>'GS AF NM TODs'!E42</f>
        <v>16572</v>
      </c>
      <c r="E31" s="243"/>
      <c r="F31" s="243"/>
      <c r="G31" s="243"/>
      <c r="H31" s="243"/>
      <c r="J31" s="325"/>
    </row>
    <row r="32" spans="1:10">
      <c r="B32" s="643" t="s">
        <v>753</v>
      </c>
      <c r="D32" s="213">
        <f>352424309.901941+3058195</f>
        <v>355482504.901941</v>
      </c>
      <c r="E32" s="243"/>
      <c r="F32" s="213">
        <v>2550907.3528050035</v>
      </c>
      <c r="G32" s="243"/>
      <c r="H32" s="213">
        <v>305866.4198628079</v>
      </c>
    </row>
    <row r="33" spans="1:11">
      <c r="B33" s="643" t="s">
        <v>754</v>
      </c>
      <c r="D33" s="244">
        <f>204408074.545037+423724</f>
        <v>204831798.545037</v>
      </c>
      <c r="E33" s="243"/>
      <c r="F33" s="244">
        <v>5565510.0022156676</v>
      </c>
      <c r="G33" s="243"/>
      <c r="H33" s="244">
        <v>838000.24680385878</v>
      </c>
    </row>
    <row r="34" spans="1:11">
      <c r="B34" s="643" t="s">
        <v>125</v>
      </c>
      <c r="C34" s="345"/>
      <c r="D34" s="2">
        <f>D33+D32</f>
        <v>560314303.44697797</v>
      </c>
      <c r="F34" s="2">
        <f>F33+F32</f>
        <v>8116417.3550206712</v>
      </c>
      <c r="H34" s="2">
        <f>H33+H32</f>
        <v>1143866.6666666667</v>
      </c>
    </row>
    <row r="35" spans="1:11">
      <c r="B35" s="643" t="s">
        <v>755</v>
      </c>
      <c r="D35" s="213">
        <v>1092916.5175811059</v>
      </c>
      <c r="E35" s="243"/>
      <c r="F35" s="213">
        <v>20871.287128712873</v>
      </c>
      <c r="G35" s="243"/>
      <c r="H35" s="213">
        <v>4422.1333333333332</v>
      </c>
    </row>
    <row r="36" spans="1:11">
      <c r="D36" s="2"/>
      <c r="F36" s="345"/>
    </row>
    <row r="37" spans="1:11">
      <c r="A37" s="127"/>
    </row>
    <row r="38" spans="1:11" ht="15.75">
      <c r="A38" s="127" t="s">
        <v>18</v>
      </c>
      <c r="B38" s="343" t="s">
        <v>792</v>
      </c>
      <c r="D38" s="68" t="s">
        <v>1</v>
      </c>
      <c r="E38" s="68"/>
      <c r="F38" s="68" t="s">
        <v>40</v>
      </c>
      <c r="G38" s="68"/>
      <c r="H38" s="68" t="s">
        <v>575</v>
      </c>
    </row>
    <row r="39" spans="1:11">
      <c r="A39" s="127"/>
      <c r="B39" s="643" t="s">
        <v>758</v>
      </c>
      <c r="D39" s="215">
        <f>F39*H39</f>
        <v>72200.190603600902</v>
      </c>
      <c r="F39" s="213">
        <v>428233.63347331493</v>
      </c>
      <c r="H39" s="346">
        <f>'GS AF NM TODs'!E137</f>
        <v>0.1686</v>
      </c>
      <c r="J39" s="347"/>
      <c r="K39" s="310"/>
    </row>
    <row r="40" spans="1:11">
      <c r="A40" s="127"/>
      <c r="B40" s="643" t="s">
        <v>759</v>
      </c>
      <c r="D40" s="215">
        <f t="shared" ref="D40:D41" si="0">F40*H40</f>
        <v>56700.236123408351</v>
      </c>
      <c r="F40" s="213">
        <v>687608.97554460762</v>
      </c>
      <c r="H40" s="346">
        <f>'GS AF NM TODs'!E138</f>
        <v>8.2460000000000006E-2</v>
      </c>
      <c r="J40" s="347"/>
      <c r="K40" s="310"/>
    </row>
    <row r="41" spans="1:11">
      <c r="A41" s="127"/>
      <c r="B41" s="643" t="s">
        <v>8</v>
      </c>
      <c r="D41" s="342">
        <f t="shared" ca="1" si="0"/>
        <v>21900</v>
      </c>
      <c r="F41" s="213">
        <v>876</v>
      </c>
      <c r="H41" s="5">
        <f ca="1">ROUND(D41/F41,2)</f>
        <v>25</v>
      </c>
      <c r="J41" s="240"/>
    </row>
    <row r="42" spans="1:11">
      <c r="A42" s="127"/>
      <c r="D42" s="240">
        <f ca="1">SUM(D39:D41)</f>
        <v>150800.42672700924</v>
      </c>
      <c r="J42" s="8"/>
    </row>
    <row r="43" spans="1:11">
      <c r="A43" s="127"/>
      <c r="J43" s="245"/>
    </row>
    <row r="44" spans="1:11" ht="15.75">
      <c r="A44" s="127" t="s">
        <v>29</v>
      </c>
      <c r="B44" s="343" t="s">
        <v>226</v>
      </c>
      <c r="D44" s="68" t="s">
        <v>40</v>
      </c>
      <c r="F44" s="68" t="s">
        <v>575</v>
      </c>
      <c r="H44" s="68" t="s">
        <v>1</v>
      </c>
      <c r="J44" s="245"/>
    </row>
    <row r="45" spans="1:11">
      <c r="A45" s="127"/>
      <c r="B45" s="643" t="s">
        <v>762</v>
      </c>
      <c r="D45" s="213">
        <v>1020</v>
      </c>
      <c r="F45" s="10">
        <f>K53</f>
        <v>25</v>
      </c>
      <c r="H45" s="348">
        <f>F45*D45</f>
        <v>25500</v>
      </c>
      <c r="J45" s="245"/>
    </row>
    <row r="46" spans="1:11">
      <c r="A46" s="127"/>
      <c r="B46" s="643" t="s">
        <v>437</v>
      </c>
      <c r="D46" s="213">
        <v>1280317.4925962489</v>
      </c>
      <c r="F46" s="751">
        <f>'GS AF NM TODs'!G72-0.01</f>
        <v>0.11474000000000001</v>
      </c>
      <c r="G46" s="643" t="s">
        <v>142</v>
      </c>
      <c r="H46" s="162">
        <f>F46*D46</f>
        <v>146903.62910049359</v>
      </c>
      <c r="J46" s="245"/>
    </row>
    <row r="47" spans="1:11">
      <c r="A47" s="127"/>
      <c r="H47" s="348">
        <f>H46+H45</f>
        <v>172403.62910049359</v>
      </c>
      <c r="J47" s="245"/>
    </row>
    <row r="48" spans="1:11">
      <c r="A48" s="127"/>
      <c r="D48" s="643" t="s">
        <v>835</v>
      </c>
      <c r="H48" s="348"/>
      <c r="J48" s="245"/>
    </row>
    <row r="49" spans="1:11">
      <c r="A49" s="127"/>
      <c r="H49" s="348"/>
      <c r="J49" s="245"/>
    </row>
    <row r="50" spans="1:11" ht="15.75">
      <c r="A50" s="127" t="s">
        <v>79</v>
      </c>
      <c r="B50" s="343" t="s">
        <v>760</v>
      </c>
    </row>
    <row r="51" spans="1:11">
      <c r="B51" s="250"/>
      <c r="D51" s="21" t="s">
        <v>8</v>
      </c>
      <c r="F51" s="23"/>
      <c r="G51" s="327"/>
      <c r="H51" s="22" t="s">
        <v>257</v>
      </c>
      <c r="J51" s="22" t="s">
        <v>95</v>
      </c>
      <c r="K51" s="22" t="s">
        <v>111</v>
      </c>
    </row>
    <row r="52" spans="1:11">
      <c r="B52" s="31"/>
      <c r="D52" s="328" t="s">
        <v>1</v>
      </c>
      <c r="F52" s="277" t="s">
        <v>46</v>
      </c>
      <c r="H52" s="24" t="s">
        <v>136</v>
      </c>
      <c r="J52" s="24" t="s">
        <v>136</v>
      </c>
      <c r="K52" s="24" t="s">
        <v>136</v>
      </c>
    </row>
    <row r="53" spans="1:11">
      <c r="B53" s="31" t="s">
        <v>252</v>
      </c>
      <c r="D53" s="215">
        <f>D25</f>
        <v>4409201.2601884147</v>
      </c>
      <c r="F53" s="2">
        <f>D30</f>
        <v>342480</v>
      </c>
      <c r="H53" s="310">
        <f>D53/F53</f>
        <v>12.874332107534498</v>
      </c>
      <c r="J53" s="349">
        <v>22.5</v>
      </c>
      <c r="K53" s="310">
        <f>'GS AF NM TODs'!I34</f>
        <v>25</v>
      </c>
    </row>
    <row r="54" spans="1:11">
      <c r="B54" s="31" t="s">
        <v>251</v>
      </c>
      <c r="D54" s="215">
        <f>F25</f>
        <v>232024.58115740126</v>
      </c>
      <c r="F54" s="345">
        <f>F30</f>
        <v>900</v>
      </c>
      <c r="H54" s="310">
        <f t="shared" ref="H54:H55" si="1">D54/F54</f>
        <v>257.80509017489027</v>
      </c>
      <c r="J54" s="349">
        <v>75</v>
      </c>
      <c r="K54" s="310">
        <v>100</v>
      </c>
    </row>
    <row r="55" spans="1:11">
      <c r="B55" s="31" t="s">
        <v>250</v>
      </c>
      <c r="D55" s="215">
        <f>H25</f>
        <v>34999.041856256074</v>
      </c>
      <c r="F55" s="345">
        <f>H30</f>
        <v>72</v>
      </c>
      <c r="H55" s="310">
        <f t="shared" si="1"/>
        <v>486.09780355911215</v>
      </c>
      <c r="J55" s="349">
        <v>364</v>
      </c>
      <c r="K55" s="310">
        <v>400</v>
      </c>
    </row>
    <row r="57" spans="1:11">
      <c r="B57" s="31" t="s">
        <v>281</v>
      </c>
      <c r="D57" s="22" t="s">
        <v>111</v>
      </c>
    </row>
    <row r="58" spans="1:11">
      <c r="D58" s="24" t="s">
        <v>136</v>
      </c>
      <c r="F58" s="277" t="s">
        <v>46</v>
      </c>
      <c r="H58" s="277" t="s">
        <v>1</v>
      </c>
    </row>
    <row r="59" spans="1:11">
      <c r="B59" s="31" t="s">
        <v>252</v>
      </c>
      <c r="D59" s="10">
        <f>K53</f>
        <v>25</v>
      </c>
      <c r="F59" s="2">
        <f>F53</f>
        <v>342480</v>
      </c>
      <c r="H59" s="348">
        <f>F59*D59</f>
        <v>8562000</v>
      </c>
    </row>
    <row r="60" spans="1:11">
      <c r="B60" s="31" t="s">
        <v>251</v>
      </c>
      <c r="D60" s="10">
        <f>K54</f>
        <v>100</v>
      </c>
      <c r="F60" s="2">
        <f>F54</f>
        <v>900</v>
      </c>
      <c r="H60" s="348">
        <f t="shared" ref="H60:H61" si="2">F60*D60</f>
        <v>90000</v>
      </c>
    </row>
    <row r="61" spans="1:11">
      <c r="B61" s="31" t="s">
        <v>250</v>
      </c>
      <c r="D61" s="10">
        <f>K55</f>
        <v>400</v>
      </c>
      <c r="F61" s="2">
        <f>F55</f>
        <v>72</v>
      </c>
      <c r="H61" s="350">
        <f t="shared" si="2"/>
        <v>28800</v>
      </c>
    </row>
    <row r="62" spans="1:11">
      <c r="B62" s="31" t="s">
        <v>763</v>
      </c>
      <c r="D62" s="10">
        <f>'GS AF NM TODs'!C42</f>
        <v>15</v>
      </c>
      <c r="F62" s="2">
        <f>'GS AF NM TODs'!E42</f>
        <v>16572</v>
      </c>
      <c r="H62" s="162">
        <f>F62*D62</f>
        <v>248580</v>
      </c>
    </row>
    <row r="63" spans="1:11">
      <c r="H63" s="348">
        <f>SUM(H59:H62)</f>
        <v>8929380</v>
      </c>
    </row>
    <row r="64" spans="1:11" ht="15.75">
      <c r="A64" s="127" t="s">
        <v>80</v>
      </c>
      <c r="B64" s="343" t="s">
        <v>249</v>
      </c>
    </row>
    <row r="65" spans="2:10">
      <c r="B65" s="31"/>
    </row>
    <row r="66" spans="2:10">
      <c r="B66" s="31" t="s">
        <v>246</v>
      </c>
      <c r="D66" s="327"/>
      <c r="E66" s="23"/>
      <c r="F66" s="22" t="s">
        <v>111</v>
      </c>
      <c r="G66" s="23"/>
      <c r="H66" s="22"/>
      <c r="I66" s="22"/>
      <c r="J66" s="329"/>
    </row>
    <row r="67" spans="2:10">
      <c r="B67" s="31"/>
      <c r="D67" s="329" t="s">
        <v>111</v>
      </c>
      <c r="E67" s="23"/>
      <c r="F67" s="22" t="s">
        <v>7</v>
      </c>
      <c r="G67" s="23"/>
      <c r="H67" s="22"/>
      <c r="I67" s="22"/>
      <c r="J67" s="329"/>
    </row>
    <row r="68" spans="2:10">
      <c r="B68" s="31"/>
      <c r="C68" s="328" t="s">
        <v>40</v>
      </c>
      <c r="D68" s="330" t="s">
        <v>245</v>
      </c>
      <c r="E68" s="251"/>
      <c r="F68" s="24" t="s">
        <v>1</v>
      </c>
      <c r="G68" s="251"/>
      <c r="H68" s="24"/>
      <c r="I68" s="24"/>
      <c r="J68" s="330"/>
    </row>
    <row r="69" spans="2:10">
      <c r="B69" s="68" t="s">
        <v>242</v>
      </c>
      <c r="H69" s="643" t="s">
        <v>939</v>
      </c>
      <c r="J69" s="643" t="s">
        <v>940</v>
      </c>
    </row>
    <row r="70" spans="2:10">
      <c r="B70" s="643" t="s">
        <v>753</v>
      </c>
      <c r="C70" s="2">
        <f>D32</f>
        <v>355482504.901941</v>
      </c>
      <c r="D70" s="346">
        <f>H70*(1+$J$70)</f>
        <v>0.1114624</v>
      </c>
      <c r="F70" s="240">
        <f>D70*C70</f>
        <v>39622933.15438211</v>
      </c>
      <c r="G70" s="240"/>
      <c r="H70" s="643">
        <v>9.9519999999999997E-2</v>
      </c>
      <c r="J70" s="752">
        <v>0.12</v>
      </c>
    </row>
    <row r="71" spans="2:10">
      <c r="B71" s="643" t="s">
        <v>754</v>
      </c>
      <c r="C71" s="2">
        <f>D33</f>
        <v>204831798.545037</v>
      </c>
      <c r="D71" s="346">
        <f>H71*(1+$J$71)</f>
        <v>0.10440150000000001</v>
      </c>
      <c r="F71" s="240">
        <f>D71*C71</f>
        <v>21384747.015799683</v>
      </c>
      <c r="H71" s="643">
        <v>9.9430000000000004E-2</v>
      </c>
      <c r="J71" s="752">
        <v>0.05</v>
      </c>
    </row>
    <row r="72" spans="2:10">
      <c r="B72" s="31"/>
    </row>
    <row r="73" spans="2:10">
      <c r="B73" s="68" t="s">
        <v>241</v>
      </c>
    </row>
    <row r="74" spans="2:10">
      <c r="B74" s="643" t="s">
        <v>753</v>
      </c>
      <c r="C74" s="2">
        <f>F32</f>
        <v>2550907.3528050035</v>
      </c>
      <c r="D74" s="346">
        <f>H74*(1+$J$70)</f>
        <v>9.8134400000000011E-2</v>
      </c>
      <c r="F74" s="240">
        <f t="shared" ref="F74:F75" si="3">D74*C74</f>
        <v>250331.76252310738</v>
      </c>
      <c r="H74" s="643">
        <v>8.7620000000000003E-2</v>
      </c>
    </row>
    <row r="75" spans="2:10">
      <c r="B75" s="643" t="s">
        <v>754</v>
      </c>
      <c r="C75" s="2">
        <f>F33</f>
        <v>5565510.0022156676</v>
      </c>
      <c r="D75" s="346">
        <f>H75*(1+$J$71)</f>
        <v>9.2315999999999995E-2</v>
      </c>
      <c r="F75" s="240">
        <f t="shared" si="3"/>
        <v>513785.62136454153</v>
      </c>
      <c r="H75" s="643">
        <v>8.7919999999999998E-2</v>
      </c>
    </row>
    <row r="76" spans="2:10">
      <c r="B76" s="31"/>
    </row>
    <row r="77" spans="2:10">
      <c r="B77" s="68" t="s">
        <v>240</v>
      </c>
    </row>
    <row r="78" spans="2:10">
      <c r="B78" s="643" t="s">
        <v>753</v>
      </c>
      <c r="C78" s="2">
        <f>H32</f>
        <v>305866.4198628079</v>
      </c>
      <c r="D78" s="346">
        <f>H78*(1+$J$70)</f>
        <v>8.9017600000000002E-2</v>
      </c>
      <c r="F78" s="240">
        <f t="shared" ref="F78:F79" si="4">D78*C78</f>
        <v>27227.494616779488</v>
      </c>
      <c r="H78" s="643">
        <v>7.9479999999999995E-2</v>
      </c>
    </row>
    <row r="79" spans="2:10">
      <c r="B79" s="643" t="s">
        <v>754</v>
      </c>
      <c r="C79" s="2">
        <f>H33</f>
        <v>838000.24680385878</v>
      </c>
      <c r="D79" s="346">
        <f>H79*(1+$J$71)</f>
        <v>8.3800500000000014E-2</v>
      </c>
      <c r="F79" s="351">
        <f t="shared" si="4"/>
        <v>70224.83968228678</v>
      </c>
      <c r="H79" s="643">
        <v>7.9810000000000006E-2</v>
      </c>
    </row>
    <row r="80" spans="2:10">
      <c r="B80" s="31"/>
    </row>
    <row r="81" spans="1:6">
      <c r="B81" s="31" t="s">
        <v>244</v>
      </c>
      <c r="F81" s="348">
        <f>SUM(F70:F79)</f>
        <v>61869249.88836851</v>
      </c>
    </row>
    <row r="83" spans="1:6" ht="15.75">
      <c r="A83" s="127" t="s">
        <v>81</v>
      </c>
      <c r="B83" s="343" t="s">
        <v>256</v>
      </c>
    </row>
    <row r="85" spans="1:6">
      <c r="B85" s="643" t="s">
        <v>166</v>
      </c>
      <c r="C85" s="215">
        <f>D13+F13+H13</f>
        <v>82471196.13922134</v>
      </c>
    </row>
    <row r="86" spans="1:6">
      <c r="B86" s="643" t="s">
        <v>766</v>
      </c>
      <c r="C86" s="215">
        <f>D20</f>
        <v>2019721.6291004936</v>
      </c>
    </row>
    <row r="87" spans="1:6">
      <c r="B87" s="643" t="s">
        <v>764</v>
      </c>
      <c r="C87" s="215">
        <f>H63</f>
        <v>8929380</v>
      </c>
    </row>
    <row r="88" spans="1:6">
      <c r="B88" s="643" t="s">
        <v>765</v>
      </c>
      <c r="C88" s="8">
        <f>F81</f>
        <v>61869249.88836851</v>
      </c>
      <c r="D88" s="215"/>
    </row>
    <row r="89" spans="1:6">
      <c r="B89" s="643" t="s">
        <v>770</v>
      </c>
      <c r="C89" s="342">
        <f>F106</f>
        <v>-19775.130054125417</v>
      </c>
    </row>
    <row r="90" spans="1:6">
      <c r="B90" s="643" t="s">
        <v>316</v>
      </c>
      <c r="C90" s="215">
        <f>C85-SUM(C86:C89)</f>
        <v>9672619.7518064678</v>
      </c>
      <c r="D90" s="4"/>
    </row>
    <row r="91" spans="1:6">
      <c r="B91" s="643" t="s">
        <v>772</v>
      </c>
      <c r="C91" s="2">
        <f>F98</f>
        <v>1117927.6393058784</v>
      </c>
    </row>
    <row r="92" spans="1:6">
      <c r="B92" s="643" t="s">
        <v>771</v>
      </c>
      <c r="C92" s="643">
        <f>ROUND(C90/C91,2)</f>
        <v>8.65</v>
      </c>
    </row>
    <row r="93" spans="1:6">
      <c r="B93" s="641"/>
    </row>
    <row r="94" spans="1:6">
      <c r="C94" s="127" t="s">
        <v>332</v>
      </c>
      <c r="D94" s="643" t="s">
        <v>261</v>
      </c>
      <c r="F94" s="643" t="s">
        <v>767</v>
      </c>
    </row>
    <row r="95" spans="1:6">
      <c r="B95" s="643" t="s">
        <v>242</v>
      </c>
      <c r="C95" s="2">
        <f>D35</f>
        <v>1092916.5175811059</v>
      </c>
      <c r="D95" s="352">
        <v>1</v>
      </c>
      <c r="F95" s="353">
        <f>D95*C95</f>
        <v>1092916.5175811059</v>
      </c>
    </row>
    <row r="96" spans="1:6">
      <c r="B96" s="643" t="s">
        <v>241</v>
      </c>
      <c r="C96" s="2">
        <f>F35</f>
        <v>20871.287128712873</v>
      </c>
      <c r="D96" s="352">
        <f>'Demand Basis'!C15</f>
        <v>0.99000312994982598</v>
      </c>
      <c r="F96" s="353">
        <f>D96*C96</f>
        <v>20662.639583507262</v>
      </c>
    </row>
    <row r="97" spans="2:12">
      <c r="B97" s="643" t="s">
        <v>240</v>
      </c>
      <c r="C97" s="157">
        <f>H35</f>
        <v>4422.1333333333332</v>
      </c>
      <c r="D97" s="352">
        <f>'Demand Basis'!D15</f>
        <v>0.98334487304733798</v>
      </c>
      <c r="F97" s="354">
        <f>D97*C97</f>
        <v>4348.4821412650681</v>
      </c>
    </row>
    <row r="98" spans="2:12">
      <c r="B98" s="643" t="s">
        <v>9</v>
      </c>
      <c r="C98" s="2">
        <f>SUM(C95:C97)</f>
        <v>1118209.9380431522</v>
      </c>
      <c r="F98" s="2">
        <f>SUM(F95:F97)</f>
        <v>1117927.6393058784</v>
      </c>
    </row>
    <row r="99" spans="2:12">
      <c r="C99" s="2"/>
      <c r="F99" s="2"/>
    </row>
    <row r="100" spans="2:12">
      <c r="D100" s="682">
        <v>0.2</v>
      </c>
    </row>
    <row r="101" spans="2:12">
      <c r="B101" s="643" t="s">
        <v>313</v>
      </c>
      <c r="C101" s="127" t="s">
        <v>332</v>
      </c>
      <c r="D101" s="643" t="s">
        <v>768</v>
      </c>
      <c r="F101" s="127" t="s">
        <v>1</v>
      </c>
    </row>
    <row r="103" spans="2:12">
      <c r="B103" s="643" t="s">
        <v>242</v>
      </c>
      <c r="C103" s="2">
        <f>C95</f>
        <v>1092916.5175811059</v>
      </c>
      <c r="D103" s="310">
        <v>0</v>
      </c>
      <c r="F103" s="348">
        <f>D103*C103</f>
        <v>0</v>
      </c>
    </row>
    <row r="104" spans="2:12">
      <c r="B104" s="643" t="s">
        <v>241</v>
      </c>
      <c r="C104" s="2">
        <f>C96</f>
        <v>20871.287128712873</v>
      </c>
      <c r="D104" s="310">
        <f>D100*'Demand Basis'!F32</f>
        <v>-0.55000000000000004</v>
      </c>
      <c r="F104" s="348">
        <f t="shared" ref="F104:F105" si="5">D104*C104</f>
        <v>-11479.207920792081</v>
      </c>
    </row>
    <row r="105" spans="2:12">
      <c r="B105" s="643" t="s">
        <v>240</v>
      </c>
      <c r="C105" s="157">
        <f>C97</f>
        <v>4422.1333333333332</v>
      </c>
      <c r="D105" s="310">
        <f>D100*'Demand Basis'!F33</f>
        <v>-1.8759999999999999</v>
      </c>
      <c r="F105" s="162">
        <f t="shared" si="5"/>
        <v>-8295.9221333333335</v>
      </c>
    </row>
    <row r="106" spans="2:12">
      <c r="B106" s="643" t="s">
        <v>9</v>
      </c>
      <c r="C106" s="2">
        <f>C98</f>
        <v>1118209.9380431522</v>
      </c>
      <c r="F106" s="348">
        <f>SUM(F103:F105)</f>
        <v>-19775.130054125417</v>
      </c>
    </row>
    <row r="107" spans="2:12">
      <c r="C107" s="2"/>
      <c r="F107" s="348"/>
    </row>
    <row r="108" spans="2:12">
      <c r="C108" s="127" t="s">
        <v>242</v>
      </c>
      <c r="D108" s="127" t="s">
        <v>254</v>
      </c>
      <c r="E108" s="127"/>
      <c r="F108" s="127" t="s">
        <v>6</v>
      </c>
      <c r="G108" s="127"/>
      <c r="H108" s="127" t="s">
        <v>314</v>
      </c>
      <c r="I108" s="127"/>
      <c r="J108" s="127" t="s">
        <v>111</v>
      </c>
      <c r="K108" s="127" t="s">
        <v>111</v>
      </c>
      <c r="L108" s="643" t="s">
        <v>780</v>
      </c>
    </row>
    <row r="109" spans="2:12">
      <c r="B109" s="340" t="s">
        <v>769</v>
      </c>
      <c r="C109" s="127" t="s">
        <v>136</v>
      </c>
      <c r="D109" s="127" t="s">
        <v>253</v>
      </c>
      <c r="E109" s="127"/>
      <c r="F109" s="127" t="s">
        <v>136</v>
      </c>
      <c r="G109" s="127"/>
      <c r="H109" s="127" t="s">
        <v>304</v>
      </c>
      <c r="I109" s="127"/>
      <c r="J109" s="127" t="s">
        <v>136</v>
      </c>
      <c r="K109" s="127" t="s">
        <v>1</v>
      </c>
    </row>
    <row r="110" spans="2:12">
      <c r="B110" s="643" t="s">
        <v>242</v>
      </c>
      <c r="C110" s="643">
        <f>C92</f>
        <v>8.65</v>
      </c>
      <c r="D110" s="356">
        <f>D95</f>
        <v>1</v>
      </c>
      <c r="F110" s="357">
        <f>D110*C110</f>
        <v>8.65</v>
      </c>
      <c r="H110" s="10">
        <f>D103</f>
        <v>0</v>
      </c>
      <c r="J110" s="357">
        <f>F110+H110</f>
        <v>8.65</v>
      </c>
      <c r="K110" s="240">
        <f>J110*C95</f>
        <v>9453727.8770765662</v>
      </c>
      <c r="L110" s="310">
        <v>6</v>
      </c>
    </row>
    <row r="111" spans="2:12">
      <c r="B111" s="643" t="s">
        <v>241</v>
      </c>
      <c r="C111" s="643">
        <f>C110</f>
        <v>8.65</v>
      </c>
      <c r="D111" s="356">
        <f>D96</f>
        <v>0.99000312994982598</v>
      </c>
      <c r="F111" s="357">
        <f t="shared" ref="F111:F113" si="6">D111*C111</f>
        <v>8.5635270740659948</v>
      </c>
      <c r="H111" s="10">
        <f>D104</f>
        <v>-0.55000000000000004</v>
      </c>
      <c r="J111" s="357">
        <f>ROUND(F111+H111,2)</f>
        <v>8.01</v>
      </c>
      <c r="K111" s="240">
        <f>J111*C96</f>
        <v>167179.00990099012</v>
      </c>
      <c r="L111" s="310">
        <v>7.18</v>
      </c>
    </row>
    <row r="112" spans="2:12">
      <c r="B112" s="643" t="s">
        <v>240</v>
      </c>
      <c r="C112" s="643">
        <f>C111</f>
        <v>8.65</v>
      </c>
      <c r="D112" s="356">
        <f>D97</f>
        <v>0.98334487304733798</v>
      </c>
      <c r="F112" s="357">
        <f t="shared" si="6"/>
        <v>8.5059331518594732</v>
      </c>
      <c r="H112" s="10">
        <f>D105</f>
        <v>-1.8759999999999999</v>
      </c>
      <c r="J112" s="357">
        <f t="shared" ref="J112" si="7">ROUND(F112+H112,2)</f>
        <v>6.63</v>
      </c>
      <c r="K112" s="358">
        <f>J112*C97</f>
        <v>29318.743999999999</v>
      </c>
      <c r="L112" s="310">
        <v>5.74</v>
      </c>
    </row>
    <row r="113" spans="1:11">
      <c r="B113" s="643" t="s">
        <v>333</v>
      </c>
      <c r="C113" s="643">
        <f>C112</f>
        <v>8.65</v>
      </c>
      <c r="D113" s="356">
        <f>'Demand Basis'!E15</f>
        <v>0.97327212542562558</v>
      </c>
      <c r="F113" s="357">
        <f t="shared" si="6"/>
        <v>8.4188038849316609</v>
      </c>
      <c r="H113" s="10">
        <f>D100*'Demand Basis'!F34</f>
        <v>-1.8759999999999999</v>
      </c>
      <c r="J113" s="357">
        <f>ROUND(F113+H113,2)</f>
        <v>6.54</v>
      </c>
      <c r="K113" s="351"/>
    </row>
    <row r="114" spans="1:11">
      <c r="K114" s="348">
        <f>SUM(K110:K113)</f>
        <v>9650225.630977558</v>
      </c>
    </row>
    <row r="115" spans="1:11" ht="15.75">
      <c r="A115" s="643" t="s">
        <v>82</v>
      </c>
      <c r="B115" s="343" t="s">
        <v>39</v>
      </c>
      <c r="K115" s="348"/>
    </row>
    <row r="117" spans="1:11">
      <c r="B117" s="68" t="s">
        <v>242</v>
      </c>
      <c r="C117" s="127" t="s">
        <v>40</v>
      </c>
      <c r="D117" s="127" t="s">
        <v>575</v>
      </c>
      <c r="E117" s="127"/>
      <c r="F117" s="127" t="s">
        <v>1</v>
      </c>
      <c r="H117" s="127" t="s">
        <v>243</v>
      </c>
      <c r="I117" s="127"/>
      <c r="J117" s="127" t="s">
        <v>42</v>
      </c>
    </row>
    <row r="118" spans="1:11">
      <c r="B118" s="643" t="s">
        <v>753</v>
      </c>
      <c r="C118" s="2">
        <f>D32</f>
        <v>355482504.901941</v>
      </c>
      <c r="D118" s="346">
        <f>D70</f>
        <v>0.1114624</v>
      </c>
      <c r="F118" s="240">
        <f>D118*C118</f>
        <v>39622933.15438211</v>
      </c>
    </row>
    <row r="119" spans="1:11">
      <c r="B119" s="643" t="s">
        <v>754</v>
      </c>
      <c r="C119" s="2">
        <f>D33</f>
        <v>204831798.545037</v>
      </c>
      <c r="D119" s="346">
        <f>D71</f>
        <v>0.10440150000000001</v>
      </c>
      <c r="F119" s="240">
        <f>D119*C119</f>
        <v>21384747.015799683</v>
      </c>
      <c r="H119" s="346"/>
    </row>
    <row r="120" spans="1:11">
      <c r="B120" s="643" t="s">
        <v>332</v>
      </c>
      <c r="C120" s="2">
        <f>D35</f>
        <v>1092916.5175811059</v>
      </c>
      <c r="D120" s="10">
        <f>J110</f>
        <v>8.65</v>
      </c>
      <c r="F120" s="240">
        <f>D120*C120</f>
        <v>9453727.8770765662</v>
      </c>
    </row>
    <row r="121" spans="1:11">
      <c r="B121" s="643" t="s">
        <v>291</v>
      </c>
      <c r="C121" s="2">
        <f>D30</f>
        <v>342480</v>
      </c>
      <c r="D121" s="10">
        <f>K53</f>
        <v>25</v>
      </c>
      <c r="F121" s="240">
        <f>D121*C121</f>
        <v>8562000</v>
      </c>
    </row>
    <row r="122" spans="1:11">
      <c r="B122" s="643" t="s">
        <v>836</v>
      </c>
      <c r="C122" s="2">
        <f>F62</f>
        <v>16572</v>
      </c>
      <c r="D122" s="10">
        <f>D62</f>
        <v>15</v>
      </c>
      <c r="F122" s="240">
        <f>D122*C122</f>
        <v>248580</v>
      </c>
    </row>
    <row r="123" spans="1:11">
      <c r="B123" s="68" t="s">
        <v>241</v>
      </c>
      <c r="F123" s="240"/>
      <c r="H123" s="348">
        <f>SUM(F118:F122)</f>
        <v>79271988.047258362</v>
      </c>
    </row>
    <row r="124" spans="1:11">
      <c r="B124" s="643" t="s">
        <v>753</v>
      </c>
      <c r="C124" s="2">
        <f>F32</f>
        <v>2550907.3528050035</v>
      </c>
      <c r="D124" s="346">
        <f>D74</f>
        <v>9.8134400000000011E-2</v>
      </c>
      <c r="F124" s="240">
        <f>D124*C124</f>
        <v>250331.76252310738</v>
      </c>
    </row>
    <row r="125" spans="1:11">
      <c r="B125" s="643" t="s">
        <v>754</v>
      </c>
      <c r="C125" s="2">
        <f>F33</f>
        <v>5565510.0022156676</v>
      </c>
      <c r="D125" s="346">
        <f>D75</f>
        <v>9.2315999999999995E-2</v>
      </c>
      <c r="F125" s="240">
        <f>D125*C125</f>
        <v>513785.62136454153</v>
      </c>
    </row>
    <row r="126" spans="1:11">
      <c r="B126" s="643" t="s">
        <v>332</v>
      </c>
      <c r="C126" s="2">
        <f>F35</f>
        <v>20871.287128712873</v>
      </c>
      <c r="D126" s="10">
        <f>J111</f>
        <v>8.01</v>
      </c>
      <c r="F126" s="240">
        <f>D126*C126</f>
        <v>167179.00990099012</v>
      </c>
    </row>
    <row r="127" spans="1:11">
      <c r="B127" s="643" t="s">
        <v>8</v>
      </c>
      <c r="C127" s="345">
        <f>F30</f>
        <v>900</v>
      </c>
      <c r="D127" s="10">
        <f>K54</f>
        <v>100</v>
      </c>
      <c r="F127" s="240">
        <f>D127*C127</f>
        <v>90000</v>
      </c>
    </row>
    <row r="128" spans="1:11">
      <c r="B128" s="68" t="s">
        <v>240</v>
      </c>
      <c r="F128" s="240"/>
      <c r="H128" s="348">
        <f>SUM(F124:F127)</f>
        <v>1021296.393788639</v>
      </c>
    </row>
    <row r="129" spans="2:10">
      <c r="B129" s="643" t="s">
        <v>753</v>
      </c>
      <c r="C129" s="2">
        <f>H32</f>
        <v>305866.4198628079</v>
      </c>
      <c r="D129" s="346">
        <f>D78</f>
        <v>8.9017600000000002E-2</v>
      </c>
      <c r="F129" s="240">
        <f>D129*C129</f>
        <v>27227.494616779488</v>
      </c>
    </row>
    <row r="130" spans="2:10">
      <c r="B130" s="643" t="s">
        <v>754</v>
      </c>
      <c r="C130" s="2">
        <f>H33</f>
        <v>838000.24680385878</v>
      </c>
      <c r="D130" s="346">
        <f>D79</f>
        <v>8.3800500000000014E-2</v>
      </c>
      <c r="F130" s="240">
        <f>D130*C130</f>
        <v>70224.83968228678</v>
      </c>
    </row>
    <row r="131" spans="2:10">
      <c r="B131" s="643" t="s">
        <v>332</v>
      </c>
      <c r="C131" s="2">
        <f>H35</f>
        <v>4422.1333333333332</v>
      </c>
      <c r="D131" s="10">
        <f>J112</f>
        <v>6.63</v>
      </c>
      <c r="F131" s="240">
        <f>D131*C131</f>
        <v>29318.743999999999</v>
      </c>
    </row>
    <row r="132" spans="2:10">
      <c r="B132" s="643" t="s">
        <v>8</v>
      </c>
      <c r="C132" s="345">
        <f>H30</f>
        <v>72</v>
      </c>
      <c r="D132" s="10">
        <f>K55</f>
        <v>400</v>
      </c>
      <c r="F132" s="240">
        <f>D132*C132</f>
        <v>28800</v>
      </c>
    </row>
    <row r="133" spans="2:10">
      <c r="F133" s="240"/>
      <c r="H133" s="348">
        <f>SUM(F129:F132)</f>
        <v>155571.07829906626</v>
      </c>
    </row>
    <row r="134" spans="2:10">
      <c r="F134" s="240">
        <f>SUM(F118:F132)</f>
        <v>80448855.519346073</v>
      </c>
      <c r="H134" s="215">
        <f>D26+F26+H26</f>
        <v>80451474.510120839</v>
      </c>
      <c r="J134" s="348">
        <f>F134-H134</f>
        <v>-2618.9907747656107</v>
      </c>
    </row>
    <row r="135" spans="2:10">
      <c r="C135" s="2"/>
      <c r="D135" s="10"/>
      <c r="F135" s="240"/>
    </row>
    <row r="136" spans="2:10">
      <c r="C136" s="2"/>
      <c r="D136" s="10"/>
      <c r="F136" s="240"/>
      <c r="J136" s="240">
        <v>-2618.9907747656107</v>
      </c>
    </row>
    <row r="137" spans="2:10">
      <c r="B137" s="68"/>
      <c r="F137" s="240"/>
    </row>
    <row r="138" spans="2:10">
      <c r="C138" s="2"/>
      <c r="D138" s="346"/>
      <c r="F138" s="240"/>
    </row>
    <row r="139" spans="2:10">
      <c r="C139" s="2"/>
      <c r="D139" s="346"/>
      <c r="F139" s="240"/>
    </row>
    <row r="140" spans="2:10">
      <c r="C140" s="2"/>
      <c r="D140" s="10"/>
      <c r="F140" s="240"/>
    </row>
    <row r="141" spans="2:10">
      <c r="C141" s="345"/>
      <c r="D141" s="10"/>
      <c r="F141" s="240"/>
    </row>
    <row r="142" spans="2:10">
      <c r="B142" s="68"/>
      <c r="F142" s="240"/>
    </row>
    <row r="143" spans="2:10">
      <c r="C143" s="2"/>
      <c r="D143" s="346"/>
      <c r="F143" s="240"/>
    </row>
    <row r="144" spans="2:10">
      <c r="C144" s="2"/>
      <c r="D144" s="346"/>
      <c r="F144" s="240"/>
    </row>
    <row r="145" spans="3:10">
      <c r="C145" s="2"/>
      <c r="D145" s="10"/>
      <c r="F145" s="240"/>
    </row>
    <row r="146" spans="3:10">
      <c r="C146" s="345"/>
      <c r="D146" s="10"/>
      <c r="F146" s="240"/>
    </row>
    <row r="147" spans="3:10">
      <c r="F147" s="240"/>
    </row>
    <row r="148" spans="3:10">
      <c r="F148" s="240"/>
      <c r="H148" s="215"/>
      <c r="J148" s="348"/>
    </row>
    <row r="149" spans="3:10">
      <c r="C149" s="2"/>
      <c r="D149" s="346"/>
      <c r="F149" s="240"/>
    </row>
    <row r="150" spans="3:10">
      <c r="C150" s="2"/>
      <c r="D150" s="346"/>
      <c r="F150" s="240"/>
    </row>
    <row r="151" spans="3:10">
      <c r="C151" s="2"/>
      <c r="D151" s="346"/>
      <c r="F151" s="240"/>
    </row>
    <row r="152" spans="3:10">
      <c r="C152" s="2"/>
      <c r="D152" s="346"/>
      <c r="F152" s="240"/>
    </row>
    <row r="153" spans="3:10">
      <c r="C153" s="2"/>
      <c r="D153" s="346"/>
      <c r="F153" s="240"/>
    </row>
    <row r="154" spans="3:10">
      <c r="D154" s="346"/>
      <c r="F154" s="240"/>
    </row>
    <row r="155" spans="3:10">
      <c r="C155" s="2"/>
      <c r="D155" s="346"/>
      <c r="F155" s="240"/>
    </row>
  </sheetData>
  <pageMargins left="0.7" right="0.7" top="0.75" bottom="0.75" header="0.3" footer="0.3"/>
  <pageSetup scale="51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T341"/>
  <sheetViews>
    <sheetView showOutlineSymbols="0" zoomScale="85" zoomScaleNormal="85" zoomScaleSheetLayoutView="75" workbookViewId="0">
      <selection activeCell="O6" sqref="O6"/>
    </sheetView>
  </sheetViews>
  <sheetFormatPr defaultColWidth="9.75" defaultRowHeight="15"/>
  <cols>
    <col min="1" max="1" width="5.75" style="641" customWidth="1"/>
    <col min="2" max="2" width="18.25" style="641" customWidth="1"/>
    <col min="3" max="3" width="22.625" style="641" customWidth="1"/>
    <col min="4" max="4" width="16.25" style="641" customWidth="1"/>
    <col min="5" max="5" width="6.75" style="641" customWidth="1"/>
    <col min="6" max="6" width="18" style="641" customWidth="1"/>
    <col min="7" max="7" width="7.375" style="641" customWidth="1"/>
    <col min="8" max="8" width="15.25" style="641" customWidth="1"/>
    <col min="9" max="9" width="5.75" style="641" customWidth="1"/>
    <col min="10" max="10" width="14.5" style="641" customWidth="1"/>
    <col min="11" max="11" width="3.375" style="641" bestFit="1" customWidth="1"/>
    <col min="12" max="12" width="12.75" style="641" bestFit="1" customWidth="1"/>
    <col min="13" max="16384" width="9.75" style="641"/>
  </cols>
  <sheetData>
    <row r="1" spans="1:12" ht="15.75">
      <c r="A1" s="412" t="s">
        <v>1027</v>
      </c>
      <c r="B1" s="412"/>
    </row>
    <row r="2" spans="1:12">
      <c r="A2" s="643" t="s">
        <v>115</v>
      </c>
      <c r="B2" s="643" t="s">
        <v>86</v>
      </c>
      <c r="C2" s="643"/>
      <c r="F2" s="127" t="s">
        <v>339</v>
      </c>
    </row>
    <row r="3" spans="1:12">
      <c r="F3" s="127" t="s">
        <v>3</v>
      </c>
      <c r="H3" s="127" t="s">
        <v>74</v>
      </c>
      <c r="I3" s="644"/>
      <c r="J3" s="127" t="s">
        <v>75</v>
      </c>
    </row>
    <row r="4" spans="1:12">
      <c r="E4" s="644"/>
      <c r="F4" s="247" t="s">
        <v>1</v>
      </c>
      <c r="H4" s="68" t="s">
        <v>1</v>
      </c>
      <c r="I4" s="644"/>
      <c r="J4" s="68" t="s">
        <v>1</v>
      </c>
    </row>
    <row r="5" spans="1:12" ht="15.75">
      <c r="B5" s="643" t="s">
        <v>338</v>
      </c>
      <c r="C5" s="142" t="s">
        <v>782</v>
      </c>
    </row>
    <row r="6" spans="1:12">
      <c r="B6" s="643" t="s">
        <v>337</v>
      </c>
      <c r="C6" s="643"/>
      <c r="F6" s="156">
        <f>'EX AEV-1'!I21+'EX AEV-1'!I23+'EX AEV-1'!I24+'EX AEV-1'!S21+'EX AEV-1'!S23+'EX AEV-1'!S24</f>
        <v>41555736.963783689</v>
      </c>
      <c r="H6" s="644">
        <v>0</v>
      </c>
      <c r="J6" s="644">
        <f>F6-H6</f>
        <v>41555736.963783689</v>
      </c>
    </row>
    <row r="7" spans="1:12">
      <c r="B7" s="643" t="s">
        <v>225</v>
      </c>
      <c r="C7" s="643"/>
      <c r="F7" s="359">
        <f>'EX AEV-1'!S22+'EX AEV-1'!I22</f>
        <v>15294251.471736092</v>
      </c>
      <c r="H7" s="645">
        <v>0</v>
      </c>
      <c r="J7" s="645">
        <f>F7-H7</f>
        <v>15294251.471736092</v>
      </c>
    </row>
    <row r="8" spans="1:12">
      <c r="B8" s="643" t="s">
        <v>224</v>
      </c>
      <c r="C8" s="643"/>
      <c r="F8" s="359">
        <f>'EX AEV-1'!I25+'EX AEV-1'!S25</f>
        <v>362059.2946721706</v>
      </c>
      <c r="H8" s="645">
        <v>0</v>
      </c>
      <c r="J8" s="645">
        <f>F8-H8</f>
        <v>362059.2946721706</v>
      </c>
    </row>
    <row r="9" spans="1:12">
      <c r="E9" s="63"/>
      <c r="F9" s="63"/>
      <c r="G9" s="63"/>
      <c r="H9" s="62"/>
      <c r="I9" s="63"/>
      <c r="J9" s="63"/>
    </row>
    <row r="10" spans="1:12">
      <c r="B10" s="643" t="s">
        <v>9</v>
      </c>
      <c r="C10" s="643"/>
      <c r="F10" s="644">
        <f>SUM(F6:F8)</f>
        <v>57212047.730191953</v>
      </c>
      <c r="H10" s="156">
        <v>0</v>
      </c>
      <c r="J10" s="644">
        <f>SUM(J6:J8)</f>
        <v>57212047.730191953</v>
      </c>
    </row>
    <row r="12" spans="1:12">
      <c r="B12" s="641" t="s">
        <v>788</v>
      </c>
      <c r="F12" s="644">
        <f>H293+H12</f>
        <v>1065528.8318151622</v>
      </c>
      <c r="H12" s="156">
        <v>0</v>
      </c>
      <c r="J12" s="644">
        <f>F12-H12</f>
        <v>1065528.8318151622</v>
      </c>
      <c r="L12" s="360"/>
    </row>
    <row r="13" spans="1:12" ht="15.75" customHeight="1"/>
    <row r="14" spans="1:12">
      <c r="B14" s="641" t="s">
        <v>336</v>
      </c>
    </row>
    <row r="15" spans="1:12">
      <c r="B15" s="641" t="str">
        <f>+B$6</f>
        <v xml:space="preserve">   Demand</v>
      </c>
      <c r="F15" s="644">
        <f>F19-F17-F16</f>
        <v>40781794.898376793</v>
      </c>
      <c r="H15" s="644">
        <v>0</v>
      </c>
      <c r="J15" s="644">
        <f>F15-H15</f>
        <v>40781794.898376793</v>
      </c>
    </row>
    <row r="16" spans="1:12">
      <c r="B16" s="641" t="str">
        <f>+B$7</f>
        <v xml:space="preserve">   Energy</v>
      </c>
      <c r="F16" s="645">
        <f>ROUND((F19/F10)*F7,0)</f>
        <v>15009408</v>
      </c>
      <c r="H16" s="645">
        <v>0</v>
      </c>
      <c r="J16" s="645">
        <f>F16-H16</f>
        <v>15009408</v>
      </c>
    </row>
    <row r="17" spans="2:10">
      <c r="B17" s="641" t="str">
        <f>+B$8</f>
        <v xml:space="preserve">   Customer</v>
      </c>
      <c r="D17" s="360"/>
      <c r="F17" s="645">
        <f>ROUND((F19/F10)*F8,0)</f>
        <v>355316</v>
      </c>
      <c r="H17" s="645">
        <v>0</v>
      </c>
      <c r="J17" s="645">
        <f>F17-H17</f>
        <v>355316</v>
      </c>
    </row>
    <row r="18" spans="2:10">
      <c r="E18" s="63"/>
      <c r="F18" s="63"/>
      <c r="G18" s="63"/>
      <c r="H18" s="63"/>
      <c r="I18" s="63"/>
      <c r="J18" s="63"/>
    </row>
    <row r="19" spans="2:10">
      <c r="B19" s="641" t="str">
        <f>+B$10</f>
        <v>Total</v>
      </c>
      <c r="F19" s="644">
        <f>F10-F12</f>
        <v>56146518.898376793</v>
      </c>
      <c r="H19" s="644">
        <f>H10-H12</f>
        <v>0</v>
      </c>
      <c r="J19" s="644">
        <f>SUM(J14:J17)</f>
        <v>56146518.898376793</v>
      </c>
    </row>
    <row r="22" spans="2:10" ht="15.75">
      <c r="B22" s="643" t="s">
        <v>335</v>
      </c>
      <c r="C22" s="142" t="s">
        <v>782</v>
      </c>
    </row>
    <row r="23" spans="2:10">
      <c r="B23" s="641" t="str">
        <f>+B$6</f>
        <v xml:space="preserve">   Demand</v>
      </c>
      <c r="F23" s="156">
        <f>'EX AEV-1'!T21+'EX AEV-1'!T23+'EX AEV-1'!T24+'EX AEV-1'!J21+'EX AEV-1'!J23+'EX AEV-1'!J24</f>
        <v>5038523.5279315664</v>
      </c>
      <c r="H23" s="644">
        <f>H27-H25-H24</f>
        <v>0</v>
      </c>
      <c r="J23" s="644">
        <f>F23-H23</f>
        <v>5038523.5279315664</v>
      </c>
    </row>
    <row r="24" spans="2:10">
      <c r="B24" s="641" t="str">
        <f>+B$7</f>
        <v xml:space="preserve">   Energy</v>
      </c>
      <c r="F24" s="359">
        <f>'EX AEV-1'!J22+'EX AEV-1'!T22</f>
        <v>1924131.3489992875</v>
      </c>
      <c r="H24" s="645">
        <v>0</v>
      </c>
      <c r="J24" s="645">
        <f>F24-H24</f>
        <v>1924131.3489992875</v>
      </c>
    </row>
    <row r="25" spans="2:10">
      <c r="B25" s="641" t="str">
        <f>+B$8</f>
        <v xml:space="preserve">   Customer</v>
      </c>
      <c r="F25" s="359">
        <f>'EX AEV-1'!T25+'EX AEV-1'!J25</f>
        <v>80190.796051820391</v>
      </c>
      <c r="H25" s="645">
        <v>0</v>
      </c>
      <c r="J25" s="645">
        <f>F25-H25</f>
        <v>80190.796051820391</v>
      </c>
    </row>
    <row r="26" spans="2:10">
      <c r="E26" s="63"/>
      <c r="F26" s="63"/>
      <c r="G26" s="63"/>
      <c r="H26" s="63"/>
      <c r="I26" s="63"/>
      <c r="J26" s="63"/>
    </row>
    <row r="27" spans="2:10">
      <c r="B27" s="641" t="str">
        <f>+B$10</f>
        <v>Total</v>
      </c>
      <c r="F27" s="644">
        <f>SUM(F23:F25)</f>
        <v>7042845.6729826741</v>
      </c>
      <c r="H27" s="156">
        <v>0</v>
      </c>
      <c r="J27" s="644">
        <f>SUM(J22:J25)</f>
        <v>7042845.6729826741</v>
      </c>
    </row>
    <row r="29" spans="2:10">
      <c r="B29" s="643" t="s">
        <v>240</v>
      </c>
      <c r="C29" s="643"/>
    </row>
    <row r="30" spans="2:10">
      <c r="B30" s="641" t="str">
        <f>+B$6</f>
        <v xml:space="preserve">   Demand</v>
      </c>
      <c r="F30" s="156">
        <f>'EX AEV-1'!K21</f>
        <v>723521.00644614873</v>
      </c>
      <c r="H30" s="644">
        <f>H34-H32-H31</f>
        <v>0</v>
      </c>
      <c r="J30" s="644">
        <f>F30-H30</f>
        <v>723521.00644614873</v>
      </c>
    </row>
    <row r="31" spans="2:10">
      <c r="B31" s="641" t="str">
        <f>+B$7</f>
        <v xml:space="preserve">   Energy</v>
      </c>
      <c r="F31" s="359">
        <f>'EX AEV-1'!K22</f>
        <v>396687.92911379749</v>
      </c>
      <c r="H31" s="645">
        <f>H34</f>
        <v>0</v>
      </c>
      <c r="J31" s="645">
        <f>F31-H31</f>
        <v>396687.92911379749</v>
      </c>
    </row>
    <row r="32" spans="2:10">
      <c r="B32" s="641" t="str">
        <f>+B$8</f>
        <v xml:space="preserve">   Customer</v>
      </c>
      <c r="F32" s="359">
        <f>'EX AEV-1'!K25</f>
        <v>91194.9916119626</v>
      </c>
      <c r="H32" s="645">
        <v>0</v>
      </c>
      <c r="J32" s="645">
        <f>F32-H32</f>
        <v>91194.9916119626</v>
      </c>
    </row>
    <row r="33" spans="2:12">
      <c r="E33" s="63"/>
      <c r="F33" s="63"/>
      <c r="G33" s="63"/>
      <c r="H33" s="62"/>
      <c r="I33" s="63"/>
      <c r="J33" s="63"/>
    </row>
    <row r="34" spans="2:12">
      <c r="B34" s="641" t="str">
        <f>+B$10</f>
        <v>Total</v>
      </c>
      <c r="F34" s="644">
        <f>SUM(F30:F32)</f>
        <v>1211403.9271719088</v>
      </c>
      <c r="H34" s="156">
        <v>0</v>
      </c>
      <c r="J34" s="644">
        <f>SUM(J30:J32)</f>
        <v>1211403.9271719088</v>
      </c>
    </row>
    <row r="36" spans="2:12">
      <c r="B36" s="643" t="s">
        <v>333</v>
      </c>
      <c r="C36" s="643"/>
    </row>
    <row r="37" spans="2:12">
      <c r="B37" s="641" t="str">
        <f>+B$6</f>
        <v xml:space="preserve">   Demand</v>
      </c>
      <c r="F37" s="156">
        <f>'EX AEV-1'!L21</f>
        <v>32351.113856280783</v>
      </c>
      <c r="H37" s="644">
        <v>0</v>
      </c>
      <c r="J37" s="644">
        <f>F37-H37</f>
        <v>32351.113856280783</v>
      </c>
    </row>
    <row r="38" spans="2:12">
      <c r="B38" s="641" t="str">
        <f>+B$7</f>
        <v xml:space="preserve">   Energy</v>
      </c>
      <c r="F38" s="359">
        <f>'EX AEV-1'!L22</f>
        <v>19014.668353449146</v>
      </c>
      <c r="H38" s="645">
        <f>H41</f>
        <v>99828</v>
      </c>
      <c r="J38" s="645">
        <f>F38-H38</f>
        <v>-80813.331646550854</v>
      </c>
    </row>
    <row r="39" spans="2:12">
      <c r="B39" s="641" t="str">
        <f>+B$8</f>
        <v xml:space="preserve">   Customer</v>
      </c>
      <c r="F39" s="359">
        <f>'EX AEV-1'!L25</f>
        <v>12407.971589242159</v>
      </c>
      <c r="H39" s="645">
        <v>0</v>
      </c>
      <c r="J39" s="645">
        <f>F39-H39</f>
        <v>12407.971589242159</v>
      </c>
    </row>
    <row r="40" spans="2:12">
      <c r="E40" s="63"/>
      <c r="F40" s="63"/>
      <c r="G40" s="63"/>
      <c r="H40" s="63"/>
      <c r="I40" s="63"/>
      <c r="J40" s="63"/>
    </row>
    <row r="41" spans="2:12">
      <c r="B41" s="641" t="str">
        <f>+B$10</f>
        <v>Total</v>
      </c>
      <c r="F41" s="644">
        <f>SUM(F37:F39)</f>
        <v>63773.753798972088</v>
      </c>
      <c r="H41" s="156">
        <f>'EX AEV-1'!M16</f>
        <v>99828</v>
      </c>
      <c r="J41" s="644">
        <f>SUM(J37:J39)</f>
        <v>-36054.246201027912</v>
      </c>
    </row>
    <row r="42" spans="2:12">
      <c r="F42" s="645"/>
      <c r="H42" s="645"/>
      <c r="J42" s="645"/>
      <c r="L42" s="360"/>
    </row>
    <row r="43" spans="2:12">
      <c r="B43" s="643" t="s">
        <v>334</v>
      </c>
      <c r="C43" s="643"/>
      <c r="F43" s="644"/>
      <c r="H43" s="644"/>
      <c r="J43" s="644"/>
    </row>
    <row r="44" spans="2:12">
      <c r="B44" s="641" t="str">
        <f>+B$6</f>
        <v xml:space="preserve">   Demand</v>
      </c>
      <c r="C44" s="641" t="s">
        <v>72</v>
      </c>
      <c r="F44" s="644">
        <f>((F15+F23)+F30)+F37</f>
        <v>46576190.54661078</v>
      </c>
      <c r="H44" s="644">
        <f>((H15+H23)+H30)+H37</f>
        <v>0</v>
      </c>
      <c r="J44" s="644">
        <f>F44-H44</f>
        <v>46576190.54661078</v>
      </c>
    </row>
    <row r="45" spans="2:12">
      <c r="B45" s="641" t="str">
        <f>+B$7</f>
        <v xml:space="preserve">   Energy</v>
      </c>
      <c r="F45" s="645">
        <f>((F16+F24)+F31)+F38</f>
        <v>17349241.946466535</v>
      </c>
      <c r="H45" s="645">
        <f>((H16+H24)+H31)+H38</f>
        <v>99828</v>
      </c>
      <c r="J45" s="645">
        <f>F45-H45</f>
        <v>17249413.946466535</v>
      </c>
    </row>
    <row r="46" spans="2:12">
      <c r="B46" s="641" t="str">
        <f>+B$8</f>
        <v xml:space="preserve">   Customer</v>
      </c>
      <c r="F46" s="645">
        <f>((F17+F25)+F32)+F39</f>
        <v>539109.75925302505</v>
      </c>
      <c r="H46" s="645">
        <f>((H17+H25)+H32)+H39</f>
        <v>0</v>
      </c>
      <c r="J46" s="645">
        <f>F46-H46</f>
        <v>539109.75925302505</v>
      </c>
    </row>
    <row r="47" spans="2:12">
      <c r="E47" s="63"/>
      <c r="F47" s="63"/>
      <c r="G47" s="63"/>
      <c r="H47" s="62"/>
      <c r="I47" s="63"/>
      <c r="J47" s="63"/>
    </row>
    <row r="48" spans="2:12">
      <c r="B48" s="641" t="str">
        <f>+B$10</f>
        <v>Total</v>
      </c>
      <c r="F48" s="644">
        <f>SUM(F44:F46)</f>
        <v>64464542.25233034</v>
      </c>
      <c r="H48" s="644">
        <f>SUM(H44:H46)</f>
        <v>99828</v>
      </c>
      <c r="J48" s="644">
        <f>SUM(J44:J46)</f>
        <v>64364714.25233034</v>
      </c>
    </row>
    <row r="49" spans="1:10">
      <c r="F49" s="360"/>
    </row>
    <row r="50" spans="1:10">
      <c r="F50" s="360"/>
      <c r="J50" s="360"/>
    </row>
    <row r="51" spans="1:10">
      <c r="F51" s="638"/>
    </row>
    <row r="52" spans="1:10">
      <c r="A52" s="643" t="s">
        <v>12</v>
      </c>
      <c r="B52" s="643" t="s">
        <v>258</v>
      </c>
      <c r="C52" s="643"/>
      <c r="F52" s="638"/>
    </row>
    <row r="53" spans="1:10">
      <c r="D53" s="68" t="s">
        <v>242</v>
      </c>
      <c r="F53" s="68" t="s">
        <v>241</v>
      </c>
      <c r="H53" s="68" t="s">
        <v>240</v>
      </c>
      <c r="J53" s="68" t="s">
        <v>333</v>
      </c>
    </row>
    <row r="54" spans="1:10">
      <c r="B54" s="128" t="s">
        <v>784</v>
      </c>
    </row>
    <row r="55" spans="1:10">
      <c r="B55" s="643" t="s">
        <v>332</v>
      </c>
      <c r="C55" s="643"/>
      <c r="D55" s="645">
        <f>D69+D62</f>
        <v>1420318.4947228625</v>
      </c>
      <c r="F55" s="645">
        <f>F69+F62</f>
        <v>264980.05033557047</v>
      </c>
      <c r="H55" s="645">
        <f>H69</f>
        <v>38060.254777070062</v>
      </c>
      <c r="J55" s="645">
        <f>J69</f>
        <v>1169.4545454545455</v>
      </c>
    </row>
    <row r="56" spans="1:10">
      <c r="B56" s="643" t="s">
        <v>331</v>
      </c>
      <c r="C56" s="643"/>
      <c r="D56" s="645">
        <f>D70+D63</f>
        <v>67000.108405027218</v>
      </c>
      <c r="F56" s="645">
        <f t="shared" ref="F56:F58" si="0">F70+F63</f>
        <v>75211.448221476516</v>
      </c>
      <c r="H56" s="645">
        <f t="shared" ref="H56:H58" si="1">H70</f>
        <v>8876.267515923566</v>
      </c>
      <c r="J56" s="645">
        <f t="shared" ref="J56:J58" si="2">J70</f>
        <v>226.90909090909091</v>
      </c>
    </row>
    <row r="57" spans="1:10">
      <c r="B57" s="643" t="s">
        <v>330</v>
      </c>
      <c r="C57" s="643"/>
      <c r="D57" s="645">
        <f>D71+D64</f>
        <v>468360441.54688603</v>
      </c>
      <c r="F57" s="645">
        <f t="shared" si="0"/>
        <v>66147609.408416338</v>
      </c>
      <c r="H57" s="645">
        <f t="shared" si="1"/>
        <v>13838703.611464968</v>
      </c>
      <c r="J57" s="645">
        <f t="shared" si="2"/>
        <v>527074.54545454541</v>
      </c>
    </row>
    <row r="58" spans="1:10">
      <c r="B58" s="643" t="s">
        <v>46</v>
      </c>
      <c r="C58" s="643"/>
      <c r="D58" s="645">
        <f>D72+D65</f>
        <v>8184</v>
      </c>
      <c r="F58" s="645">
        <f t="shared" si="0"/>
        <v>653</v>
      </c>
      <c r="H58" s="645">
        <f t="shared" si="1"/>
        <v>143</v>
      </c>
      <c r="J58" s="645">
        <f t="shared" si="2"/>
        <v>12</v>
      </c>
    </row>
    <row r="60" spans="1:10">
      <c r="B60" s="128" t="s">
        <v>737</v>
      </c>
      <c r="D60" s="68" t="s">
        <v>242</v>
      </c>
      <c r="F60" s="68" t="s">
        <v>241</v>
      </c>
    </row>
    <row r="62" spans="1:10">
      <c r="B62" s="643" t="s">
        <v>332</v>
      </c>
      <c r="C62" s="643"/>
      <c r="D62" s="359">
        <v>389301.32038834953</v>
      </c>
      <c r="F62" s="359">
        <v>7233</v>
      </c>
    </row>
    <row r="63" spans="1:10">
      <c r="B63" s="643" t="s">
        <v>331</v>
      </c>
      <c r="C63" s="643"/>
      <c r="D63" s="359">
        <v>10072.252427184467</v>
      </c>
      <c r="F63" s="359">
        <v>164</v>
      </c>
    </row>
    <row r="64" spans="1:10">
      <c r="B64" s="643" t="s">
        <v>330</v>
      </c>
      <c r="C64" s="643"/>
      <c r="D64" s="359">
        <v>102420279.38904484</v>
      </c>
      <c r="F64" s="359">
        <v>2082783.800982679</v>
      </c>
    </row>
    <row r="65" spans="1:10">
      <c r="B65" s="643" t="s">
        <v>46</v>
      </c>
      <c r="C65" s="643"/>
      <c r="D65" s="359">
        <v>1836</v>
      </c>
      <c r="F65" s="359">
        <v>12</v>
      </c>
    </row>
    <row r="67" spans="1:10">
      <c r="B67" s="128" t="s">
        <v>783</v>
      </c>
      <c r="D67" s="68" t="s">
        <v>242</v>
      </c>
      <c r="F67" s="68" t="s">
        <v>241</v>
      </c>
      <c r="H67" s="68" t="s">
        <v>240</v>
      </c>
      <c r="J67" s="68" t="s">
        <v>333</v>
      </c>
    </row>
    <row r="69" spans="1:10">
      <c r="B69" s="643" t="s">
        <v>332</v>
      </c>
      <c r="C69" s="643"/>
      <c r="D69" s="359">
        <v>1031017.174334513</v>
      </c>
      <c r="F69" s="359">
        <v>257747.05033557047</v>
      </c>
      <c r="H69" s="359">
        <v>38060.254777070062</v>
      </c>
      <c r="J69" s="359">
        <v>1169.4545454545455</v>
      </c>
    </row>
    <row r="70" spans="1:10">
      <c r="B70" s="643" t="s">
        <v>331</v>
      </c>
      <c r="C70" s="643"/>
      <c r="D70" s="359">
        <v>56927.855977842744</v>
      </c>
      <c r="F70" s="359">
        <v>75047.448221476516</v>
      </c>
      <c r="H70" s="359">
        <v>8876.267515923566</v>
      </c>
      <c r="J70" s="359">
        <v>226.90909090909091</v>
      </c>
    </row>
    <row r="71" spans="1:10">
      <c r="B71" s="643" t="s">
        <v>330</v>
      </c>
      <c r="C71" s="643"/>
      <c r="D71" s="359">
        <v>365940162.15784121</v>
      </c>
      <c r="F71" s="359">
        <v>64064825.607433662</v>
      </c>
      <c r="H71" s="359">
        <v>13838703.611464968</v>
      </c>
      <c r="J71" s="359">
        <v>527074.54545454541</v>
      </c>
    </row>
    <row r="72" spans="1:10">
      <c r="B72" s="643" t="s">
        <v>46</v>
      </c>
      <c r="C72" s="643"/>
      <c r="D72" s="359">
        <v>6348</v>
      </c>
      <c r="F72" s="359">
        <v>641</v>
      </c>
      <c r="H72" s="359">
        <v>143</v>
      </c>
      <c r="J72" s="359">
        <v>12</v>
      </c>
    </row>
    <row r="74" spans="1:10">
      <c r="C74" s="641" t="s">
        <v>793</v>
      </c>
      <c r="D74" s="326">
        <f>D57/D58</f>
        <v>57228.792955386853</v>
      </c>
      <c r="F74" s="326">
        <f>F57/F58</f>
        <v>101298.02359634968</v>
      </c>
      <c r="H74" s="326">
        <f>H57/H58</f>
        <v>96774.151129125647</v>
      </c>
      <c r="J74" s="326">
        <f>J57/J58</f>
        <v>43922.878787878784</v>
      </c>
    </row>
    <row r="75" spans="1:10">
      <c r="C75" s="641" t="s">
        <v>794</v>
      </c>
      <c r="D75" s="326">
        <f>D55/D58</f>
        <v>173.54820316750519</v>
      </c>
      <c r="F75" s="326">
        <f>F55/F58</f>
        <v>405.7887447711646</v>
      </c>
      <c r="H75" s="326">
        <f>H55/H58</f>
        <v>266.15562781167876</v>
      </c>
      <c r="J75" s="326">
        <f>J55/J58</f>
        <v>97.454545454545453</v>
      </c>
    </row>
    <row r="77" spans="1:10" ht="15.75">
      <c r="A77" s="643" t="s">
        <v>18</v>
      </c>
      <c r="B77" s="643" t="s">
        <v>329</v>
      </c>
      <c r="C77" s="643"/>
      <c r="G77" s="361"/>
      <c r="H77" s="361"/>
      <c r="I77" s="361"/>
      <c r="J77" s="361"/>
    </row>
    <row r="78" spans="1:10">
      <c r="A78" s="643"/>
      <c r="B78" s="643"/>
      <c r="C78" s="643"/>
    </row>
    <row r="79" spans="1:10">
      <c r="D79" s="127" t="s">
        <v>8</v>
      </c>
      <c r="H79" s="127" t="s">
        <v>257</v>
      </c>
      <c r="J79" s="127" t="s">
        <v>111</v>
      </c>
    </row>
    <row r="80" spans="1:10">
      <c r="B80" s="643" t="s">
        <v>16</v>
      </c>
      <c r="C80" s="643"/>
      <c r="D80" s="68" t="s">
        <v>1</v>
      </c>
      <c r="F80" s="68" t="s">
        <v>46</v>
      </c>
      <c r="H80" s="68" t="s">
        <v>136</v>
      </c>
      <c r="J80" s="68" t="s">
        <v>136</v>
      </c>
    </row>
    <row r="82" spans="1:254">
      <c r="B82" s="643" t="s">
        <v>328</v>
      </c>
      <c r="C82" s="643"/>
      <c r="D82" s="644">
        <f>+F17</f>
        <v>355316</v>
      </c>
      <c r="F82" s="645">
        <f>+D58</f>
        <v>8184</v>
      </c>
      <c r="H82" s="362">
        <f>ROUND((D82/F82),2)</f>
        <v>43.42</v>
      </c>
      <c r="J82" s="363">
        <v>85</v>
      </c>
      <c r="K82" s="641" t="s">
        <v>142</v>
      </c>
    </row>
    <row r="83" spans="1:254">
      <c r="B83" s="643" t="s">
        <v>327</v>
      </c>
      <c r="C83" s="643"/>
      <c r="D83" s="645">
        <f>+J25</f>
        <v>80190.796051820391</v>
      </c>
      <c r="F83" s="645">
        <f>+F58</f>
        <v>653</v>
      </c>
      <c r="H83" s="362">
        <f>ROUND((D83/F83),2)</f>
        <v>122.8</v>
      </c>
      <c r="J83" s="363">
        <v>127.5</v>
      </c>
      <c r="K83" s="641" t="s">
        <v>142</v>
      </c>
    </row>
    <row r="84" spans="1:254">
      <c r="B84" s="643" t="s">
        <v>326</v>
      </c>
      <c r="C84" s="643"/>
      <c r="D84" s="645">
        <f>+J32</f>
        <v>91194.9916119626</v>
      </c>
      <c r="F84" s="645">
        <f>+H58</f>
        <v>143</v>
      </c>
      <c r="H84" s="362">
        <f>ROUND((D84/F84),2)</f>
        <v>637.73</v>
      </c>
      <c r="J84" s="61">
        <v>660</v>
      </c>
      <c r="K84" s="641" t="s">
        <v>142</v>
      </c>
    </row>
    <row r="85" spans="1:254">
      <c r="B85" s="643" t="s">
        <v>325</v>
      </c>
      <c r="C85" s="643"/>
      <c r="D85" s="645">
        <f>J39</f>
        <v>12407.971589242159</v>
      </c>
      <c r="F85" s="645">
        <f>+J58</f>
        <v>12</v>
      </c>
      <c r="H85" s="362">
        <f>ROUND((D85/F85),2)</f>
        <v>1034</v>
      </c>
      <c r="J85" s="61">
        <v>660</v>
      </c>
      <c r="K85" s="641" t="s">
        <v>142</v>
      </c>
    </row>
    <row r="86" spans="1:254">
      <c r="D86" s="63"/>
      <c r="F86" s="63"/>
      <c r="I86" s="641" t="s">
        <v>324</v>
      </c>
    </row>
    <row r="87" spans="1:254">
      <c r="B87" s="643" t="s">
        <v>54</v>
      </c>
      <c r="C87" s="643"/>
      <c r="D87" s="644">
        <f>SUM(D82:D85)</f>
        <v>539109.75925302505</v>
      </c>
      <c r="F87" s="645">
        <f>SUM(F82:F85)</f>
        <v>8992</v>
      </c>
      <c r="I87" s="641" t="s">
        <v>323</v>
      </c>
    </row>
    <row r="88" spans="1:254">
      <c r="A88" s="364"/>
      <c r="B88" s="643"/>
      <c r="C88" s="643"/>
      <c r="D88" s="644"/>
      <c r="E88" s="364"/>
      <c r="F88" s="645"/>
      <c r="G88" s="364"/>
      <c r="I88" s="641" t="s">
        <v>322</v>
      </c>
      <c r="J88" s="364"/>
      <c r="K88" s="364"/>
      <c r="L88" s="364"/>
      <c r="M88" s="364"/>
      <c r="N88" s="364"/>
      <c r="O88" s="364"/>
      <c r="P88" s="364"/>
      <c r="Q88" s="364"/>
      <c r="R88" s="364"/>
      <c r="S88" s="364"/>
      <c r="T88" s="364"/>
      <c r="U88" s="364"/>
      <c r="V88" s="364"/>
      <c r="W88" s="364"/>
      <c r="X88" s="364"/>
      <c r="Y88" s="364"/>
      <c r="Z88" s="364"/>
      <c r="AA88" s="364"/>
      <c r="AB88" s="364"/>
      <c r="AC88" s="364"/>
      <c r="AD88" s="364"/>
      <c r="AE88" s="364"/>
      <c r="AF88" s="364"/>
      <c r="AG88" s="364"/>
      <c r="AH88" s="364"/>
      <c r="AI88" s="364"/>
      <c r="AJ88" s="364"/>
      <c r="AK88" s="364"/>
      <c r="AL88" s="364"/>
      <c r="AM88" s="364"/>
      <c r="AN88" s="364"/>
      <c r="AO88" s="364"/>
      <c r="AP88" s="364"/>
      <c r="AQ88" s="364"/>
      <c r="AR88" s="364"/>
      <c r="AS88" s="364"/>
      <c r="AT88" s="364"/>
      <c r="AU88" s="364"/>
      <c r="AV88" s="364"/>
      <c r="AW88" s="364"/>
      <c r="AX88" s="364"/>
      <c r="AY88" s="364"/>
      <c r="AZ88" s="364"/>
      <c r="BA88" s="364"/>
      <c r="BB88" s="364"/>
      <c r="BC88" s="364"/>
      <c r="BD88" s="364"/>
      <c r="BE88" s="364"/>
      <c r="BF88" s="364"/>
      <c r="BG88" s="364"/>
      <c r="BH88" s="364"/>
      <c r="BI88" s="364"/>
      <c r="BJ88" s="364"/>
      <c r="BK88" s="364"/>
      <c r="BL88" s="364"/>
      <c r="BM88" s="364"/>
      <c r="BN88" s="364"/>
      <c r="BO88" s="364"/>
      <c r="BP88" s="364"/>
      <c r="BQ88" s="364"/>
      <c r="BR88" s="364"/>
      <c r="BS88" s="364"/>
      <c r="BT88" s="364"/>
      <c r="BU88" s="364"/>
      <c r="BV88" s="364"/>
      <c r="BW88" s="364"/>
      <c r="BX88" s="364"/>
      <c r="BY88" s="364"/>
      <c r="BZ88" s="364"/>
      <c r="CA88" s="364"/>
      <c r="CB88" s="364"/>
      <c r="CC88" s="364"/>
      <c r="CD88" s="364"/>
      <c r="CE88" s="364"/>
      <c r="CF88" s="364"/>
      <c r="CG88" s="364"/>
      <c r="CH88" s="364"/>
      <c r="CI88" s="364"/>
      <c r="CJ88" s="364"/>
      <c r="CK88" s="364"/>
      <c r="CL88" s="364"/>
      <c r="CM88" s="364"/>
      <c r="CN88" s="364"/>
      <c r="CO88" s="364"/>
      <c r="CP88" s="364"/>
      <c r="CQ88" s="364"/>
      <c r="CR88" s="364"/>
      <c r="CS88" s="364"/>
      <c r="CT88" s="364"/>
      <c r="CU88" s="364"/>
      <c r="CV88" s="364"/>
      <c r="CW88" s="364"/>
      <c r="CX88" s="364"/>
      <c r="CY88" s="364"/>
      <c r="CZ88" s="364"/>
      <c r="DA88" s="364"/>
      <c r="DB88" s="364"/>
      <c r="DC88" s="364"/>
      <c r="DD88" s="364"/>
      <c r="DE88" s="364"/>
      <c r="DF88" s="364"/>
      <c r="DG88" s="364"/>
      <c r="DH88" s="364"/>
      <c r="DI88" s="364"/>
      <c r="DJ88" s="364"/>
      <c r="DK88" s="364"/>
      <c r="DL88" s="364"/>
      <c r="DM88" s="364"/>
      <c r="DN88" s="364"/>
      <c r="DO88" s="364"/>
      <c r="DP88" s="364"/>
      <c r="DQ88" s="364"/>
      <c r="DR88" s="364"/>
      <c r="DS88" s="364"/>
      <c r="DT88" s="364"/>
      <c r="DU88" s="364"/>
      <c r="DV88" s="364"/>
      <c r="DW88" s="364"/>
      <c r="DX88" s="364"/>
      <c r="DY88" s="364"/>
      <c r="DZ88" s="364"/>
      <c r="EA88" s="364"/>
      <c r="EB88" s="364"/>
      <c r="EC88" s="364"/>
      <c r="ED88" s="364"/>
      <c r="EE88" s="364"/>
      <c r="EF88" s="364"/>
      <c r="EG88" s="364"/>
      <c r="EH88" s="364"/>
      <c r="EI88" s="364"/>
      <c r="EJ88" s="364"/>
      <c r="EK88" s="364"/>
      <c r="EL88" s="364"/>
      <c r="EM88" s="364"/>
      <c r="EN88" s="364"/>
      <c r="EO88" s="364"/>
      <c r="EP88" s="364"/>
      <c r="EQ88" s="364"/>
      <c r="ER88" s="364"/>
      <c r="ES88" s="364"/>
      <c r="ET88" s="364"/>
      <c r="EU88" s="364"/>
      <c r="EV88" s="364"/>
      <c r="EW88" s="364"/>
      <c r="EX88" s="364"/>
      <c r="EY88" s="364"/>
      <c r="EZ88" s="364"/>
      <c r="FA88" s="364"/>
      <c r="FB88" s="364"/>
      <c r="FC88" s="364"/>
      <c r="FD88" s="364"/>
      <c r="FE88" s="364"/>
      <c r="FF88" s="364"/>
      <c r="FG88" s="364"/>
      <c r="FH88" s="364"/>
      <c r="FI88" s="364"/>
      <c r="FJ88" s="364"/>
      <c r="FK88" s="364"/>
      <c r="FL88" s="364"/>
      <c r="FM88" s="364"/>
      <c r="FN88" s="364"/>
      <c r="FO88" s="364"/>
      <c r="FP88" s="364"/>
      <c r="FQ88" s="364"/>
      <c r="FR88" s="364"/>
      <c r="FS88" s="364"/>
      <c r="FT88" s="364"/>
      <c r="FU88" s="364"/>
      <c r="FV88" s="364"/>
      <c r="FW88" s="364"/>
      <c r="FX88" s="364"/>
      <c r="FY88" s="364"/>
      <c r="FZ88" s="364"/>
      <c r="GA88" s="364"/>
      <c r="GB88" s="364"/>
      <c r="GC88" s="364"/>
      <c r="GD88" s="364"/>
      <c r="GE88" s="364"/>
      <c r="GF88" s="364"/>
      <c r="GG88" s="364"/>
      <c r="GH88" s="364"/>
      <c r="GI88" s="364"/>
      <c r="GJ88" s="364"/>
      <c r="GK88" s="364"/>
      <c r="GL88" s="364"/>
      <c r="GM88" s="364"/>
      <c r="GN88" s="364"/>
      <c r="GO88" s="364"/>
      <c r="GP88" s="364"/>
      <c r="GQ88" s="364"/>
      <c r="GR88" s="364"/>
      <c r="GS88" s="364"/>
      <c r="GT88" s="364"/>
      <c r="GU88" s="364"/>
      <c r="GV88" s="364"/>
      <c r="GW88" s="364"/>
      <c r="GX88" s="364"/>
      <c r="GY88" s="364"/>
      <c r="GZ88" s="364"/>
      <c r="HA88" s="364"/>
      <c r="HB88" s="364"/>
      <c r="HC88" s="364"/>
      <c r="HD88" s="364"/>
      <c r="HE88" s="364"/>
      <c r="HF88" s="364"/>
      <c r="HG88" s="364"/>
      <c r="HH88" s="364"/>
      <c r="HI88" s="364"/>
      <c r="HJ88" s="364"/>
      <c r="HK88" s="364"/>
      <c r="HL88" s="364"/>
      <c r="HM88" s="364"/>
      <c r="HN88" s="364"/>
      <c r="HO88" s="364"/>
      <c r="HP88" s="364"/>
      <c r="HQ88" s="364"/>
      <c r="HR88" s="364"/>
      <c r="HS88" s="364"/>
      <c r="HT88" s="364"/>
      <c r="HU88" s="364"/>
      <c r="HV88" s="364"/>
      <c r="HW88" s="364"/>
      <c r="HX88" s="364"/>
      <c r="HY88" s="364"/>
      <c r="HZ88" s="364"/>
      <c r="IA88" s="364"/>
      <c r="IB88" s="364"/>
      <c r="IC88" s="364"/>
      <c r="ID88" s="364"/>
      <c r="IE88" s="364"/>
      <c r="IF88" s="364"/>
      <c r="IG88" s="364"/>
      <c r="IH88" s="364"/>
      <c r="II88" s="364"/>
      <c r="IJ88" s="364"/>
      <c r="IK88" s="364"/>
      <c r="IL88" s="364"/>
      <c r="IM88" s="364"/>
      <c r="IN88" s="364"/>
      <c r="IO88" s="364"/>
      <c r="IP88" s="364"/>
      <c r="IQ88" s="364"/>
      <c r="IR88" s="364"/>
      <c r="IS88" s="364"/>
      <c r="IT88" s="364"/>
    </row>
    <row r="89" spans="1:254">
      <c r="D89" s="127" t="s">
        <v>111</v>
      </c>
      <c r="H89" s="127" t="s">
        <v>8</v>
      </c>
      <c r="J89" s="127"/>
    </row>
    <row r="90" spans="1:254">
      <c r="B90" s="643" t="s">
        <v>281</v>
      </c>
      <c r="C90" s="643"/>
      <c r="D90" s="68" t="s">
        <v>136</v>
      </c>
      <c r="F90" s="68" t="s">
        <v>46</v>
      </c>
      <c r="H90" s="68" t="s">
        <v>1</v>
      </c>
      <c r="J90" s="68"/>
    </row>
    <row r="92" spans="1:254">
      <c r="B92" s="641" t="str">
        <f>+B$82</f>
        <v xml:space="preserve">  Secondary</v>
      </c>
      <c r="D92" s="61">
        <f>J82</f>
        <v>85</v>
      </c>
      <c r="F92" s="645">
        <f>+F82</f>
        <v>8184</v>
      </c>
      <c r="G92" s="645"/>
      <c r="H92" s="644">
        <f>ROUND((D92*F92),0)</f>
        <v>695640</v>
      </c>
      <c r="J92" s="644"/>
    </row>
    <row r="93" spans="1:254">
      <c r="B93" s="641" t="str">
        <f>+B$83</f>
        <v xml:space="preserve">  Primary</v>
      </c>
      <c r="D93" s="61">
        <f>J83</f>
        <v>127.5</v>
      </c>
      <c r="F93" s="645">
        <f>+F83</f>
        <v>653</v>
      </c>
      <c r="H93" s="645">
        <f>ROUND((D93*F93),0)</f>
        <v>83258</v>
      </c>
    </row>
    <row r="94" spans="1:254">
      <c r="B94" s="641" t="str">
        <f>+B$84</f>
        <v xml:space="preserve">  Subtransmission</v>
      </c>
      <c r="D94" s="61">
        <f>J84</f>
        <v>660</v>
      </c>
      <c r="F94" s="645">
        <f>+F84</f>
        <v>143</v>
      </c>
      <c r="H94" s="645">
        <f>ROUND((D94*F94),0)</f>
        <v>94380</v>
      </c>
    </row>
    <row r="95" spans="1:254">
      <c r="B95" s="641" t="str">
        <f>+B$85</f>
        <v xml:space="preserve">  Transmission</v>
      </c>
      <c r="D95" s="61">
        <f>J85</f>
        <v>660</v>
      </c>
      <c r="F95" s="645">
        <f>+F85</f>
        <v>12</v>
      </c>
      <c r="H95" s="645">
        <f>ROUND((D95*F95),0)</f>
        <v>7920</v>
      </c>
    </row>
    <row r="96" spans="1:254">
      <c r="F96" s="63"/>
      <c r="H96" s="63"/>
    </row>
    <row r="97" spans="1:10">
      <c r="B97" s="641" t="str">
        <f>+B$87</f>
        <v xml:space="preserve">  Total</v>
      </c>
      <c r="F97" s="645">
        <f>SUM(F92:F95)</f>
        <v>8992</v>
      </c>
      <c r="H97" s="644">
        <f>SUM(H92:H95)</f>
        <v>881198</v>
      </c>
      <c r="J97" s="644"/>
    </row>
    <row r="98" spans="1:10">
      <c r="B98" s="643"/>
      <c r="C98" s="643"/>
    </row>
    <row r="99" spans="1:10">
      <c r="B99" s="643"/>
      <c r="C99" s="643"/>
    </row>
    <row r="100" spans="1:10">
      <c r="A100" s="643" t="s">
        <v>29</v>
      </c>
      <c r="B100" s="643" t="s">
        <v>321</v>
      </c>
      <c r="C100" s="643"/>
    </row>
    <row r="101" spans="1:10">
      <c r="A101" s="643"/>
      <c r="B101" s="643"/>
      <c r="C101" s="643"/>
    </row>
    <row r="102" spans="1:10">
      <c r="A102" s="643"/>
      <c r="B102" s="643"/>
      <c r="C102" s="643"/>
    </row>
    <row r="103" spans="1:10">
      <c r="C103" s="365"/>
      <c r="D103" s="69" t="s">
        <v>320</v>
      </c>
      <c r="F103" s="127" t="s">
        <v>319</v>
      </c>
    </row>
    <row r="104" spans="1:10">
      <c r="B104" s="643" t="s">
        <v>318</v>
      </c>
      <c r="C104" s="643"/>
      <c r="D104" s="68" t="s">
        <v>136</v>
      </c>
      <c r="F104" s="68" t="s">
        <v>301</v>
      </c>
      <c r="H104" s="68" t="s">
        <v>1</v>
      </c>
    </row>
    <row r="106" spans="1:10">
      <c r="B106" s="641" t="str">
        <f>+B$82</f>
        <v xml:space="preserve">  Secondary</v>
      </c>
      <c r="D106" s="363">
        <v>3.46</v>
      </c>
      <c r="F106" s="645">
        <f>+D182</f>
        <v>67000.108405027218</v>
      </c>
      <c r="H106" s="644">
        <f>ROUND((D106*F106),0)</f>
        <v>231820</v>
      </c>
    </row>
    <row r="107" spans="1:10">
      <c r="B107" s="641" t="str">
        <f>+B$83</f>
        <v xml:space="preserve">  Primary</v>
      </c>
      <c r="D107" s="61">
        <f>+D106</f>
        <v>3.46</v>
      </c>
      <c r="F107" s="645">
        <f>+D190</f>
        <v>75211.448221476516</v>
      </c>
      <c r="G107" s="645"/>
      <c r="H107" s="645">
        <f>ROUND((D107*F107),0)</f>
        <v>260232</v>
      </c>
    </row>
    <row r="108" spans="1:10">
      <c r="B108" s="641" t="str">
        <f>+B$84</f>
        <v xml:space="preserve">  Subtransmission</v>
      </c>
      <c r="D108" s="61">
        <f>+D106</f>
        <v>3.46</v>
      </c>
      <c r="F108" s="645">
        <f>+D198</f>
        <v>8876.267515923566</v>
      </c>
      <c r="H108" s="645">
        <f>ROUND((D108*F108),0)</f>
        <v>30712</v>
      </c>
    </row>
    <row r="109" spans="1:10">
      <c r="B109" s="641" t="str">
        <f>+B$85</f>
        <v xml:space="preserve">  Transmission</v>
      </c>
      <c r="D109" s="61">
        <f>+D106</f>
        <v>3.46</v>
      </c>
      <c r="F109" s="645">
        <f>+D206</f>
        <v>226.90909090909091</v>
      </c>
      <c r="H109" s="645">
        <f>ROUND((D109*F109),0)</f>
        <v>785</v>
      </c>
    </row>
    <row r="110" spans="1:10">
      <c r="F110" s="63"/>
      <c r="H110" s="63"/>
    </row>
    <row r="111" spans="1:10">
      <c r="B111" s="641" t="str">
        <f>+B$87</f>
        <v xml:space="preserve">  Total</v>
      </c>
      <c r="F111" s="645">
        <f>SUM(F106:F109)</f>
        <v>151314.73323333639</v>
      </c>
      <c r="H111" s="644">
        <f>SUM(H106:H109)</f>
        <v>523549</v>
      </c>
    </row>
    <row r="114" spans="1:13">
      <c r="A114" s="643" t="s">
        <v>79</v>
      </c>
      <c r="B114" s="643" t="s">
        <v>256</v>
      </c>
      <c r="C114" s="643"/>
    </row>
    <row r="115" spans="1:13">
      <c r="B115" s="60"/>
      <c r="C115" s="643"/>
      <c r="D115" s="642"/>
      <c r="J115" s="642"/>
    </row>
    <row r="116" spans="1:13">
      <c r="B116" s="148"/>
      <c r="C116" s="148"/>
      <c r="D116" s="93"/>
      <c r="H116" s="69" t="s">
        <v>790</v>
      </c>
      <c r="J116" s="69" t="s">
        <v>954</v>
      </c>
      <c r="M116" s="69" t="s">
        <v>964</v>
      </c>
    </row>
    <row r="117" spans="1:13">
      <c r="D117" s="127"/>
      <c r="F117" s="127"/>
      <c r="H117" s="127" t="s">
        <v>6</v>
      </c>
      <c r="J117" s="127" t="s">
        <v>963</v>
      </c>
      <c r="L117" s="671">
        <v>0.1</v>
      </c>
      <c r="M117" s="69" t="s">
        <v>965</v>
      </c>
    </row>
    <row r="118" spans="1:13">
      <c r="B118" s="643" t="s">
        <v>317</v>
      </c>
      <c r="C118" s="643"/>
      <c r="D118" s="68"/>
      <c r="F118" s="68"/>
      <c r="H118" s="68" t="s">
        <v>136</v>
      </c>
      <c r="J118" s="68" t="s">
        <v>136</v>
      </c>
      <c r="L118" s="69" t="s">
        <v>255</v>
      </c>
      <c r="M118" s="69" t="s">
        <v>966</v>
      </c>
    </row>
    <row r="120" spans="1:13">
      <c r="B120" s="641" t="str">
        <f>+B$82</f>
        <v xml:space="preserve">  Secondary</v>
      </c>
      <c r="F120" s="146"/>
      <c r="G120" s="147"/>
      <c r="H120" s="61">
        <f>GS!D120</f>
        <v>8.65</v>
      </c>
      <c r="I120" s="147"/>
      <c r="J120" s="672">
        <v>7.97</v>
      </c>
      <c r="L120" s="467">
        <f>J120*1.1</f>
        <v>8.7670000000000012</v>
      </c>
      <c r="M120" s="690">
        <f>L120</f>
        <v>8.7670000000000012</v>
      </c>
    </row>
    <row r="121" spans="1:13">
      <c r="B121" s="641" t="str">
        <f>+B$83</f>
        <v xml:space="preserve">  Primary</v>
      </c>
      <c r="F121" s="146"/>
      <c r="G121" s="147"/>
      <c r="H121" s="61">
        <f>GS!D126</f>
        <v>8.01</v>
      </c>
      <c r="I121" s="147"/>
      <c r="J121" s="672">
        <v>7.18</v>
      </c>
      <c r="L121" s="467">
        <f t="shared" ref="L121:L123" si="3">J121*1.1</f>
        <v>7.8980000000000006</v>
      </c>
      <c r="M121" s="690">
        <f>L121</f>
        <v>7.8980000000000006</v>
      </c>
    </row>
    <row r="122" spans="1:13">
      <c r="B122" s="641" t="str">
        <f>+B$84</f>
        <v xml:space="preserve">  Subtransmission</v>
      </c>
      <c r="F122" s="146"/>
      <c r="G122" s="147"/>
      <c r="H122" s="61">
        <f>GS!D131</f>
        <v>6.63</v>
      </c>
      <c r="I122" s="147"/>
      <c r="J122" s="672">
        <v>5.74</v>
      </c>
      <c r="L122" s="467">
        <f t="shared" si="3"/>
        <v>6.3140000000000009</v>
      </c>
      <c r="M122" s="690">
        <f>H122</f>
        <v>6.63</v>
      </c>
    </row>
    <row r="123" spans="1:13">
      <c r="B123" s="641" t="str">
        <f>+B$85</f>
        <v xml:space="preserve">  Transmission</v>
      </c>
      <c r="F123" s="146"/>
      <c r="G123" s="147"/>
      <c r="H123" s="61">
        <f>GS!J113</f>
        <v>6.54</v>
      </c>
      <c r="I123" s="147"/>
      <c r="J123" s="672">
        <v>5.6</v>
      </c>
      <c r="L123" s="467">
        <f t="shared" si="3"/>
        <v>6.16</v>
      </c>
      <c r="M123" s="690">
        <f>H123</f>
        <v>6.54</v>
      </c>
    </row>
    <row r="124" spans="1:13">
      <c r="D124" s="61"/>
      <c r="F124" s="66"/>
      <c r="G124" s="147"/>
      <c r="H124" s="61"/>
      <c r="I124" s="147"/>
      <c r="J124" s="94"/>
    </row>
    <row r="125" spans="1:13">
      <c r="D125" s="127" t="s">
        <v>147</v>
      </c>
      <c r="F125" s="127" t="s">
        <v>111</v>
      </c>
      <c r="H125" s="127" t="s">
        <v>6</v>
      </c>
    </row>
    <row r="126" spans="1:13">
      <c r="B126" s="643" t="s">
        <v>316</v>
      </c>
      <c r="C126" s="643"/>
      <c r="D126" s="68" t="s">
        <v>6</v>
      </c>
      <c r="F126" s="68" t="s">
        <v>136</v>
      </c>
      <c r="H126" s="68" t="s">
        <v>1</v>
      </c>
    </row>
    <row r="128" spans="1:13">
      <c r="B128" s="641" t="str">
        <f>+B$82</f>
        <v xml:space="preserve">  Secondary</v>
      </c>
      <c r="D128" s="645">
        <f>+D55</f>
        <v>1420318.4947228625</v>
      </c>
      <c r="F128" s="61">
        <f>M120</f>
        <v>8.7670000000000012</v>
      </c>
      <c r="H128" s="644">
        <f>ROUND((D128*F128),0)</f>
        <v>12451932</v>
      </c>
    </row>
    <row r="129" spans="1:8">
      <c r="B129" s="641" t="str">
        <f>+B$83</f>
        <v xml:space="preserve">  Primary</v>
      </c>
      <c r="D129" s="645">
        <f>+F55</f>
        <v>264980.05033557047</v>
      </c>
      <c r="F129" s="61">
        <f>M121</f>
        <v>7.8980000000000006</v>
      </c>
      <c r="H129" s="645">
        <f>ROUND((D129*F129),0)</f>
        <v>2092812</v>
      </c>
    </row>
    <row r="130" spans="1:8">
      <c r="B130" s="641" t="str">
        <f>+B$84</f>
        <v xml:space="preserve">  Subtransmission</v>
      </c>
      <c r="D130" s="645">
        <f>+H55</f>
        <v>38060.254777070062</v>
      </c>
      <c r="F130" s="61">
        <f>M122</f>
        <v>6.63</v>
      </c>
      <c r="H130" s="645">
        <f>ROUND((D130*F130),0)</f>
        <v>252339</v>
      </c>
    </row>
    <row r="131" spans="1:8">
      <c r="B131" s="641" t="str">
        <f>+B$85</f>
        <v xml:space="preserve">  Transmission</v>
      </c>
      <c r="D131" s="645">
        <f>+J55</f>
        <v>1169.4545454545455</v>
      </c>
      <c r="F131" s="61">
        <f>M123</f>
        <v>6.54</v>
      </c>
      <c r="H131" s="326">
        <f>ROUND((D131*F131),0)</f>
        <v>7648</v>
      </c>
    </row>
    <row r="132" spans="1:8">
      <c r="D132" s="366"/>
      <c r="F132" s="61"/>
      <c r="H132" s="366"/>
    </row>
    <row r="133" spans="1:8">
      <c r="B133" s="641" t="str">
        <f>+B$87</f>
        <v xml:space="preserve">  Total</v>
      </c>
      <c r="D133" s="645">
        <f>SUM(D128:D131)</f>
        <v>1724528.2543809577</v>
      </c>
      <c r="F133" s="367"/>
      <c r="H133" s="644">
        <f>SUM(H128:H131)</f>
        <v>14804731</v>
      </c>
    </row>
    <row r="135" spans="1:8">
      <c r="A135" s="643" t="s">
        <v>80</v>
      </c>
      <c r="B135" s="643" t="s">
        <v>249</v>
      </c>
      <c r="C135" s="643"/>
    </row>
    <row r="136" spans="1:8">
      <c r="D136" s="127" t="s">
        <v>147</v>
      </c>
      <c r="F136" s="127" t="s">
        <v>254</v>
      </c>
      <c r="H136" s="127" t="s">
        <v>315</v>
      </c>
    </row>
    <row r="137" spans="1:8">
      <c r="B137" s="643" t="s">
        <v>260</v>
      </c>
      <c r="C137" s="643"/>
      <c r="D137" s="68" t="s">
        <v>7</v>
      </c>
      <c r="F137" s="68" t="s">
        <v>253</v>
      </c>
      <c r="H137" s="68" t="s">
        <v>7</v>
      </c>
    </row>
    <row r="139" spans="1:8">
      <c r="B139" s="641" t="str">
        <f>+B$82</f>
        <v xml:space="preserve">  Secondary</v>
      </c>
      <c r="D139" s="645">
        <f>+D57</f>
        <v>468360441.54688603</v>
      </c>
      <c r="F139" s="146">
        <v>1</v>
      </c>
      <c r="H139" s="645">
        <f>ROUND((D139*F139),0)</f>
        <v>468360442</v>
      </c>
    </row>
    <row r="140" spans="1:8">
      <c r="B140" s="641" t="str">
        <f>+B$83</f>
        <v xml:space="preserve">  Primary</v>
      </c>
      <c r="D140" s="645">
        <f>+F57</f>
        <v>66147609.408416338</v>
      </c>
      <c r="F140" s="146">
        <f>'Energy Basis'!C15</f>
        <v>0.98647425822736579</v>
      </c>
      <c r="H140" s="645">
        <f>ROUND((D140*F140),0)</f>
        <v>65252914</v>
      </c>
    </row>
    <row r="141" spans="1:8">
      <c r="B141" s="641" t="str">
        <f>+B$84</f>
        <v xml:space="preserve">  Subtransmission</v>
      </c>
      <c r="D141" s="645">
        <f>+H57</f>
        <v>13838703.611464968</v>
      </c>
      <c r="F141" s="146">
        <f>'Energy Basis'!D15</f>
        <v>0.97817783492879939</v>
      </c>
      <c r="H141" s="645">
        <f>ROUND((D141*F141),0)</f>
        <v>13536713</v>
      </c>
    </row>
    <row r="142" spans="1:8">
      <c r="B142" s="641" t="str">
        <f>+B$85</f>
        <v xml:space="preserve">  Transmission</v>
      </c>
      <c r="D142" s="645">
        <f>+J57</f>
        <v>527074.54545454541</v>
      </c>
      <c r="F142" s="146">
        <f>'Energy Basis'!E15</f>
        <v>0.97002428918416927</v>
      </c>
      <c r="H142" s="645">
        <f>ROUND((D142*F142),0)</f>
        <v>511275</v>
      </c>
    </row>
    <row r="143" spans="1:8">
      <c r="D143" s="63"/>
      <c r="H143" s="63"/>
    </row>
    <row r="144" spans="1:8">
      <c r="B144" s="641" t="str">
        <f>+B$87</f>
        <v xml:space="preserve">  Total</v>
      </c>
      <c r="D144" s="645">
        <f>SUM(D139:D142)</f>
        <v>548873829.11222184</v>
      </c>
      <c r="H144" s="645">
        <f>SUM(H139:H142)</f>
        <v>547661344</v>
      </c>
    </row>
    <row r="145" spans="2:8">
      <c r="D145" s="645"/>
      <c r="H145" s="645"/>
    </row>
    <row r="146" spans="2:8">
      <c r="D146" s="645"/>
      <c r="F146" s="355">
        <f>1-GS!$D$114</f>
        <v>1</v>
      </c>
      <c r="H146" s="127" t="s">
        <v>314</v>
      </c>
    </row>
    <row r="147" spans="2:8">
      <c r="D147" s="127" t="s">
        <v>147</v>
      </c>
      <c r="F147" s="127" t="s">
        <v>314</v>
      </c>
      <c r="H147" s="127" t="s">
        <v>304</v>
      </c>
    </row>
    <row r="148" spans="2:8">
      <c r="B148" s="643" t="s">
        <v>313</v>
      </c>
      <c r="C148" s="643"/>
      <c r="D148" s="68" t="s">
        <v>7</v>
      </c>
      <c r="F148" s="68" t="s">
        <v>304</v>
      </c>
      <c r="H148" s="68" t="s">
        <v>1</v>
      </c>
    </row>
    <row r="149" spans="2:8">
      <c r="F149" s="368"/>
      <c r="G149" s="368"/>
      <c r="H149" s="368"/>
    </row>
    <row r="150" spans="2:8">
      <c r="B150" s="641" t="str">
        <f>+B$82</f>
        <v xml:space="preserve">  Secondary</v>
      </c>
      <c r="D150" s="645">
        <f>D139</f>
        <v>468360441.54688603</v>
      </c>
      <c r="F150" s="369" t="s">
        <v>312</v>
      </c>
      <c r="H150" s="370">
        <v>0</v>
      </c>
    </row>
    <row r="151" spans="2:8">
      <c r="B151" s="641" t="str">
        <f>+B$83</f>
        <v xml:space="preserve">  Primary</v>
      </c>
      <c r="D151" s="645">
        <f>D140</f>
        <v>66147609.408416338</v>
      </c>
      <c r="F151" s="371">
        <f>ROUND('Energy Basis'!F32*$F$146,5)</f>
        <v>-9.6600000000000002E-3</v>
      </c>
      <c r="H151" s="370">
        <f>ROUND((D151*F151),0)</f>
        <v>-638986</v>
      </c>
    </row>
    <row r="152" spans="2:8">
      <c r="B152" s="641" t="str">
        <f>+B$84</f>
        <v xml:space="preserve">  Subtransmission</v>
      </c>
      <c r="D152" s="645">
        <f>D141</f>
        <v>13838703.611464968</v>
      </c>
      <c r="F152" s="371">
        <f>ROUND('Energy Basis'!F33*$F$146,5)</f>
        <v>-3.1550000000000002E-2</v>
      </c>
      <c r="H152" s="370">
        <f>ROUND((D152*F152),0)</f>
        <v>-436611</v>
      </c>
    </row>
    <row r="153" spans="2:8">
      <c r="B153" s="641" t="str">
        <f>+B$85</f>
        <v xml:space="preserve">  Transmission</v>
      </c>
      <c r="D153" s="645">
        <f>D142</f>
        <v>527074.54545454541</v>
      </c>
      <c r="F153" s="371">
        <f>ROUND('Energy Basis'!F34*$F$146,5)</f>
        <v>-3.1550000000000002E-2</v>
      </c>
      <c r="H153" s="370">
        <f>ROUND((D153*F153),0)</f>
        <v>-16629</v>
      </c>
    </row>
    <row r="154" spans="2:8">
      <c r="D154" s="63"/>
      <c r="H154" s="63"/>
    </row>
    <row r="155" spans="2:8">
      <c r="B155" s="641" t="str">
        <f>+B$87</f>
        <v xml:space="preserve">  Total</v>
      </c>
      <c r="D155" s="645">
        <f>SUM(D150:D153)</f>
        <v>548873829.11222184</v>
      </c>
      <c r="H155" s="71">
        <f>SUM(H150:H153)</f>
        <v>-1092226</v>
      </c>
    </row>
    <row r="156" spans="2:8">
      <c r="D156" s="645"/>
      <c r="H156" s="71"/>
    </row>
    <row r="158" spans="2:8">
      <c r="B158" s="643" t="s">
        <v>311</v>
      </c>
      <c r="C158" s="643"/>
      <c r="D158" s="644">
        <f>+J48</f>
        <v>64364714.25233034</v>
      </c>
    </row>
    <row r="159" spans="2:8">
      <c r="B159" s="643" t="s">
        <v>248</v>
      </c>
      <c r="C159" s="643"/>
      <c r="D159" s="645">
        <f>+H97</f>
        <v>881198</v>
      </c>
    </row>
    <row r="160" spans="2:8">
      <c r="B160" s="643" t="s">
        <v>310</v>
      </c>
      <c r="C160" s="643"/>
      <c r="D160" s="645">
        <f>+H111</f>
        <v>523549</v>
      </c>
    </row>
    <row r="161" spans="2:10">
      <c r="B161" s="643" t="s">
        <v>247</v>
      </c>
      <c r="C161" s="643"/>
      <c r="D161" s="645">
        <f>+H133</f>
        <v>14804731</v>
      </c>
    </row>
    <row r="162" spans="2:10">
      <c r="B162" s="643" t="s">
        <v>309</v>
      </c>
      <c r="C162" s="643"/>
      <c r="D162" s="370">
        <f>H155</f>
        <v>-1092226</v>
      </c>
    </row>
    <row r="163" spans="2:10">
      <c r="D163" s="63"/>
    </row>
    <row r="164" spans="2:10">
      <c r="B164" s="643" t="s">
        <v>308</v>
      </c>
      <c r="C164" s="643"/>
      <c r="D164" s="644">
        <f>D158-SUM(D159:D162)</f>
        <v>49247462.25233034</v>
      </c>
    </row>
    <row r="165" spans="2:10">
      <c r="B165" s="643" t="s">
        <v>307</v>
      </c>
      <c r="C165" s="643"/>
      <c r="D165" s="645">
        <f>+H144</f>
        <v>547661344</v>
      </c>
    </row>
    <row r="166" spans="2:10">
      <c r="D166" s="63"/>
    </row>
    <row r="167" spans="2:10">
      <c r="B167" s="643" t="s">
        <v>306</v>
      </c>
      <c r="C167" s="643"/>
      <c r="D167" s="57">
        <f>ROUND((D164/D165),5)</f>
        <v>8.992E-2</v>
      </c>
    </row>
    <row r="170" spans="2:10">
      <c r="C170" s="127" t="s">
        <v>242</v>
      </c>
      <c r="D170" s="127" t="s">
        <v>254</v>
      </c>
      <c r="F170" s="69" t="s">
        <v>7</v>
      </c>
      <c r="G170" s="69"/>
      <c r="H170" s="69" t="s">
        <v>305</v>
      </c>
      <c r="J170" s="127" t="s">
        <v>111</v>
      </c>
    </row>
    <row r="171" spans="2:10">
      <c r="C171" s="68" t="s">
        <v>136</v>
      </c>
      <c r="D171" s="68" t="s">
        <v>253</v>
      </c>
      <c r="F171" s="372" t="s">
        <v>136</v>
      </c>
      <c r="G171" s="372"/>
      <c r="H171" s="372" t="s">
        <v>304</v>
      </c>
      <c r="J171" s="68" t="s">
        <v>136</v>
      </c>
    </row>
    <row r="173" spans="2:10">
      <c r="B173" s="641" t="str">
        <f>+B$82</f>
        <v xml:space="preserve">  Secondary</v>
      </c>
      <c r="C173" s="373">
        <f>+D167</f>
        <v>8.992E-2</v>
      </c>
      <c r="D173" s="66">
        <f>+F139</f>
        <v>1</v>
      </c>
      <c r="E173" s="127"/>
      <c r="F173" s="374">
        <f>ROUND(C173*D173,5)</f>
        <v>8.992E-2</v>
      </c>
      <c r="H173" s="59">
        <v>0</v>
      </c>
      <c r="J173" s="67">
        <f>F173+H173</f>
        <v>8.992E-2</v>
      </c>
    </row>
    <row r="174" spans="2:10">
      <c r="B174" s="641" t="str">
        <f>+B$83</f>
        <v xml:space="preserve">  Primary</v>
      </c>
      <c r="C174" s="70">
        <f>+$C$173</f>
        <v>8.992E-2</v>
      </c>
      <c r="D174" s="66">
        <f>+F140</f>
        <v>0.98647425822736579</v>
      </c>
      <c r="E174" s="127"/>
      <c r="F174" s="374">
        <f>ROUND(C174*D174,5)</f>
        <v>8.8700000000000001E-2</v>
      </c>
      <c r="H174" s="58">
        <f>F151</f>
        <v>-9.6600000000000002E-3</v>
      </c>
      <c r="J174" s="67">
        <f>F174+H174</f>
        <v>7.9039999999999999E-2</v>
      </c>
    </row>
    <row r="175" spans="2:10">
      <c r="B175" s="641" t="str">
        <f>+B$84</f>
        <v xml:space="preserve">  Subtransmission</v>
      </c>
      <c r="C175" s="70">
        <f>+$C$173</f>
        <v>8.992E-2</v>
      </c>
      <c r="D175" s="66">
        <f>+F141</f>
        <v>0.97817783492879939</v>
      </c>
      <c r="E175" s="127"/>
      <c r="F175" s="374">
        <f>ROUND(C175*D175,5)</f>
        <v>8.7959999999999997E-2</v>
      </c>
      <c r="H175" s="58">
        <f>F152</f>
        <v>-3.1550000000000002E-2</v>
      </c>
      <c r="J175" s="67">
        <f>F175+H175</f>
        <v>5.6409999999999995E-2</v>
      </c>
    </row>
    <row r="176" spans="2:10">
      <c r="B176" s="641" t="str">
        <f>+B$85</f>
        <v xml:space="preserve">  Transmission</v>
      </c>
      <c r="C176" s="70">
        <f>+$C$173</f>
        <v>8.992E-2</v>
      </c>
      <c r="D176" s="66">
        <f>+F142</f>
        <v>0.97002428918416927</v>
      </c>
      <c r="E176" s="127"/>
      <c r="F176" s="374">
        <f>ROUND(C176*D176,5)</f>
        <v>8.7220000000000006E-2</v>
      </c>
      <c r="H176" s="58">
        <f>F153</f>
        <v>-3.1550000000000002E-2</v>
      </c>
      <c r="J176" s="67">
        <f>F176+H176</f>
        <v>5.5670000000000004E-2</v>
      </c>
    </row>
    <row r="177" spans="1:254">
      <c r="A177" s="364"/>
      <c r="B177" s="364"/>
      <c r="C177" s="364"/>
      <c r="D177" s="364"/>
      <c r="E177" s="364"/>
      <c r="F177" s="364"/>
      <c r="G177" s="364"/>
      <c r="H177" s="364"/>
      <c r="I177" s="364"/>
      <c r="J177" s="364"/>
      <c r="K177" s="364"/>
      <c r="L177" s="364"/>
      <c r="M177" s="364"/>
      <c r="N177" s="364"/>
      <c r="O177" s="364"/>
      <c r="P177" s="364"/>
      <c r="Q177" s="364"/>
      <c r="R177" s="364"/>
      <c r="S177" s="364"/>
      <c r="T177" s="364"/>
      <c r="U177" s="364"/>
      <c r="V177" s="364"/>
      <c r="W177" s="364"/>
      <c r="X177" s="364"/>
      <c r="Y177" s="364"/>
      <c r="Z177" s="364"/>
      <c r="AA177" s="364"/>
      <c r="AB177" s="364"/>
      <c r="AC177" s="364"/>
      <c r="AD177" s="364"/>
      <c r="AE177" s="364"/>
      <c r="AF177" s="364"/>
      <c r="AG177" s="364"/>
      <c r="AH177" s="364"/>
      <c r="AI177" s="364"/>
      <c r="AJ177" s="364"/>
      <c r="AK177" s="364"/>
      <c r="AL177" s="364"/>
      <c r="AM177" s="364"/>
      <c r="AN177" s="364"/>
      <c r="AO177" s="364"/>
      <c r="AP177" s="364"/>
      <c r="AQ177" s="364"/>
      <c r="AR177" s="364"/>
      <c r="AS177" s="364"/>
      <c r="AT177" s="364"/>
      <c r="AU177" s="364"/>
      <c r="AV177" s="364"/>
      <c r="AW177" s="364"/>
      <c r="AX177" s="364"/>
      <c r="AY177" s="364"/>
      <c r="AZ177" s="364"/>
      <c r="BA177" s="364"/>
      <c r="BB177" s="364"/>
      <c r="BC177" s="364"/>
      <c r="BD177" s="364"/>
      <c r="BE177" s="364"/>
      <c r="BF177" s="364"/>
      <c r="BG177" s="364"/>
      <c r="BH177" s="364"/>
      <c r="BI177" s="364"/>
      <c r="BJ177" s="364"/>
      <c r="BK177" s="364"/>
      <c r="BL177" s="364"/>
      <c r="BM177" s="364"/>
      <c r="BN177" s="364"/>
      <c r="BO177" s="364"/>
      <c r="BP177" s="364"/>
      <c r="BQ177" s="364"/>
      <c r="BR177" s="364"/>
      <c r="BS177" s="364"/>
      <c r="BT177" s="364"/>
      <c r="BU177" s="364"/>
      <c r="BV177" s="364"/>
      <c r="BW177" s="364"/>
      <c r="BX177" s="364"/>
      <c r="BY177" s="364"/>
      <c r="BZ177" s="364"/>
      <c r="CA177" s="364"/>
      <c r="CB177" s="364"/>
      <c r="CC177" s="364"/>
      <c r="CD177" s="364"/>
      <c r="CE177" s="364"/>
      <c r="CF177" s="364"/>
      <c r="CG177" s="364"/>
      <c r="CH177" s="364"/>
      <c r="CI177" s="364"/>
      <c r="CJ177" s="364"/>
      <c r="CK177" s="364"/>
      <c r="CL177" s="364"/>
      <c r="CM177" s="364"/>
      <c r="CN177" s="364"/>
      <c r="CO177" s="364"/>
      <c r="CP177" s="364"/>
      <c r="CQ177" s="364"/>
      <c r="CR177" s="364"/>
      <c r="CS177" s="364"/>
      <c r="CT177" s="364"/>
      <c r="CU177" s="364"/>
      <c r="CV177" s="364"/>
      <c r="CW177" s="364"/>
      <c r="CX177" s="364"/>
      <c r="CY177" s="364"/>
      <c r="CZ177" s="364"/>
      <c r="DA177" s="364"/>
      <c r="DB177" s="364"/>
      <c r="DC177" s="364"/>
      <c r="DD177" s="364"/>
      <c r="DE177" s="364"/>
      <c r="DF177" s="364"/>
      <c r="DG177" s="364"/>
      <c r="DH177" s="364"/>
      <c r="DI177" s="364"/>
      <c r="DJ177" s="364"/>
      <c r="DK177" s="364"/>
      <c r="DL177" s="364"/>
      <c r="DM177" s="364"/>
      <c r="DN177" s="364"/>
      <c r="DO177" s="364"/>
      <c r="DP177" s="364"/>
      <c r="DQ177" s="364"/>
      <c r="DR177" s="364"/>
      <c r="DS177" s="364"/>
      <c r="DT177" s="364"/>
      <c r="DU177" s="364"/>
      <c r="DV177" s="364"/>
      <c r="DW177" s="364"/>
      <c r="DX177" s="364"/>
      <c r="DY177" s="364"/>
      <c r="DZ177" s="364"/>
      <c r="EA177" s="364"/>
      <c r="EB177" s="364"/>
      <c r="EC177" s="364"/>
      <c r="ED177" s="364"/>
      <c r="EE177" s="364"/>
      <c r="EF177" s="364"/>
      <c r="EG177" s="364"/>
      <c r="EH177" s="364"/>
      <c r="EI177" s="364"/>
      <c r="EJ177" s="364"/>
      <c r="EK177" s="364"/>
      <c r="EL177" s="364"/>
      <c r="EM177" s="364"/>
      <c r="EN177" s="364"/>
      <c r="EO177" s="364"/>
      <c r="EP177" s="364"/>
      <c r="EQ177" s="364"/>
      <c r="ER177" s="364"/>
      <c r="ES177" s="364"/>
      <c r="ET177" s="364"/>
      <c r="EU177" s="364"/>
      <c r="EV177" s="364"/>
      <c r="EW177" s="364"/>
      <c r="EX177" s="364"/>
      <c r="EY177" s="364"/>
      <c r="EZ177" s="364"/>
      <c r="FA177" s="364"/>
      <c r="FB177" s="364"/>
      <c r="FC177" s="364"/>
      <c r="FD177" s="364"/>
      <c r="FE177" s="364"/>
      <c r="FF177" s="364"/>
      <c r="FG177" s="364"/>
      <c r="FH177" s="364"/>
      <c r="FI177" s="364"/>
      <c r="FJ177" s="364"/>
      <c r="FK177" s="364"/>
      <c r="FL177" s="364"/>
      <c r="FM177" s="364"/>
      <c r="FN177" s="364"/>
      <c r="FO177" s="364"/>
      <c r="FP177" s="364"/>
      <c r="FQ177" s="364"/>
      <c r="FR177" s="364"/>
      <c r="FS177" s="364"/>
      <c r="FT177" s="364"/>
      <c r="FU177" s="364"/>
      <c r="FV177" s="364"/>
      <c r="FW177" s="364"/>
      <c r="FX177" s="364"/>
      <c r="FY177" s="364"/>
      <c r="FZ177" s="364"/>
      <c r="GA177" s="364"/>
      <c r="GB177" s="364"/>
      <c r="GC177" s="364"/>
      <c r="GD177" s="364"/>
      <c r="GE177" s="364"/>
      <c r="GF177" s="364"/>
      <c r="GG177" s="364"/>
      <c r="GH177" s="364"/>
      <c r="GI177" s="364"/>
      <c r="GJ177" s="364"/>
      <c r="GK177" s="364"/>
      <c r="GL177" s="364"/>
      <c r="GM177" s="364"/>
      <c r="GN177" s="364"/>
      <c r="GO177" s="364"/>
      <c r="GP177" s="364"/>
      <c r="GQ177" s="364"/>
      <c r="GR177" s="364"/>
      <c r="GS177" s="364"/>
      <c r="GT177" s="364"/>
      <c r="GU177" s="364"/>
      <c r="GV177" s="364"/>
      <c r="GW177" s="364"/>
      <c r="GX177" s="364"/>
      <c r="GY177" s="364"/>
      <c r="GZ177" s="364"/>
      <c r="HA177" s="364"/>
      <c r="HB177" s="364"/>
      <c r="HC177" s="364"/>
      <c r="HD177" s="364"/>
      <c r="HE177" s="364"/>
      <c r="HF177" s="364"/>
      <c r="HG177" s="364"/>
      <c r="HH177" s="364"/>
      <c r="HI177" s="364"/>
      <c r="HJ177" s="364"/>
      <c r="HK177" s="364"/>
      <c r="HL177" s="364"/>
      <c r="HM177" s="364"/>
      <c r="HN177" s="364"/>
      <c r="HO177" s="364"/>
      <c r="HP177" s="364"/>
      <c r="HQ177" s="364"/>
      <c r="HR177" s="364"/>
      <c r="HS177" s="364"/>
      <c r="HT177" s="364"/>
      <c r="HU177" s="364"/>
      <c r="HV177" s="364"/>
      <c r="HW177" s="364"/>
      <c r="HX177" s="364"/>
      <c r="HY177" s="364"/>
      <c r="HZ177" s="364"/>
      <c r="IA177" s="364"/>
      <c r="IB177" s="364"/>
      <c r="IC177" s="364"/>
      <c r="ID177" s="364"/>
      <c r="IE177" s="364"/>
      <c r="IF177" s="364"/>
      <c r="IG177" s="364"/>
      <c r="IH177" s="364"/>
      <c r="II177" s="364"/>
      <c r="IJ177" s="364"/>
      <c r="IK177" s="364"/>
      <c r="IL177" s="364"/>
      <c r="IM177" s="364"/>
      <c r="IN177" s="364"/>
      <c r="IO177" s="364"/>
      <c r="IP177" s="364"/>
      <c r="IQ177" s="364"/>
      <c r="IR177" s="364"/>
      <c r="IS177" s="364"/>
      <c r="IT177" s="364"/>
    </row>
    <row r="179" spans="1:254" ht="20.25">
      <c r="A179" s="375" t="s">
        <v>81</v>
      </c>
      <c r="B179" s="647" t="s">
        <v>1004</v>
      </c>
      <c r="C179" s="647"/>
      <c r="D179" s="376" t="s">
        <v>40</v>
      </c>
      <c r="E179" s="377"/>
      <c r="F179" s="376" t="s">
        <v>136</v>
      </c>
      <c r="G179" s="377"/>
      <c r="H179" s="376" t="s">
        <v>1</v>
      </c>
    </row>
    <row r="180" spans="1:254">
      <c r="J180" s="467"/>
    </row>
    <row r="181" spans="1:254">
      <c r="B181" s="643" t="s">
        <v>242</v>
      </c>
      <c r="C181" s="643" t="s">
        <v>6</v>
      </c>
      <c r="D181" s="645">
        <f>D55</f>
        <v>1420318.4947228625</v>
      </c>
      <c r="E181" s="643" t="s">
        <v>144</v>
      </c>
      <c r="F181" s="642">
        <f>F128</f>
        <v>8.7670000000000012</v>
      </c>
      <c r="G181" s="643" t="s">
        <v>239</v>
      </c>
      <c r="H181" s="644">
        <f>ROUND((D181*F181),0)</f>
        <v>12451932</v>
      </c>
      <c r="J181" s="467"/>
    </row>
    <row r="182" spans="1:254">
      <c r="B182" s="643"/>
      <c r="C182" s="643" t="s">
        <v>302</v>
      </c>
      <c r="D182" s="645">
        <f t="shared" ref="D182:D184" si="4">D56</f>
        <v>67000.108405027218</v>
      </c>
      <c r="E182" s="643" t="s">
        <v>301</v>
      </c>
      <c r="F182" s="646">
        <f>+D106</f>
        <v>3.46</v>
      </c>
      <c r="G182" s="643" t="s">
        <v>300</v>
      </c>
      <c r="H182" s="645">
        <f>ROUND((D182*F182),0)</f>
        <v>231820</v>
      </c>
      <c r="J182" s="467"/>
    </row>
    <row r="183" spans="1:254">
      <c r="B183" s="643"/>
      <c r="C183" s="643" t="s">
        <v>7</v>
      </c>
      <c r="D183" s="645">
        <f t="shared" si="4"/>
        <v>468360441.54688603</v>
      </c>
      <c r="E183" s="643" t="s">
        <v>44</v>
      </c>
      <c r="F183" s="148">
        <f>J173</f>
        <v>8.992E-2</v>
      </c>
      <c r="G183" s="643" t="s">
        <v>23</v>
      </c>
      <c r="H183" s="645">
        <f>ROUND((D183*F183),0)</f>
        <v>42114971</v>
      </c>
      <c r="J183" s="467"/>
    </row>
    <row r="184" spans="1:254">
      <c r="C184" s="643" t="s">
        <v>8</v>
      </c>
      <c r="D184" s="645">
        <f t="shared" si="4"/>
        <v>8184</v>
      </c>
      <c r="E184" s="643" t="s">
        <v>46</v>
      </c>
      <c r="F184" s="149">
        <f>+D$92</f>
        <v>85</v>
      </c>
      <c r="G184" s="643" t="s">
        <v>289</v>
      </c>
      <c r="H184" s="645">
        <f>ROUND((D184*F184),0)</f>
        <v>695640</v>
      </c>
      <c r="J184" s="467"/>
    </row>
    <row r="185" spans="1:254">
      <c r="B185" s="643"/>
      <c r="H185" s="63"/>
      <c r="J185" s="467"/>
    </row>
    <row r="186" spans="1:254">
      <c r="B186" s="643"/>
      <c r="C186" s="643" t="s">
        <v>71</v>
      </c>
      <c r="F186" s="378"/>
      <c r="H186" s="644">
        <f>SUM(H181:H184)</f>
        <v>55494363</v>
      </c>
      <c r="J186" s="467"/>
    </row>
    <row r="187" spans="1:254">
      <c r="B187" s="643"/>
      <c r="C187" s="643"/>
      <c r="F187" s="378"/>
      <c r="H187" s="644"/>
      <c r="J187" s="467"/>
    </row>
    <row r="188" spans="1:254">
      <c r="F188" s="378"/>
      <c r="J188" s="467"/>
    </row>
    <row r="189" spans="1:254">
      <c r="B189" s="643" t="s">
        <v>241</v>
      </c>
      <c r="C189" s="643" t="s">
        <v>6</v>
      </c>
      <c r="D189" s="645">
        <f>F55</f>
        <v>264980.05033557047</v>
      </c>
      <c r="E189" s="641" t="str">
        <f>+E181</f>
        <v>kW</v>
      </c>
      <c r="F189" s="642">
        <f>F129</f>
        <v>7.8980000000000006</v>
      </c>
      <c r="G189" s="643" t="s">
        <v>738</v>
      </c>
      <c r="H189" s="644">
        <f>ROUND((D189*F189),0)</f>
        <v>2092812</v>
      </c>
      <c r="J189" s="467"/>
    </row>
    <row r="190" spans="1:254">
      <c r="B190" s="643"/>
      <c r="C190" s="643" t="s">
        <v>302</v>
      </c>
      <c r="D190" s="645">
        <f t="shared" ref="D190:D192" si="5">F56</f>
        <v>75211.448221476516</v>
      </c>
      <c r="E190" s="643" t="s">
        <v>301</v>
      </c>
      <c r="F190" s="646">
        <f>+D107</f>
        <v>3.46</v>
      </c>
      <c r="G190" s="643" t="s">
        <v>300</v>
      </c>
      <c r="H190" s="645">
        <f>ROUND((D190*F190),0)</f>
        <v>260232</v>
      </c>
    </row>
    <row r="191" spans="1:254">
      <c r="B191" s="643"/>
      <c r="C191" s="643" t="s">
        <v>7</v>
      </c>
      <c r="D191" s="645">
        <f t="shared" si="5"/>
        <v>66147609.408416338</v>
      </c>
      <c r="E191" s="641" t="str">
        <f>+E183</f>
        <v>kWh</v>
      </c>
      <c r="F191" s="148">
        <f>J174</f>
        <v>7.9039999999999999E-2</v>
      </c>
      <c r="G191" s="643" t="s">
        <v>292</v>
      </c>
      <c r="H191" s="645">
        <f>ROUND((D191*F191),0)</f>
        <v>5228307</v>
      </c>
      <c r="J191" s="467"/>
    </row>
    <row r="192" spans="1:254">
      <c r="B192" s="643"/>
      <c r="C192" s="643" t="s">
        <v>8</v>
      </c>
      <c r="D192" s="645">
        <f t="shared" si="5"/>
        <v>653</v>
      </c>
      <c r="E192" s="641" t="str">
        <f>+E184</f>
        <v>Bills</v>
      </c>
      <c r="F192" s="149">
        <f>+D$93</f>
        <v>127.5</v>
      </c>
      <c r="G192" s="643" t="s">
        <v>289</v>
      </c>
      <c r="H192" s="645">
        <f>ROUND((D192*F192),0)</f>
        <v>83258</v>
      </c>
    </row>
    <row r="193" spans="2:10">
      <c r="F193" s="150"/>
      <c r="H193" s="63"/>
    </row>
    <row r="194" spans="2:10">
      <c r="B194" s="643"/>
      <c r="C194" s="643" t="s">
        <v>71</v>
      </c>
      <c r="F194" s="147"/>
      <c r="H194" s="644">
        <f>SUM(H189:H192)</f>
        <v>7664609</v>
      </c>
      <c r="J194" s="360"/>
    </row>
    <row r="195" spans="2:10">
      <c r="B195" s="643"/>
      <c r="C195" s="643"/>
      <c r="F195" s="147"/>
      <c r="H195" s="644"/>
    </row>
    <row r="197" spans="2:10">
      <c r="B197" s="643" t="s">
        <v>266</v>
      </c>
      <c r="C197" s="643" t="s">
        <v>6</v>
      </c>
      <c r="D197" s="645">
        <f>H55</f>
        <v>38060.254777070062</v>
      </c>
      <c r="E197" s="641" t="str">
        <f>+E189</f>
        <v>kW</v>
      </c>
      <c r="F197" s="642">
        <f>F130</f>
        <v>6.63</v>
      </c>
      <c r="G197" s="643" t="s">
        <v>239</v>
      </c>
      <c r="H197" s="644">
        <f>ROUND((D197*F197),0)</f>
        <v>252339</v>
      </c>
    </row>
    <row r="198" spans="2:10">
      <c r="B198" s="643"/>
      <c r="C198" s="643" t="s">
        <v>302</v>
      </c>
      <c r="D198" s="645">
        <f t="shared" ref="D198:D200" si="6">H56</f>
        <v>8876.267515923566</v>
      </c>
      <c r="E198" s="643" t="s">
        <v>301</v>
      </c>
      <c r="F198" s="646">
        <f>+D108</f>
        <v>3.46</v>
      </c>
      <c r="G198" s="643" t="s">
        <v>300</v>
      </c>
      <c r="H198" s="645">
        <f>ROUND((D198*F198),0)</f>
        <v>30712</v>
      </c>
    </row>
    <row r="199" spans="2:10">
      <c r="B199" s="643"/>
      <c r="C199" s="643" t="s">
        <v>7</v>
      </c>
      <c r="D199" s="645">
        <f t="shared" si="6"/>
        <v>13838703.611464968</v>
      </c>
      <c r="E199" s="641" t="str">
        <f>+E191</f>
        <v>kWh</v>
      </c>
      <c r="F199" s="148">
        <f>J175+0.0001</f>
        <v>5.6509999999999998E-2</v>
      </c>
      <c r="G199" s="643" t="s">
        <v>292</v>
      </c>
      <c r="H199" s="645">
        <f>ROUND((D199*F199),0)</f>
        <v>782025</v>
      </c>
      <c r="J199" s="467"/>
    </row>
    <row r="200" spans="2:10">
      <c r="B200" s="643"/>
      <c r="C200" s="643" t="s">
        <v>8</v>
      </c>
      <c r="D200" s="645">
        <f t="shared" si="6"/>
        <v>143</v>
      </c>
      <c r="E200" s="641" t="str">
        <f>+E192</f>
        <v>Bills</v>
      </c>
      <c r="F200" s="149">
        <f>+D$94</f>
        <v>660</v>
      </c>
      <c r="G200" s="643" t="s">
        <v>289</v>
      </c>
      <c r="H200" s="645">
        <f>ROUND((D200*F200),0)</f>
        <v>94380</v>
      </c>
    </row>
    <row r="201" spans="2:10">
      <c r="H201" s="63"/>
    </row>
    <row r="202" spans="2:10">
      <c r="B202" s="643"/>
      <c r="C202" s="643" t="s">
        <v>71</v>
      </c>
      <c r="H202" s="644">
        <f>SUM(H197:H200)</f>
        <v>1159456</v>
      </c>
      <c r="J202" s="360"/>
    </row>
    <row r="203" spans="2:10">
      <c r="B203" s="643"/>
      <c r="C203" s="643"/>
      <c r="H203" s="644"/>
    </row>
    <row r="205" spans="2:10">
      <c r="B205" s="643" t="s">
        <v>303</v>
      </c>
      <c r="C205" s="643" t="s">
        <v>6</v>
      </c>
      <c r="D205" s="645">
        <f>J55</f>
        <v>1169.4545454545455</v>
      </c>
      <c r="E205" s="641" t="str">
        <f>+E197</f>
        <v>kW</v>
      </c>
      <c r="F205" s="642">
        <f>+F131</f>
        <v>6.54</v>
      </c>
      <c r="G205" s="643" t="s">
        <v>239</v>
      </c>
      <c r="H205" s="644">
        <f>ROUND((D205*F205),0)</f>
        <v>7648</v>
      </c>
    </row>
    <row r="206" spans="2:10">
      <c r="B206" s="643"/>
      <c r="C206" s="643" t="s">
        <v>302</v>
      </c>
      <c r="D206" s="645">
        <f t="shared" ref="D206:D208" si="7">J56</f>
        <v>226.90909090909091</v>
      </c>
      <c r="E206" s="643" t="s">
        <v>301</v>
      </c>
      <c r="F206" s="646">
        <f>+D109</f>
        <v>3.46</v>
      </c>
      <c r="G206" s="643" t="s">
        <v>300</v>
      </c>
      <c r="H206" s="645">
        <f>ROUND((D206*F206),0)</f>
        <v>785</v>
      </c>
    </row>
    <row r="207" spans="2:10">
      <c r="B207" s="643"/>
      <c r="C207" s="643" t="s">
        <v>7</v>
      </c>
      <c r="D207" s="645">
        <f t="shared" si="7"/>
        <v>527074.54545454541</v>
      </c>
      <c r="E207" s="641" t="str">
        <f>+E199</f>
        <v>kWh</v>
      </c>
      <c r="F207" s="148">
        <f>J176</f>
        <v>5.5670000000000004E-2</v>
      </c>
      <c r="G207" s="643" t="s">
        <v>23</v>
      </c>
      <c r="H207" s="645">
        <f>ROUND((D207*F207),0)</f>
        <v>29342</v>
      </c>
    </row>
    <row r="208" spans="2:10">
      <c r="B208" s="643"/>
      <c r="C208" s="643" t="s">
        <v>8</v>
      </c>
      <c r="D208" s="645">
        <f t="shared" si="7"/>
        <v>12</v>
      </c>
      <c r="E208" s="641" t="str">
        <f>+E200</f>
        <v>Bills</v>
      </c>
      <c r="F208" s="149">
        <f>+D95</f>
        <v>660</v>
      </c>
      <c r="G208" s="643" t="s">
        <v>289</v>
      </c>
      <c r="H208" s="645">
        <f>ROUND((D208*F208),0)</f>
        <v>7920</v>
      </c>
    </row>
    <row r="209" spans="1:10">
      <c r="H209" s="63"/>
    </row>
    <row r="210" spans="1:10">
      <c r="B210" s="643"/>
      <c r="C210" s="643" t="s">
        <v>71</v>
      </c>
      <c r="H210" s="644">
        <f>SUM(H205:H208)</f>
        <v>45695</v>
      </c>
      <c r="J210" s="360"/>
    </row>
    <row r="214" spans="1:10">
      <c r="B214" s="643" t="s">
        <v>299</v>
      </c>
      <c r="C214" s="643"/>
      <c r="H214" s="644">
        <f>H186+H194+H202+H210</f>
        <v>64364123</v>
      </c>
      <c r="I214" s="644"/>
      <c r="J214" s="360"/>
    </row>
    <row r="215" spans="1:10">
      <c r="H215" s="360"/>
    </row>
    <row r="216" spans="1:10">
      <c r="B216" s="643" t="s">
        <v>243</v>
      </c>
      <c r="C216" s="643"/>
      <c r="H216" s="644">
        <f>+J48</f>
        <v>64364714.25233034</v>
      </c>
    </row>
    <row r="218" spans="1:10">
      <c r="B218" s="643" t="s">
        <v>42</v>
      </c>
      <c r="C218" s="643"/>
      <c r="H218" s="753">
        <f>H214-H216</f>
        <v>-591.25233034044504</v>
      </c>
    </row>
    <row r="219" spans="1:10">
      <c r="B219" s="643"/>
      <c r="C219" s="643"/>
      <c r="H219" s="71"/>
    </row>
    <row r="220" spans="1:10">
      <c r="B220" s="641" t="s">
        <v>141</v>
      </c>
    </row>
    <row r="224" spans="1:10">
      <c r="A224" s="6" t="s">
        <v>236</v>
      </c>
      <c r="B224" s="379" t="s">
        <v>298</v>
      </c>
      <c r="D224" s="6"/>
      <c r="E224" s="6"/>
      <c r="F224" s="6"/>
      <c r="G224" s="6"/>
      <c r="H224" s="6"/>
      <c r="I224" s="6"/>
      <c r="J224" s="6"/>
    </row>
    <row r="225" spans="1:10">
      <c r="A225" s="6"/>
      <c r="B225" s="6"/>
      <c r="D225" s="6"/>
      <c r="E225" s="6"/>
      <c r="F225" s="6"/>
      <c r="G225" s="6"/>
      <c r="H225" s="6"/>
      <c r="I225" s="6"/>
      <c r="J225" s="6"/>
    </row>
    <row r="226" spans="1:10">
      <c r="A226" s="380"/>
      <c r="B226" s="6" t="s">
        <v>297</v>
      </c>
      <c r="D226" s="644">
        <f>J7</f>
        <v>15294251.471736092</v>
      </c>
      <c r="E226" s="211" t="s">
        <v>151</v>
      </c>
      <c r="F226" s="645">
        <f>D57+D271+D272+D276+D277</f>
        <v>475274913.54688603</v>
      </c>
      <c r="G226" s="6" t="s">
        <v>178</v>
      </c>
      <c r="H226" s="57">
        <f>ROUND((D226/F226),5)</f>
        <v>3.218E-2</v>
      </c>
      <c r="I226" s="6"/>
      <c r="J226" s="6"/>
    </row>
    <row r="227" spans="1:10">
      <c r="A227" s="380"/>
      <c r="B227" s="6"/>
      <c r="D227" s="6"/>
      <c r="E227" s="6"/>
      <c r="F227" s="6"/>
      <c r="G227" s="6"/>
      <c r="H227" s="6"/>
      <c r="I227" s="6"/>
      <c r="J227" s="6"/>
    </row>
    <row r="228" spans="1:10">
      <c r="A228" s="380"/>
      <c r="B228" s="6" t="s">
        <v>177</v>
      </c>
      <c r="D228" s="644"/>
      <c r="E228" s="380"/>
      <c r="F228" s="57"/>
      <c r="G228" s="380"/>
      <c r="H228" s="754">
        <v>0.05</v>
      </c>
      <c r="I228" s="6"/>
      <c r="J228" s="6"/>
    </row>
    <row r="229" spans="1:10">
      <c r="A229" s="380"/>
      <c r="B229" s="380"/>
      <c r="D229" s="380"/>
      <c r="E229" s="380"/>
      <c r="F229" s="57"/>
      <c r="G229" s="380"/>
      <c r="H229" s="380"/>
      <c r="I229" s="6"/>
      <c r="J229" s="6"/>
    </row>
    <row r="230" spans="1:10">
      <c r="A230" s="380"/>
      <c r="B230" s="6" t="s">
        <v>176</v>
      </c>
      <c r="D230" s="380"/>
      <c r="E230" s="380"/>
      <c r="F230" s="380"/>
      <c r="G230" s="380"/>
      <c r="H230" s="57">
        <f>H226+H228</f>
        <v>8.2180000000000003E-2</v>
      </c>
      <c r="I230" s="6"/>
      <c r="J230" s="6"/>
    </row>
    <row r="231" spans="1:10">
      <c r="A231" s="6"/>
      <c r="B231" s="6"/>
      <c r="D231" s="6"/>
      <c r="E231" s="6"/>
      <c r="F231" s="6"/>
      <c r="G231" s="6"/>
      <c r="H231" s="6"/>
      <c r="I231" s="6"/>
      <c r="J231" s="6"/>
    </row>
    <row r="232" spans="1:10">
      <c r="A232" s="380"/>
      <c r="B232" s="6" t="s">
        <v>296</v>
      </c>
      <c r="D232" s="380"/>
      <c r="E232" s="380"/>
      <c r="F232" s="380"/>
      <c r="G232" s="380"/>
      <c r="H232" s="57">
        <f>H230</f>
        <v>8.2180000000000003E-2</v>
      </c>
      <c r="I232" s="6"/>
      <c r="J232" s="6"/>
    </row>
    <row r="233" spans="1:10">
      <c r="A233" s="6"/>
      <c r="B233" s="6"/>
      <c r="D233" s="6"/>
      <c r="E233" s="6"/>
      <c r="F233" s="6"/>
      <c r="G233" s="6"/>
      <c r="H233" s="6"/>
      <c r="I233" s="6"/>
      <c r="J233" s="6"/>
    </row>
    <row r="234" spans="1:10">
      <c r="A234" s="380"/>
      <c r="B234" s="6" t="s">
        <v>237</v>
      </c>
      <c r="D234" s="380"/>
      <c r="E234" s="380"/>
      <c r="F234" s="380"/>
      <c r="G234" s="380"/>
      <c r="H234" s="755">
        <v>0.47710000000000002</v>
      </c>
      <c r="I234" s="6"/>
      <c r="J234" s="6"/>
    </row>
    <row r="235" spans="1:10">
      <c r="A235" s="380"/>
      <c r="B235" s="6" t="s">
        <v>174</v>
      </c>
      <c r="D235" s="380"/>
      <c r="E235" s="380"/>
      <c r="F235" s="380"/>
      <c r="G235" s="380"/>
      <c r="H235" s="381">
        <f>ROUND((F226*H234),0)</f>
        <v>226753661</v>
      </c>
      <c r="I235" s="6"/>
      <c r="J235" s="6"/>
    </row>
    <row r="236" spans="1:10">
      <c r="A236" s="6"/>
      <c r="B236" s="6"/>
      <c r="D236" s="6"/>
      <c r="E236" s="6"/>
      <c r="F236" s="6"/>
      <c r="G236" s="6"/>
      <c r="H236" s="6"/>
      <c r="I236" s="6"/>
      <c r="J236" s="6"/>
    </row>
    <row r="237" spans="1:10">
      <c r="A237" s="380"/>
      <c r="B237" s="6" t="s">
        <v>173</v>
      </c>
      <c r="D237" s="380"/>
      <c r="E237" s="380"/>
      <c r="F237" s="380"/>
      <c r="G237" s="380"/>
      <c r="H237" s="644">
        <f>ROUND((H235*H232),0)</f>
        <v>18634616</v>
      </c>
      <c r="I237" s="6"/>
      <c r="J237" s="6"/>
    </row>
    <row r="238" spans="1:10">
      <c r="A238" s="6"/>
      <c r="B238" s="6"/>
      <c r="D238" s="6"/>
      <c r="E238" s="6"/>
      <c r="F238" s="6"/>
      <c r="G238" s="6"/>
      <c r="H238" s="6"/>
      <c r="I238" s="6"/>
      <c r="J238" s="6"/>
    </row>
    <row r="239" spans="1:10">
      <c r="A239" s="380"/>
      <c r="B239" s="6"/>
      <c r="D239" s="6"/>
      <c r="E239" s="6"/>
      <c r="F239" s="6"/>
      <c r="G239" s="6"/>
      <c r="H239" s="6"/>
      <c r="I239" s="6"/>
      <c r="J239" s="6"/>
    </row>
    <row r="240" spans="1:10">
      <c r="A240" s="6" t="s">
        <v>234</v>
      </c>
      <c r="B240" s="379" t="s">
        <v>30</v>
      </c>
      <c r="D240" s="6"/>
      <c r="E240" s="6"/>
      <c r="F240" s="6"/>
      <c r="G240" s="6"/>
      <c r="H240" s="6"/>
      <c r="I240" s="6"/>
      <c r="J240" s="6"/>
    </row>
    <row r="241" spans="1:10">
      <c r="A241" s="6"/>
      <c r="B241" s="6"/>
      <c r="D241" s="6"/>
      <c r="E241" s="6"/>
      <c r="F241" s="6"/>
      <c r="G241" s="6"/>
      <c r="H241" s="6"/>
      <c r="I241" s="6"/>
      <c r="J241" s="6"/>
    </row>
    <row r="242" spans="1:10">
      <c r="A242" s="380"/>
      <c r="B242" s="6" t="s">
        <v>295</v>
      </c>
      <c r="D242" s="380"/>
      <c r="E242" s="380"/>
      <c r="F242" s="644">
        <f>J10</f>
        <v>57212047.730191953</v>
      </c>
      <c r="G242" s="6"/>
      <c r="H242" s="6"/>
      <c r="I242" s="6"/>
      <c r="J242" s="6"/>
    </row>
    <row r="243" spans="1:10">
      <c r="A243" s="380"/>
      <c r="B243" s="6" t="s">
        <v>32</v>
      </c>
      <c r="D243" s="380"/>
      <c r="E243" s="380"/>
      <c r="F243" s="645">
        <f>H92</f>
        <v>695640</v>
      </c>
      <c r="G243" s="6"/>
      <c r="H243" s="6"/>
      <c r="I243" s="6"/>
      <c r="J243" s="6"/>
    </row>
    <row r="244" spans="1:10">
      <c r="A244" s="380"/>
      <c r="B244" s="6" t="s">
        <v>294</v>
      </c>
      <c r="D244" s="380"/>
      <c r="E244" s="380"/>
      <c r="F244" s="645">
        <f>H273+H280</f>
        <v>14280</v>
      </c>
      <c r="G244" s="6"/>
      <c r="H244" s="6"/>
      <c r="I244" s="6"/>
      <c r="J244" s="6"/>
    </row>
    <row r="245" spans="1:10">
      <c r="A245" s="380"/>
      <c r="B245" s="6" t="s">
        <v>293</v>
      </c>
      <c r="D245" s="380"/>
      <c r="E245" s="380"/>
      <c r="F245" s="381">
        <f>+H237</f>
        <v>18634616</v>
      </c>
      <c r="G245" s="6"/>
      <c r="H245" s="6"/>
      <c r="I245" s="6"/>
      <c r="J245" s="6"/>
    </row>
    <row r="246" spans="1:10">
      <c r="A246" s="380"/>
      <c r="B246" s="380"/>
      <c r="D246" s="380"/>
      <c r="E246" s="380"/>
      <c r="F246" s="380"/>
      <c r="G246" s="6"/>
      <c r="H246" s="6"/>
      <c r="I246" s="6"/>
      <c r="J246" s="6"/>
    </row>
    <row r="247" spans="1:10">
      <c r="A247" s="380"/>
      <c r="B247" s="6" t="s">
        <v>34</v>
      </c>
      <c r="D247" s="380"/>
      <c r="E247" s="380"/>
      <c r="F247" s="644">
        <f>(F242-SUM(F243:F245))</f>
        <v>37867511.730191953</v>
      </c>
      <c r="G247" s="6"/>
      <c r="H247" s="6"/>
      <c r="I247" s="6"/>
      <c r="J247" s="6"/>
    </row>
    <row r="248" spans="1:10">
      <c r="A248" s="380"/>
      <c r="B248" s="6" t="s">
        <v>37</v>
      </c>
      <c r="D248" s="380"/>
      <c r="E248" s="380"/>
      <c r="F248" s="381">
        <f>F226-H235</f>
        <v>248521252.54688603</v>
      </c>
      <c r="G248" s="6"/>
      <c r="H248" s="6"/>
      <c r="I248" s="6"/>
      <c r="J248" s="6"/>
    </row>
    <row r="249" spans="1:10">
      <c r="A249" s="380"/>
      <c r="B249" s="380"/>
      <c r="D249" s="380"/>
      <c r="E249" s="380"/>
      <c r="F249" s="380"/>
      <c r="G249" s="6"/>
      <c r="H249" s="6"/>
      <c r="I249" s="6"/>
      <c r="J249" s="6"/>
    </row>
    <row r="250" spans="1:10">
      <c r="A250" s="380"/>
      <c r="B250" s="6" t="s">
        <v>38</v>
      </c>
      <c r="D250" s="380"/>
      <c r="E250" s="380"/>
      <c r="F250" s="57">
        <f>ROUND((F247/F248),5)</f>
        <v>0.15237000000000001</v>
      </c>
      <c r="G250" s="6" t="s">
        <v>23</v>
      </c>
      <c r="H250" s="6"/>
      <c r="I250" s="6"/>
      <c r="J250" s="6"/>
    </row>
    <row r="251" spans="1:10">
      <c r="A251" s="6"/>
      <c r="B251" s="6"/>
      <c r="D251" s="6"/>
      <c r="E251" s="6"/>
      <c r="F251" s="6"/>
      <c r="G251" s="6"/>
      <c r="H251" s="6"/>
      <c r="I251" s="6"/>
      <c r="J251" s="6"/>
    </row>
    <row r="252" spans="1:10">
      <c r="A252" s="6"/>
      <c r="B252" s="6"/>
      <c r="D252" s="6"/>
      <c r="E252" s="6"/>
      <c r="F252" s="6"/>
      <c r="G252" s="6"/>
      <c r="H252" s="6"/>
      <c r="I252" s="6"/>
      <c r="J252" s="6"/>
    </row>
    <row r="253" spans="1:10">
      <c r="A253" s="382" t="s">
        <v>233</v>
      </c>
      <c r="B253" s="379" t="s">
        <v>39</v>
      </c>
      <c r="D253" s="6"/>
      <c r="E253" s="6"/>
      <c r="F253" s="6"/>
      <c r="G253" s="6"/>
      <c r="H253" s="6"/>
      <c r="I253" s="6"/>
      <c r="J253" s="6"/>
    </row>
    <row r="254" spans="1:10">
      <c r="A254" s="380"/>
      <c r="B254" s="380"/>
      <c r="D254" s="212" t="s">
        <v>40</v>
      </c>
      <c r="E254" s="380"/>
      <c r="F254" s="212" t="s">
        <v>136</v>
      </c>
      <c r="G254" s="380"/>
      <c r="H254" s="212" t="s">
        <v>1</v>
      </c>
      <c r="I254" s="380"/>
      <c r="J254" s="212" t="s">
        <v>42</v>
      </c>
    </row>
    <row r="255" spans="1:10">
      <c r="A255" s="380"/>
      <c r="B255" s="380"/>
      <c r="D255" s="6"/>
      <c r="E255" s="6"/>
      <c r="F255" s="6"/>
      <c r="G255" s="6"/>
      <c r="H255" s="6"/>
      <c r="I255" s="6"/>
      <c r="J255" s="6"/>
    </row>
    <row r="256" spans="1:10">
      <c r="A256" s="380"/>
      <c r="B256" s="6" t="s">
        <v>43</v>
      </c>
      <c r="D256" s="75">
        <f>+F248</f>
        <v>248521252.54688603</v>
      </c>
      <c r="E256" s="6" t="s">
        <v>44</v>
      </c>
      <c r="F256" s="57">
        <f>F250</f>
        <v>0.15237000000000001</v>
      </c>
      <c r="G256" s="643" t="s">
        <v>23</v>
      </c>
      <c r="H256" s="644">
        <f>ROUND((D256*F256),0)</f>
        <v>37867183</v>
      </c>
      <c r="I256" s="6"/>
      <c r="J256" s="6"/>
    </row>
    <row r="257" spans="1:10">
      <c r="A257" s="380"/>
      <c r="B257" s="6" t="s">
        <v>45</v>
      </c>
      <c r="D257" s="75">
        <f>+H235</f>
        <v>226753661</v>
      </c>
      <c r="E257" s="6" t="s">
        <v>44</v>
      </c>
      <c r="F257" s="57">
        <f>+H232</f>
        <v>8.2180000000000003E-2</v>
      </c>
      <c r="G257" s="643" t="s">
        <v>292</v>
      </c>
      <c r="H257" s="645">
        <f>ROUND((D257*F257),0)</f>
        <v>18634616</v>
      </c>
      <c r="I257" s="6"/>
      <c r="J257" s="6"/>
    </row>
    <row r="258" spans="1:10">
      <c r="A258" s="380"/>
      <c r="B258" s="6" t="s">
        <v>291</v>
      </c>
      <c r="D258" s="645">
        <f>D58</f>
        <v>8184</v>
      </c>
      <c r="E258" s="6" t="s">
        <v>46</v>
      </c>
      <c r="F258" s="642">
        <f>D92</f>
        <v>85</v>
      </c>
      <c r="G258" s="643" t="s">
        <v>289</v>
      </c>
      <c r="H258" s="645">
        <f>ROUND((D258*F258),0)</f>
        <v>695640</v>
      </c>
      <c r="I258" s="6"/>
      <c r="J258" s="6"/>
    </row>
    <row r="259" spans="1:10">
      <c r="A259" s="380"/>
      <c r="B259" s="6" t="s">
        <v>290</v>
      </c>
      <c r="D259" s="645">
        <f>D273+D280</f>
        <v>168</v>
      </c>
      <c r="E259" s="6" t="s">
        <v>46</v>
      </c>
      <c r="F259" s="642">
        <f>F273</f>
        <v>85</v>
      </c>
      <c r="G259" s="643" t="s">
        <v>289</v>
      </c>
      <c r="H259" s="645">
        <f>ROUND((D259*F259),0)</f>
        <v>14280</v>
      </c>
      <c r="I259" s="6"/>
      <c r="J259" s="6"/>
    </row>
    <row r="260" spans="1:10">
      <c r="A260" s="380"/>
      <c r="B260" s="380"/>
      <c r="D260" s="380"/>
      <c r="E260" s="380"/>
      <c r="F260" s="380"/>
      <c r="G260" s="380"/>
      <c r="H260" s="380"/>
      <c r="I260" s="6"/>
      <c r="J260" s="6"/>
    </row>
    <row r="261" spans="1:10">
      <c r="A261" s="380"/>
      <c r="B261" s="6" t="s">
        <v>166</v>
      </c>
      <c r="D261" s="380"/>
      <c r="E261" s="380"/>
      <c r="F261" s="380"/>
      <c r="G261" s="380"/>
      <c r="H261" s="644">
        <f>SUM(H256:H259)</f>
        <v>57211719</v>
      </c>
      <c r="I261" s="380"/>
      <c r="J261" s="71">
        <f>H261-J10</f>
        <v>-328.73019195348024</v>
      </c>
    </row>
    <row r="262" spans="1:10">
      <c r="A262" s="6"/>
      <c r="B262" s="6"/>
      <c r="D262" s="6"/>
      <c r="E262" s="6"/>
      <c r="F262" s="6"/>
      <c r="G262" s="6"/>
      <c r="H262" s="6"/>
      <c r="I262" s="6"/>
      <c r="J262" s="6"/>
    </row>
    <row r="263" spans="1:10">
      <c r="A263" s="6"/>
      <c r="B263" s="6" t="s">
        <v>73</v>
      </c>
      <c r="D263" s="6"/>
      <c r="E263" s="6"/>
      <c r="F263" s="6"/>
      <c r="G263" s="6"/>
      <c r="H263" s="6"/>
      <c r="I263" s="6"/>
      <c r="J263" s="6"/>
    </row>
    <row r="264" spans="1:10">
      <c r="A264" s="6"/>
      <c r="B264" s="6"/>
      <c r="D264" s="6"/>
      <c r="E264" s="6"/>
      <c r="F264" s="6"/>
      <c r="G264" s="6"/>
      <c r="H264" s="6"/>
      <c r="I264" s="6"/>
      <c r="J264" s="6"/>
    </row>
    <row r="265" spans="1:10">
      <c r="A265" s="6"/>
      <c r="B265" s="6"/>
      <c r="D265" s="6"/>
      <c r="F265" s="6"/>
      <c r="G265" s="6"/>
      <c r="H265" s="6"/>
      <c r="I265" s="6"/>
      <c r="J265" s="211"/>
    </row>
    <row r="266" spans="1:10" ht="20.25">
      <c r="A266" s="383" t="s">
        <v>232</v>
      </c>
      <c r="B266" s="384" t="s">
        <v>163</v>
      </c>
      <c r="C266" s="377"/>
      <c r="D266" s="383"/>
      <c r="E266" s="377"/>
      <c r="F266" s="385"/>
      <c r="G266" s="386"/>
      <c r="H266" s="385"/>
      <c r="I266" s="380"/>
      <c r="J266" s="212"/>
    </row>
    <row r="267" spans="1:10">
      <c r="A267" s="6"/>
      <c r="B267" s="6"/>
      <c r="D267" s="387"/>
      <c r="F267" s="6"/>
      <c r="G267" s="6"/>
      <c r="H267" s="6"/>
      <c r="I267" s="6"/>
      <c r="J267" s="6"/>
    </row>
    <row r="268" spans="1:10">
      <c r="A268" s="6"/>
      <c r="B268" s="6"/>
      <c r="D268" s="6"/>
      <c r="E268" s="6"/>
      <c r="F268" s="6"/>
      <c r="G268" s="6"/>
      <c r="H268" s="211" t="s">
        <v>111</v>
      </c>
      <c r="I268" s="6"/>
      <c r="J268" s="6"/>
    </row>
    <row r="269" spans="1:10">
      <c r="A269" s="6"/>
      <c r="B269" s="6"/>
      <c r="D269" s="212" t="s">
        <v>40</v>
      </c>
      <c r="E269" s="380"/>
      <c r="F269" s="212" t="s">
        <v>136</v>
      </c>
      <c r="G269" s="380"/>
      <c r="H269" s="212" t="s">
        <v>1</v>
      </c>
      <c r="I269" s="6"/>
      <c r="J269" s="6"/>
    </row>
    <row r="270" spans="1:10">
      <c r="A270" s="6"/>
      <c r="B270" s="387" t="s">
        <v>288</v>
      </c>
      <c r="D270" s="6"/>
      <c r="E270" s="6"/>
      <c r="F270" s="6"/>
      <c r="G270" s="6"/>
      <c r="H270" s="6"/>
      <c r="I270" s="6"/>
      <c r="J270" s="6"/>
    </row>
    <row r="271" spans="1:10">
      <c r="A271" s="6"/>
      <c r="B271" s="6" t="s">
        <v>230</v>
      </c>
      <c r="D271" s="213">
        <v>815432.18729412823</v>
      </c>
      <c r="E271" s="6" t="s">
        <v>44</v>
      </c>
      <c r="F271" s="224">
        <f>F256</f>
        <v>0.15237000000000001</v>
      </c>
      <c r="G271" s="643" t="s">
        <v>23</v>
      </c>
      <c r="H271" s="644">
        <f>ROUND(D271*F271,0)</f>
        <v>124247</v>
      </c>
      <c r="I271" s="6"/>
      <c r="J271" s="6"/>
    </row>
    <row r="272" spans="1:10">
      <c r="A272" s="6"/>
      <c r="B272" s="6" t="s">
        <v>229</v>
      </c>
      <c r="D272" s="213">
        <v>990111.81270587177</v>
      </c>
      <c r="E272" s="6" t="s">
        <v>44</v>
      </c>
      <c r="F272" s="224">
        <f>F257</f>
        <v>8.2180000000000003E-2</v>
      </c>
      <c r="G272" s="643" t="s">
        <v>23</v>
      </c>
      <c r="H272" s="645">
        <f>ROUND((D272*F272),0)</f>
        <v>81367</v>
      </c>
      <c r="I272" s="6"/>
      <c r="J272" s="6"/>
    </row>
    <row r="273" spans="1:10">
      <c r="A273" s="6"/>
      <c r="B273" s="6" t="s">
        <v>228</v>
      </c>
      <c r="D273" s="213">
        <v>84</v>
      </c>
      <c r="E273" s="6" t="s">
        <v>46</v>
      </c>
      <c r="F273" s="232">
        <f>J82</f>
        <v>85</v>
      </c>
      <c r="G273" s="643" t="s">
        <v>287</v>
      </c>
      <c r="H273" s="381">
        <f>ROUND((D273*F273),0)</f>
        <v>7140</v>
      </c>
      <c r="I273" s="6"/>
      <c r="J273" s="6"/>
    </row>
    <row r="274" spans="1:10">
      <c r="A274" s="6"/>
      <c r="B274" s="6"/>
      <c r="D274" s="6"/>
      <c r="E274" s="6"/>
      <c r="F274" s="6"/>
      <c r="G274" s="6"/>
      <c r="H274" s="215">
        <f>SUM(H271:H273)</f>
        <v>212754</v>
      </c>
      <c r="I274" s="6"/>
      <c r="J274" s="6"/>
    </row>
    <row r="275" spans="1:10">
      <c r="A275" s="6"/>
      <c r="B275" s="387" t="s">
        <v>915</v>
      </c>
      <c r="D275" s="6"/>
      <c r="E275" s="6"/>
      <c r="F275" s="6"/>
      <c r="G275" s="6"/>
      <c r="H275" s="6"/>
      <c r="I275" s="6"/>
      <c r="J275" s="6"/>
    </row>
    <row r="276" spans="1:10">
      <c r="A276" s="6"/>
      <c r="B276" s="6" t="s">
        <v>230</v>
      </c>
      <c r="D276" s="213">
        <v>2261552</v>
      </c>
      <c r="E276" s="6" t="s">
        <v>44</v>
      </c>
      <c r="F276" s="388">
        <f>'LGS-TOD'!D78</f>
        <v>0.10917</v>
      </c>
      <c r="G276" s="6"/>
      <c r="H276" s="240">
        <f>F276*D276</f>
        <v>246893.63184000002</v>
      </c>
      <c r="I276" s="6"/>
      <c r="J276" s="6"/>
    </row>
    <row r="277" spans="1:10">
      <c r="A277" s="6"/>
      <c r="B277" s="6" t="s">
        <v>229</v>
      </c>
      <c r="D277" s="213">
        <v>2847376</v>
      </c>
      <c r="E277" s="6" t="s">
        <v>44</v>
      </c>
      <c r="F277" s="388">
        <f>'LGS-TOD'!D43</f>
        <v>5.6910000000000002E-2</v>
      </c>
      <c r="G277" s="6"/>
      <c r="H277" s="240">
        <f t="shared" ref="H277:H280" si="8">F277*D277</f>
        <v>162044.16816</v>
      </c>
      <c r="I277" s="6"/>
      <c r="J277" s="6"/>
    </row>
    <row r="278" spans="1:10">
      <c r="A278" s="6"/>
      <c r="B278" s="6" t="s">
        <v>785</v>
      </c>
      <c r="D278" s="213">
        <v>10298</v>
      </c>
      <c r="E278" s="641" t="s">
        <v>144</v>
      </c>
      <c r="F278" s="389">
        <f>'LGS-TOD'!F53</f>
        <v>11.229999999999999</v>
      </c>
      <c r="G278" s="6"/>
      <c r="H278" s="240">
        <f t="shared" si="8"/>
        <v>115646.53999999998</v>
      </c>
      <c r="I278" s="6"/>
      <c r="J278" s="6"/>
    </row>
    <row r="279" spans="1:10">
      <c r="A279" s="6"/>
      <c r="B279" s="6" t="s">
        <v>786</v>
      </c>
      <c r="D279" s="213">
        <v>106</v>
      </c>
      <c r="E279" s="6" t="s">
        <v>787</v>
      </c>
      <c r="F279" s="389">
        <f>D106</f>
        <v>3.46</v>
      </c>
      <c r="G279" s="6"/>
      <c r="H279" s="240">
        <f t="shared" si="8"/>
        <v>366.76</v>
      </c>
      <c r="I279" s="6"/>
      <c r="J279" s="6"/>
    </row>
    <row r="280" spans="1:10">
      <c r="A280" s="6"/>
      <c r="B280" s="6" t="s">
        <v>228</v>
      </c>
      <c r="D280" s="390">
        <v>84</v>
      </c>
      <c r="E280" s="6" t="s">
        <v>46</v>
      </c>
      <c r="F280" s="642">
        <f>'LGS-TOD'!D19</f>
        <v>85</v>
      </c>
      <c r="G280" s="6"/>
      <c r="H280" s="351">
        <f t="shared" si="8"/>
        <v>7140</v>
      </c>
      <c r="I280" s="6"/>
      <c r="J280" s="6"/>
    </row>
    <row r="281" spans="1:10">
      <c r="A281" s="6"/>
      <c r="B281" s="6"/>
      <c r="D281" s="6"/>
      <c r="E281" s="6"/>
      <c r="F281" s="6"/>
      <c r="G281" s="6"/>
      <c r="H281" s="240">
        <f>SUM(H276:H280)</f>
        <v>532091.10000000009</v>
      </c>
      <c r="I281" s="6"/>
      <c r="J281" s="6"/>
    </row>
    <row r="282" spans="1:10">
      <c r="A282" s="6"/>
      <c r="B282" s="6"/>
      <c r="D282" s="6"/>
      <c r="E282" s="6"/>
      <c r="F282" s="6"/>
      <c r="G282" s="6"/>
      <c r="H282" s="240"/>
      <c r="I282" s="6"/>
      <c r="J282" s="6"/>
    </row>
    <row r="283" spans="1:10">
      <c r="A283" s="6"/>
      <c r="B283" s="6"/>
      <c r="D283" s="6"/>
      <c r="E283" s="6"/>
      <c r="F283" s="6"/>
      <c r="G283" s="6"/>
      <c r="H283" s="240"/>
      <c r="I283" s="6"/>
      <c r="J283" s="6"/>
    </row>
    <row r="284" spans="1:10">
      <c r="A284" s="6"/>
      <c r="B284" s="387" t="s">
        <v>916</v>
      </c>
      <c r="D284" s="6"/>
      <c r="E284" s="6"/>
      <c r="F284" s="6"/>
      <c r="G284" s="6"/>
      <c r="H284" s="240"/>
      <c r="I284" s="6"/>
      <c r="J284" s="6"/>
    </row>
    <row r="285" spans="1:10">
      <c r="A285" s="6"/>
      <c r="B285" s="6" t="s">
        <v>230</v>
      </c>
      <c r="D285" s="213">
        <v>1390704.6383847641</v>
      </c>
      <c r="E285" s="6" t="s">
        <v>44</v>
      </c>
      <c r="F285" s="388">
        <f>'LGS-TOD'!F78</f>
        <v>0.10768999999999999</v>
      </c>
      <c r="G285" s="6"/>
      <c r="H285" s="240">
        <f>F285*D285</f>
        <v>149764.98250765522</v>
      </c>
      <c r="I285" s="6"/>
      <c r="J285" s="6"/>
    </row>
    <row r="286" spans="1:10">
      <c r="A286" s="6"/>
      <c r="B286" s="6" t="s">
        <v>229</v>
      </c>
      <c r="D286" s="213">
        <v>1948569.274658714</v>
      </c>
      <c r="E286" s="6" t="s">
        <v>44</v>
      </c>
      <c r="F286" s="388">
        <f>'LGS-TOD'!F43</f>
        <v>5.6480000000000002E-2</v>
      </c>
      <c r="G286" s="6"/>
      <c r="H286" s="240">
        <f>F286*D286</f>
        <v>110055.19263272417</v>
      </c>
      <c r="I286" s="6"/>
      <c r="J286" s="6"/>
    </row>
    <row r="287" spans="1:10">
      <c r="A287" s="6"/>
      <c r="B287" s="6" t="s">
        <v>785</v>
      </c>
      <c r="D287" s="213">
        <v>6590.8695652173919</v>
      </c>
      <c r="E287" s="641" t="s">
        <v>144</v>
      </c>
      <c r="F287" s="389">
        <f>'LGS-TOD'!F54</f>
        <v>8.39</v>
      </c>
      <c r="G287" s="6"/>
      <c r="H287" s="240">
        <f>F287*D287</f>
        <v>55297.395652173924</v>
      </c>
      <c r="I287" s="6"/>
      <c r="J287" s="6"/>
    </row>
    <row r="288" spans="1:10">
      <c r="A288" s="6"/>
      <c r="B288" s="6" t="s">
        <v>786</v>
      </c>
      <c r="D288" s="213">
        <v>945.42226086956498</v>
      </c>
      <c r="E288" s="6" t="s">
        <v>787</v>
      </c>
      <c r="F288" s="389">
        <f>D107</f>
        <v>3.46</v>
      </c>
      <c r="G288" s="6"/>
      <c r="H288" s="240">
        <f>F288*D288</f>
        <v>3271.161022608695</v>
      </c>
      <c r="I288" s="6"/>
      <c r="J288" s="6"/>
    </row>
    <row r="289" spans="1:11">
      <c r="A289" s="6"/>
      <c r="B289" s="6" t="s">
        <v>228</v>
      </c>
      <c r="D289" s="213">
        <v>18</v>
      </c>
      <c r="E289" s="6" t="s">
        <v>46</v>
      </c>
      <c r="F289" s="642">
        <f>'LGS-TOD'!F19</f>
        <v>127.5</v>
      </c>
      <c r="G289" s="6"/>
      <c r="H289" s="240">
        <f t="shared" ref="H289" si="9">F289*D289</f>
        <v>2295</v>
      </c>
      <c r="I289" s="6"/>
      <c r="J289" s="6"/>
    </row>
    <row r="290" spans="1:11">
      <c r="A290" s="6"/>
      <c r="B290" s="6" t="s">
        <v>227</v>
      </c>
      <c r="D290" s="6"/>
      <c r="E290" s="6"/>
      <c r="F290" s="6"/>
      <c r="G290" s="6"/>
      <c r="H290" s="653">
        <f>SUM(H285:H289)</f>
        <v>320683.731815162</v>
      </c>
      <c r="I290" s="6"/>
      <c r="J290" s="6"/>
    </row>
    <row r="291" spans="1:11">
      <c r="A291" s="6"/>
      <c r="B291" s="6"/>
      <c r="D291" s="6"/>
      <c r="E291" s="6"/>
      <c r="F291" s="6"/>
      <c r="G291" s="6"/>
      <c r="H291" s="644"/>
      <c r="I291" s="6"/>
      <c r="J291" s="6"/>
    </row>
    <row r="292" spans="1:11">
      <c r="A292" s="6"/>
      <c r="B292" s="6"/>
      <c r="D292" s="6"/>
      <c r="E292" s="6"/>
      <c r="F292" s="6"/>
      <c r="G292" s="6"/>
      <c r="H292" s="644"/>
      <c r="I292" s="6"/>
      <c r="J292" s="6"/>
    </row>
    <row r="293" spans="1:11">
      <c r="A293" s="6"/>
      <c r="B293" s="6" t="s">
        <v>286</v>
      </c>
      <c r="D293" s="6"/>
      <c r="E293" s="6"/>
      <c r="F293" s="6"/>
      <c r="G293" s="6"/>
      <c r="H293" s="644">
        <f>H281+H274+H290</f>
        <v>1065528.8318151622</v>
      </c>
      <c r="I293" s="6"/>
      <c r="J293" s="6"/>
    </row>
    <row r="294" spans="1:11">
      <c r="A294" s="6"/>
      <c r="C294" s="6"/>
      <c r="D294" s="6"/>
      <c r="E294" s="6"/>
      <c r="F294" s="6"/>
      <c r="G294" s="6"/>
      <c r="H294" s="6"/>
      <c r="I294" s="6"/>
      <c r="J294" s="6"/>
    </row>
    <row r="297" spans="1:11">
      <c r="B297" s="340"/>
      <c r="C297" s="643"/>
      <c r="D297" s="68"/>
      <c r="F297" s="68"/>
      <c r="H297" s="68"/>
    </row>
    <row r="299" spans="1:11">
      <c r="B299" s="643"/>
      <c r="C299" s="643"/>
      <c r="D299" s="645"/>
      <c r="E299" s="643"/>
      <c r="F299" s="642"/>
      <c r="G299" s="643"/>
      <c r="H299" s="644"/>
    </row>
    <row r="300" spans="1:11">
      <c r="B300" s="643"/>
      <c r="C300" s="245"/>
      <c r="D300" s="75"/>
      <c r="E300" s="245"/>
      <c r="F300" s="391"/>
      <c r="G300" s="245"/>
      <c r="H300" s="75"/>
      <c r="I300" s="74"/>
      <c r="J300" s="74"/>
      <c r="K300" s="74"/>
    </row>
    <row r="301" spans="1:11">
      <c r="B301" s="643"/>
      <c r="C301" s="245"/>
      <c r="D301" s="75"/>
      <c r="E301" s="245"/>
      <c r="F301" s="392"/>
      <c r="G301" s="245"/>
      <c r="H301" s="75"/>
      <c r="I301" s="74"/>
      <c r="J301" s="74"/>
      <c r="K301" s="74"/>
    </row>
    <row r="302" spans="1:11">
      <c r="C302" s="245"/>
      <c r="D302" s="75"/>
      <c r="E302" s="245"/>
      <c r="F302" s="393"/>
      <c r="G302" s="245"/>
      <c r="H302" s="75"/>
      <c r="I302" s="74"/>
      <c r="J302" s="74"/>
      <c r="K302" s="74"/>
    </row>
    <row r="303" spans="1:11">
      <c r="B303" s="643"/>
      <c r="C303" s="74"/>
      <c r="D303" s="74"/>
      <c r="E303" s="74"/>
      <c r="F303" s="74"/>
      <c r="G303" s="74"/>
      <c r="H303" s="73"/>
      <c r="I303" s="74"/>
      <c r="J303" s="74"/>
      <c r="K303" s="74"/>
    </row>
    <row r="304" spans="1:11">
      <c r="B304" s="643"/>
      <c r="C304" s="245"/>
      <c r="D304" s="74"/>
      <c r="E304" s="74"/>
      <c r="F304" s="394"/>
      <c r="G304" s="74"/>
      <c r="H304" s="77"/>
      <c r="I304" s="74"/>
      <c r="J304" s="74"/>
      <c r="K304" s="74"/>
    </row>
    <row r="305" spans="2:11">
      <c r="B305" s="643"/>
      <c r="C305" s="245"/>
      <c r="D305" s="74"/>
      <c r="E305" s="74"/>
      <c r="F305" s="394"/>
      <c r="G305" s="74"/>
      <c r="H305" s="77"/>
      <c r="I305" s="74"/>
      <c r="J305" s="74"/>
      <c r="K305" s="74"/>
    </row>
    <row r="306" spans="2:11">
      <c r="C306" s="74"/>
      <c r="D306" s="74"/>
      <c r="E306" s="74"/>
      <c r="F306" s="394"/>
      <c r="G306" s="74"/>
      <c r="H306" s="74"/>
      <c r="I306" s="74"/>
      <c r="J306" s="74"/>
      <c r="K306" s="74"/>
    </row>
    <row r="307" spans="2:11">
      <c r="B307" s="643"/>
      <c r="C307" s="245"/>
      <c r="D307" s="75"/>
      <c r="E307" s="74"/>
      <c r="F307" s="395"/>
      <c r="G307" s="245"/>
      <c r="H307" s="77"/>
      <c r="I307" s="74"/>
      <c r="J307" s="74"/>
      <c r="K307" s="74"/>
    </row>
    <row r="308" spans="2:11">
      <c r="B308" s="643"/>
      <c r="C308" s="245"/>
      <c r="D308" s="75"/>
      <c r="E308" s="245"/>
      <c r="F308" s="391"/>
      <c r="G308" s="245"/>
      <c r="H308" s="75"/>
      <c r="I308" s="74"/>
      <c r="J308" s="74"/>
      <c r="K308" s="74"/>
    </row>
    <row r="309" spans="2:11">
      <c r="B309" s="643"/>
      <c r="C309" s="245"/>
      <c r="D309" s="75"/>
      <c r="E309" s="74"/>
      <c r="F309" s="392"/>
      <c r="G309" s="245"/>
      <c r="H309" s="75"/>
      <c r="I309" s="74"/>
      <c r="J309" s="74"/>
      <c r="K309" s="74"/>
    </row>
    <row r="310" spans="2:11">
      <c r="B310" s="643"/>
      <c r="C310" s="245"/>
      <c r="D310" s="75"/>
      <c r="E310" s="74"/>
      <c r="F310" s="393"/>
      <c r="G310" s="245"/>
      <c r="H310" s="75"/>
      <c r="I310" s="74"/>
      <c r="J310" s="74"/>
      <c r="K310" s="74"/>
    </row>
    <row r="311" spans="2:11">
      <c r="C311" s="74"/>
      <c r="D311" s="74"/>
      <c r="E311" s="74"/>
      <c r="F311" s="396"/>
      <c r="G311" s="74"/>
      <c r="H311" s="73"/>
      <c r="I311" s="74"/>
      <c r="J311" s="74"/>
      <c r="K311" s="74"/>
    </row>
    <row r="312" spans="2:11">
      <c r="B312" s="643"/>
      <c r="C312" s="245"/>
      <c r="D312" s="74"/>
      <c r="E312" s="74"/>
      <c r="F312" s="397"/>
      <c r="G312" s="74"/>
      <c r="H312" s="77"/>
      <c r="I312" s="74"/>
      <c r="J312" s="74"/>
      <c r="K312" s="74"/>
    </row>
    <row r="313" spans="2:11">
      <c r="C313" s="74"/>
      <c r="D313" s="74"/>
      <c r="E313" s="74"/>
      <c r="F313" s="74"/>
      <c r="G313" s="74"/>
      <c r="H313" s="74"/>
      <c r="I313" s="74"/>
      <c r="J313" s="74"/>
      <c r="K313" s="74"/>
    </row>
    <row r="314" spans="2:11">
      <c r="B314" s="643"/>
      <c r="C314" s="245"/>
      <c r="D314" s="398"/>
      <c r="E314" s="74"/>
      <c r="F314" s="74"/>
      <c r="G314" s="74"/>
      <c r="H314" s="77"/>
      <c r="I314" s="74"/>
      <c r="J314" s="74"/>
      <c r="K314" s="74"/>
    </row>
    <row r="315" spans="2:11">
      <c r="C315" s="74"/>
      <c r="D315" s="74"/>
      <c r="E315" s="74"/>
      <c r="F315" s="74"/>
      <c r="G315" s="74"/>
      <c r="H315" s="74"/>
      <c r="I315" s="74"/>
      <c r="J315" s="74"/>
      <c r="K315" s="74"/>
    </row>
    <row r="316" spans="2:11">
      <c r="C316" s="74"/>
      <c r="D316" s="398"/>
      <c r="E316" s="74"/>
      <c r="F316" s="74"/>
      <c r="G316" s="74"/>
      <c r="H316" s="399"/>
      <c r="I316" s="74"/>
      <c r="J316" s="74"/>
      <c r="K316" s="74"/>
    </row>
    <row r="317" spans="2:11">
      <c r="C317" s="74"/>
      <c r="D317" s="74"/>
      <c r="E317" s="74"/>
      <c r="F317" s="74"/>
      <c r="G317" s="74"/>
      <c r="H317" s="74"/>
      <c r="I317" s="74"/>
      <c r="J317" s="74"/>
      <c r="K317" s="74"/>
    </row>
    <row r="318" spans="2:11">
      <c r="C318" s="74"/>
      <c r="D318" s="400"/>
      <c r="E318" s="74"/>
      <c r="F318" s="74"/>
      <c r="G318" s="74"/>
      <c r="H318" s="399"/>
      <c r="I318" s="74"/>
      <c r="J318" s="74"/>
      <c r="K318" s="74"/>
    </row>
    <row r="319" spans="2:11">
      <c r="C319" s="74"/>
      <c r="D319" s="74"/>
      <c r="E319" s="74"/>
      <c r="F319" s="74"/>
      <c r="G319" s="74"/>
      <c r="H319" s="74"/>
      <c r="I319" s="74"/>
      <c r="J319" s="74"/>
      <c r="K319" s="74"/>
    </row>
    <row r="320" spans="2:11">
      <c r="C320" s="74"/>
      <c r="D320" s="398"/>
      <c r="E320" s="74"/>
      <c r="F320" s="74"/>
      <c r="G320" s="74"/>
      <c r="H320" s="401"/>
      <c r="I320" s="74"/>
      <c r="J320" s="74"/>
      <c r="K320" s="74"/>
    </row>
    <row r="321" spans="2:11">
      <c r="C321" s="74"/>
      <c r="D321" s="74"/>
      <c r="E321" s="74"/>
      <c r="F321" s="74"/>
      <c r="G321" s="74"/>
      <c r="H321" s="74"/>
      <c r="I321" s="74"/>
      <c r="J321" s="74"/>
      <c r="K321" s="74"/>
    </row>
    <row r="322" spans="2:11">
      <c r="C322" s="74"/>
      <c r="D322" s="400"/>
      <c r="E322" s="74"/>
      <c r="F322" s="74"/>
      <c r="G322" s="74"/>
      <c r="H322" s="401"/>
      <c r="I322" s="74"/>
      <c r="J322" s="74"/>
      <c r="K322" s="74"/>
    </row>
    <row r="324" spans="2:11">
      <c r="B324" s="128"/>
    </row>
    <row r="326" spans="2:11">
      <c r="D326" s="402"/>
      <c r="H326" s="402"/>
    </row>
    <row r="327" spans="2:11">
      <c r="D327" s="402"/>
      <c r="H327" s="402"/>
    </row>
    <row r="328" spans="2:11">
      <c r="D328" s="402"/>
      <c r="H328" s="402"/>
    </row>
    <row r="329" spans="2:11">
      <c r="D329" s="402"/>
      <c r="H329" s="402"/>
    </row>
    <row r="331" spans="2:11">
      <c r="B331" s="31"/>
      <c r="D331" s="402"/>
      <c r="H331" s="402"/>
    </row>
    <row r="332" spans="2:11">
      <c r="B332" s="31"/>
      <c r="D332" s="402"/>
      <c r="H332" s="402"/>
    </row>
    <row r="333" spans="2:11">
      <c r="B333" s="31"/>
      <c r="D333" s="402"/>
      <c r="H333" s="402"/>
    </row>
    <row r="334" spans="2:11">
      <c r="B334" s="31"/>
      <c r="D334" s="402"/>
      <c r="H334" s="402"/>
    </row>
    <row r="335" spans="2:11">
      <c r="B335" s="31"/>
      <c r="D335" s="402"/>
      <c r="H335" s="402"/>
    </row>
    <row r="336" spans="2:11">
      <c r="B336" s="31"/>
      <c r="D336" s="402"/>
      <c r="H336" s="402"/>
    </row>
    <row r="338" spans="4:8">
      <c r="D338" s="402"/>
      <c r="H338" s="402"/>
    </row>
    <row r="339" spans="4:8">
      <c r="D339" s="402"/>
      <c r="H339" s="402"/>
    </row>
    <row r="340" spans="4:8">
      <c r="D340" s="402"/>
      <c r="H340" s="402"/>
    </row>
    <row r="341" spans="4:8">
      <c r="D341" s="402"/>
      <c r="H341" s="402"/>
    </row>
  </sheetData>
  <printOptions horizontalCentered="1"/>
  <pageMargins left="0.5" right="0.5" top="1.25" bottom="0.5" header="0.5" footer="0.5"/>
  <pageSetup fitToHeight="3" orientation="portrait" r:id="rId1"/>
  <headerFooter alignWithMargins="0">
    <oddHeader>&amp;L&amp;"Arial,Regular"&amp;F
Page &amp;P of &amp;N&amp;C&amp;"Arial,Regular"KENTUCKY POWER COMPANY
LGS Rate Design
Twelve Months Ended December 31, 2016</oddHeader>
  </headerFooter>
  <rowBreaks count="4" manualBreakCount="4">
    <brk id="76" max="9" man="1"/>
    <brk id="134" max="9" man="1"/>
    <brk id="178" max="9" man="1"/>
    <brk id="239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55A521DB-24FE-4043-86F7-1D7CEB57F60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EX AEV-1</vt:lpstr>
      <vt:lpstr>Rate Export</vt:lpstr>
      <vt:lpstr>RS</vt:lpstr>
      <vt:lpstr>RS-D</vt:lpstr>
      <vt:lpstr>RS TOD2</vt:lpstr>
      <vt:lpstr>SGS TOD</vt:lpstr>
      <vt:lpstr>GS AF NM TODs</vt:lpstr>
      <vt:lpstr>GS</vt:lpstr>
      <vt:lpstr>LGS</vt:lpstr>
      <vt:lpstr>LGS-TOD</vt:lpstr>
      <vt:lpstr>IGS</vt:lpstr>
      <vt:lpstr>MW</vt:lpstr>
      <vt:lpstr>OL 1</vt:lpstr>
      <vt:lpstr>OL 2</vt:lpstr>
      <vt:lpstr>SL 1</vt:lpstr>
      <vt:lpstr>SL 2</vt:lpstr>
      <vt:lpstr>Conversion Charge</vt:lpstr>
      <vt:lpstr>AFS Rate</vt:lpstr>
      <vt:lpstr>off peak</vt:lpstr>
      <vt:lpstr>Demand Basis</vt:lpstr>
      <vt:lpstr>Energy Basis</vt:lpstr>
      <vt:lpstr>Off Peak xcs</vt:lpstr>
      <vt:lpstr>Cogen</vt:lpstr>
      <vt:lpstr>Carrying Charge</vt:lpstr>
      <vt:lpstr>'AFS Rate'!Print_Area</vt:lpstr>
      <vt:lpstr>'Carrying Charge'!Print_Area</vt:lpstr>
      <vt:lpstr>Cogen!Print_Area</vt:lpstr>
      <vt:lpstr>'Conversion Charge'!Print_Area</vt:lpstr>
      <vt:lpstr>'Demand Basis'!Print_Area</vt:lpstr>
      <vt:lpstr>'Energy Basis'!Print_Area</vt:lpstr>
      <vt:lpstr>'EX AEV-1'!Print_Area</vt:lpstr>
      <vt:lpstr>GS!Print_Area</vt:lpstr>
      <vt:lpstr>'GS AF NM TODs'!Print_Area</vt:lpstr>
      <vt:lpstr>IGS!Print_Area</vt:lpstr>
      <vt:lpstr>LGS!Print_Area</vt:lpstr>
      <vt:lpstr>'LGS-TOD'!Print_Area</vt:lpstr>
      <vt:lpstr>MW!Print_Area</vt:lpstr>
      <vt:lpstr>'off peak'!Print_Area</vt:lpstr>
      <vt:lpstr>'Off Peak xcs'!Print_Area</vt:lpstr>
      <vt:lpstr>'OL 1'!Print_Area</vt:lpstr>
      <vt:lpstr>'OL 2'!Print_Area</vt:lpstr>
      <vt:lpstr>RS!Print_Area</vt:lpstr>
      <vt:lpstr>'RS TOD2'!Print_Area</vt:lpstr>
      <vt:lpstr>'RS-D'!Print_Area</vt:lpstr>
      <vt:lpstr>'SGS TOD'!Print_Area</vt:lpstr>
      <vt:lpstr>'SL 1'!Print_Area</vt:lpstr>
      <vt:lpstr>'SL 2'!Print_Area</vt:lpstr>
    </vt:vector>
  </TitlesOfParts>
  <Company>AEP-6-27-00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s753010</dc:creator>
  <cp:keywords/>
  <cp:lastModifiedBy>s207409</cp:lastModifiedBy>
  <cp:lastPrinted>2020-06-18T10:53:56Z</cp:lastPrinted>
  <dcterms:created xsi:type="dcterms:W3CDTF">2005-07-05T15:28:33Z</dcterms:created>
  <dcterms:modified xsi:type="dcterms:W3CDTF">2020-08-22T13:52:58Z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b1eef6b1-e22b-413d-955c-7ce5f70fcd52</vt:lpwstr>
  </property>
  <property fmtid="{D5CDD505-2E9C-101B-9397-08002B2CF9AE}" pid="3" name="bjSaver">
    <vt:lpwstr>MQfcAhQ8E7BpJjT05HGV6wJ4xMWAiB3x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/&gt;&lt;/sisl&gt;</vt:lpwstr>
  </property>
  <property fmtid="{D5CDD505-2E9C-101B-9397-08002B2CF9AE}" pid="6" name="bjDocumentSecurityLabel">
    <vt:lpwstr>AEP Internal</vt:lpwstr>
  </property>
</Properties>
</file>