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207409\Desktop\KPCo WFH2020\Base Case\Supplemental NMS Hearing\discovery\Staff Set 10\"/>
    </mc:Choice>
  </mc:AlternateContent>
  <bookViews>
    <workbookView xWindow="0" yWindow="0" windowWidth="19200" windowHeight="7485" activeTab="1"/>
  </bookViews>
  <sheets>
    <sheet name="Excess Gen Price" sheetId="11" r:id="rId1"/>
    <sheet name="Typical Install" sheetId="10" r:id="rId2"/>
    <sheet name="Ancillaries" sheetId="12" r:id="rId3"/>
    <sheet name="Solar Pivot" sheetId="4" r:id="rId4"/>
  </sheets>
  <definedNames>
    <definedName name="_xlnm.Print_Area" localSheetId="2">Ancillaries!$A$1:$C$15</definedName>
    <definedName name="_xlnm.Print_Area" localSheetId="0">'Excess Gen Price'!$A$1:$I$24</definedName>
    <definedName name="_xlnm.Print_Area" localSheetId="1">'Typical Install'!$B$1:$M$40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0" l="1"/>
  <c r="A1" i="12" l="1"/>
  <c r="B28" i="4" l="1"/>
  <c r="F11" i="4" s="1"/>
  <c r="F21" i="4" l="1"/>
  <c r="F20" i="4"/>
  <c r="F16" i="4"/>
  <c r="F12" i="4"/>
  <c r="F22" i="4"/>
  <c r="F18" i="4"/>
  <c r="F14" i="4"/>
  <c r="F17" i="4"/>
  <c r="F13" i="4"/>
  <c r="F23" i="4"/>
  <c r="F26" i="10" s="1"/>
  <c r="F19" i="4"/>
  <c r="F15" i="4"/>
  <c r="B21" i="11"/>
  <c r="B20" i="11"/>
  <c r="C11" i="12"/>
  <c r="F9" i="10" l="1"/>
  <c r="F10" i="10"/>
  <c r="F11" i="10"/>
  <c r="F12" i="10"/>
  <c r="F13" i="10"/>
  <c r="F27" i="10"/>
  <c r="F28" i="10"/>
  <c r="F29" i="10"/>
  <c r="F8" i="10"/>
  <c r="E31" i="10" l="1"/>
  <c r="A1" i="11" l="1"/>
  <c r="B17" i="11"/>
  <c r="D8" i="11"/>
  <c r="E8" i="11" s="1"/>
  <c r="D7" i="11"/>
  <c r="L31" i="10"/>
  <c r="E7" i="11" l="1"/>
  <c r="I31" i="10" l="1"/>
  <c r="F16" i="10" l="1"/>
  <c r="F14" i="10"/>
  <c r="F24" i="10" l="1"/>
  <c r="G24" i="10" s="1"/>
  <c r="F20" i="10"/>
  <c r="G20" i="10" s="1"/>
  <c r="F23" i="10"/>
  <c r="F19" i="10"/>
  <c r="F15" i="10"/>
  <c r="F22" i="10"/>
  <c r="G22" i="10" s="1"/>
  <c r="H22" i="10" s="1"/>
  <c r="F18" i="10"/>
  <c r="F25" i="10"/>
  <c r="E35" i="10" s="1"/>
  <c r="E38" i="10" s="1"/>
  <c r="F21" i="10"/>
  <c r="G21" i="10" s="1"/>
  <c r="H21" i="10" s="1"/>
  <c r="F17" i="10"/>
  <c r="G7" i="10"/>
  <c r="G8" i="10"/>
  <c r="G9" i="10"/>
  <c r="G10" i="10"/>
  <c r="G11" i="10"/>
  <c r="G12" i="10"/>
  <c r="G13" i="10"/>
  <c r="G14" i="10"/>
  <c r="G27" i="10"/>
  <c r="G28" i="10"/>
  <c r="G29" i="10"/>
  <c r="F31" i="10" l="1"/>
  <c r="E40" i="10" s="1"/>
  <c r="G19" i="10"/>
  <c r="G25" i="10"/>
  <c r="K25" i="10" s="1"/>
  <c r="M25" i="10" s="1"/>
  <c r="G23" i="10"/>
  <c r="H23" i="10" s="1"/>
  <c r="J23" i="10" s="1"/>
  <c r="K20" i="10"/>
  <c r="M20" i="10" s="1"/>
  <c r="G15" i="10"/>
  <c r="K15" i="10" s="1"/>
  <c r="M15" i="10" s="1"/>
  <c r="G26" i="10"/>
  <c r="G18" i="10"/>
  <c r="K14" i="10"/>
  <c r="M14" i="10" s="1"/>
  <c r="G17" i="10"/>
  <c r="G16" i="10"/>
  <c r="K16" i="10" s="1"/>
  <c r="M16" i="10" s="1"/>
  <c r="G30" i="10"/>
  <c r="J22" i="10"/>
  <c r="K22" i="10"/>
  <c r="M22" i="10" s="1"/>
  <c r="J21" i="10"/>
  <c r="K21" i="10"/>
  <c r="M21" i="10" s="1"/>
  <c r="E37" i="10"/>
  <c r="K26" i="10" l="1"/>
  <c r="M26" i="10" s="1"/>
  <c r="K23" i="10"/>
  <c r="M23" i="10" s="1"/>
  <c r="G31" i="10"/>
  <c r="E36" i="10" s="1"/>
  <c r="K24" i="10"/>
  <c r="M24" i="10" s="1"/>
  <c r="H24" i="10"/>
  <c r="J24" i="10" l="1"/>
  <c r="J31" i="10" s="1"/>
  <c r="D11" i="11" s="1"/>
  <c r="M31" i="10"/>
  <c r="D12" i="11" s="1"/>
  <c r="E12" i="11" s="1"/>
  <c r="B23" i="11" s="1"/>
  <c r="E11" i="11" l="1"/>
  <c r="B22" i="11" s="1"/>
  <c r="B24" i="11" s="1"/>
</calcChain>
</file>

<file path=xl/sharedStrings.xml><?xml version="1.0" encoding="utf-8"?>
<sst xmlns="http://schemas.openxmlformats.org/spreadsheetml/2006/main" count="129" uniqueCount="69">
  <si>
    <t>Row Labels</t>
  </si>
  <si>
    <t>Grand Total</t>
  </si>
  <si>
    <t>begin</t>
  </si>
  <si>
    <t>end</t>
  </si>
  <si>
    <t>midnight</t>
  </si>
  <si>
    <t>M</t>
  </si>
  <si>
    <t>AM</t>
  </si>
  <si>
    <t>PM</t>
  </si>
  <si>
    <t>Summer</t>
  </si>
  <si>
    <t>Typical  Res</t>
  </si>
  <si>
    <t>Customer</t>
  </si>
  <si>
    <t>kWh/Month</t>
  </si>
  <si>
    <t>Shape %</t>
  </si>
  <si>
    <t xml:space="preserve">Typical  </t>
  </si>
  <si>
    <t>kW-ICAP</t>
  </si>
  <si>
    <t xml:space="preserve">Typical </t>
  </si>
  <si>
    <t>Solar</t>
  </si>
  <si>
    <t>Net Excess Gen</t>
  </si>
  <si>
    <t xml:space="preserve">12CP </t>
  </si>
  <si>
    <t>Hours wt</t>
  </si>
  <si>
    <t>Hours Wt</t>
  </si>
  <si>
    <t xml:space="preserve">HE </t>
  </si>
  <si>
    <t>Excess %</t>
  </si>
  <si>
    <t>Wtd Hours Excess</t>
  </si>
  <si>
    <t xml:space="preserve">12 CP </t>
  </si>
  <si>
    <t xml:space="preserve"> Wtd Excess Gen %</t>
  </si>
  <si>
    <t>Hour of the Day</t>
  </si>
  <si>
    <t>Peak 5CP</t>
  </si>
  <si>
    <t>Net Billing kWh</t>
  </si>
  <si>
    <t>Netted kWh</t>
  </si>
  <si>
    <t>Total annual MWh from solar plant</t>
  </si>
  <si>
    <t>Solar Pk Reduction MW</t>
  </si>
  <si>
    <t>Price</t>
  </si>
  <si>
    <t>$ Value</t>
  </si>
  <si>
    <t>G Capacity</t>
  </si>
  <si>
    <t>T Avoided Cost</t>
  </si>
  <si>
    <t>Net Metering Shape Discount</t>
  </si>
  <si>
    <t>Gen Capacity</t>
  </si>
  <si>
    <t>Cogen SPP Energy</t>
  </si>
  <si>
    <t>$/kWh</t>
  </si>
  <si>
    <t>On Pk</t>
  </si>
  <si>
    <t>input from cogen spp rate design</t>
  </si>
  <si>
    <t>Off Pk</t>
  </si>
  <si>
    <t>5/7 on-pk 2/7 off-pk</t>
  </si>
  <si>
    <t>Energy</t>
  </si>
  <si>
    <t>T Fixed Cost</t>
  </si>
  <si>
    <t>NMS Price for Excess Gen</t>
  </si>
  <si>
    <t>Full Solar Output Shape Value From Example Solar Plant</t>
  </si>
  <si>
    <t xml:space="preserve"> $/kWh Price</t>
  </si>
  <si>
    <t>Example of Typical Customer and Typical Solar Install</t>
  </si>
  <si>
    <t>NMS Solar System</t>
  </si>
  <si>
    <t>Avg Monthly kWh</t>
  </si>
  <si>
    <t>Average of Solar Gen</t>
  </si>
  <si>
    <t>Sched 1-A: Sched, System Control, &amp; Dispatch</t>
  </si>
  <si>
    <t>Sched 2: Reactive Supply &amp; Voltage Control</t>
  </si>
  <si>
    <t>Sched 3: Regulation &amp; Frequency Response</t>
  </si>
  <si>
    <t>Sched 5: Synchronized Reserve</t>
  </si>
  <si>
    <t>Sched 6: DA Operating Reserves</t>
  </si>
  <si>
    <t>DA Scheduling Reserve</t>
  </si>
  <si>
    <t>Load Based PJM Ancillary Services $/MWh</t>
  </si>
  <si>
    <t>Total Avoided Cost for NMS II</t>
  </si>
  <si>
    <t>Ancillary Services</t>
  </si>
  <si>
    <t>Originally Filed</t>
  </si>
  <si>
    <t>Updated NMS II Excess Generation Pricing</t>
  </si>
  <si>
    <t>NMS II Excess Generation Pricing -Residential</t>
  </si>
  <si>
    <t>NMS II vs Standard kWh</t>
  </si>
  <si>
    <t>Exhibit AEV - R5 NMS II Updated Avoided Cost Rate Residential</t>
  </si>
  <si>
    <t>Typical NMS billable kWh</t>
  </si>
  <si>
    <t>NMSII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</si>
</sst>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0"/>
    <numFmt numFmtId="167" formatCode="0.00000"/>
    <numFmt numFmtId="168" formatCode="_(* #,##0.000_);_(* \(#,##0.0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43" fontId="0" fillId="0" borderId="0" xfId="2" applyFont="1"/>
    <xf numFmtId="0" fontId="0" fillId="0" borderId="0" xfId="0" quotePrefix="1"/>
    <xf numFmtId="0" fontId="0" fillId="0" borderId="0" xfId="0" applyAlignment="1">
      <alignment horizontal="center"/>
    </xf>
    <xf numFmtId="43" fontId="0" fillId="0" borderId="0" xfId="0" applyNumberFormat="1"/>
    <xf numFmtId="0" fontId="0" fillId="0" borderId="1" xfId="0" applyBorder="1"/>
    <xf numFmtId="43" fontId="0" fillId="0" borderId="1" xfId="2" applyFont="1" applyBorder="1"/>
    <xf numFmtId="0" fontId="0" fillId="0" borderId="1" xfId="0" applyBorder="1" applyAlignment="1">
      <alignment horizontal="center"/>
    </xf>
    <xf numFmtId="164" fontId="0" fillId="0" borderId="0" xfId="2" applyNumberFormat="1" applyFont="1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9" fontId="0" fillId="0" borderId="0" xfId="4" applyFont="1"/>
    <xf numFmtId="43" fontId="2" fillId="0" borderId="0" xfId="0" applyNumberFormat="1" applyFont="1"/>
    <xf numFmtId="10" fontId="2" fillId="0" borderId="0" xfId="4" applyNumberFormat="1" applyFont="1"/>
    <xf numFmtId="0" fontId="0" fillId="0" borderId="0" xfId="0" applyAlignment="1">
      <alignment horizontal="center"/>
    </xf>
    <xf numFmtId="0" fontId="0" fillId="0" borderId="0" xfId="0" applyFill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164" fontId="0" fillId="0" borderId="0" xfId="2" applyNumberFormat="1" applyFont="1" applyBorder="1"/>
    <xf numFmtId="0" fontId="0" fillId="0" borderId="6" xfId="0" applyBorder="1"/>
    <xf numFmtId="43" fontId="0" fillId="0" borderId="0" xfId="0" applyNumberFormat="1" applyBorder="1"/>
    <xf numFmtId="165" fontId="0" fillId="0" borderId="0" xfId="5" applyNumberFormat="1" applyFont="1" applyBorder="1"/>
    <xf numFmtId="166" fontId="0" fillId="0" borderId="0" xfId="0" applyNumberFormat="1" applyBorder="1"/>
    <xf numFmtId="0" fontId="0" fillId="0" borderId="7" xfId="0" applyBorder="1"/>
    <xf numFmtId="43" fontId="0" fillId="0" borderId="8" xfId="0" applyNumberFormat="1" applyBorder="1"/>
    <xf numFmtId="165" fontId="0" fillId="0" borderId="8" xfId="5" applyNumberFormat="1" applyFont="1" applyBorder="1"/>
    <xf numFmtId="166" fontId="0" fillId="0" borderId="8" xfId="0" applyNumberFormat="1" applyBorder="1"/>
    <xf numFmtId="0" fontId="0" fillId="0" borderId="8" xfId="0" applyBorder="1"/>
    <xf numFmtId="0" fontId="0" fillId="0" borderId="9" xfId="0" applyBorder="1"/>
    <xf numFmtId="0" fontId="2" fillId="0" borderId="0" xfId="0" applyFont="1"/>
    <xf numFmtId="167" fontId="0" fillId="0" borderId="0" xfId="0" applyNumberFormat="1"/>
    <xf numFmtId="16" fontId="0" fillId="0" borderId="0" xfId="0" applyNumberFormat="1"/>
    <xf numFmtId="0" fontId="3" fillId="0" borderId="0" xfId="0" applyFont="1"/>
    <xf numFmtId="167" fontId="0" fillId="0" borderId="0" xfId="0" applyNumberFormat="1" applyFill="1"/>
    <xf numFmtId="0" fontId="0" fillId="0" borderId="1" xfId="0" applyFill="1" applyBorder="1"/>
    <xf numFmtId="167" fontId="0" fillId="0" borderId="1" xfId="0" applyNumberFormat="1" applyFill="1" applyBorder="1"/>
    <xf numFmtId="0" fontId="4" fillId="0" borderId="0" xfId="0" applyFont="1" applyFill="1"/>
    <xf numFmtId="167" fontId="4" fillId="0" borderId="0" xfId="0" applyNumberFormat="1" applyFont="1" applyFill="1"/>
    <xf numFmtId="0" fontId="5" fillId="0" borderId="0" xfId="0" applyFont="1"/>
    <xf numFmtId="0" fontId="0" fillId="3" borderId="0" xfId="0" quotePrefix="1" applyFill="1"/>
    <xf numFmtId="0" fontId="0" fillId="3" borderId="0" xfId="0" applyFill="1"/>
    <xf numFmtId="0" fontId="6" fillId="0" borderId="0" xfId="0" applyFont="1"/>
    <xf numFmtId="164" fontId="0" fillId="3" borderId="0" xfId="2" applyNumberFormat="1" applyFont="1" applyFill="1"/>
    <xf numFmtId="164" fontId="0" fillId="0" borderId="1" xfId="2" applyNumberFormat="1" applyFont="1" applyBorder="1"/>
    <xf numFmtId="43" fontId="0" fillId="0" borderId="0" xfId="2" applyFont="1" applyBorder="1"/>
    <xf numFmtId="0" fontId="0" fillId="0" borderId="0" xfId="0" quotePrefix="1" applyFill="1"/>
    <xf numFmtId="164" fontId="0" fillId="0" borderId="0" xfId="0" applyNumberFormat="1" applyFill="1"/>
    <xf numFmtId="43" fontId="0" fillId="0" borderId="0" xfId="0" applyNumberFormat="1" applyFill="1"/>
    <xf numFmtId="164" fontId="0" fillId="0" borderId="0" xfId="2" applyNumberFormat="1" applyFont="1" applyFill="1"/>
    <xf numFmtId="168" fontId="0" fillId="0" borderId="0" xfId="0" applyNumberFormat="1"/>
    <xf numFmtId="0" fontId="0" fillId="2" borderId="0" xfId="0" applyFill="1"/>
    <xf numFmtId="44" fontId="0" fillId="2" borderId="0" xfId="5" applyFont="1" applyFill="1"/>
    <xf numFmtId="0" fontId="0" fillId="2" borderId="1" xfId="0" applyFill="1" applyBorder="1"/>
    <xf numFmtId="44" fontId="0" fillId="2" borderId="1" xfId="5" applyFont="1" applyFill="1" applyBorder="1"/>
    <xf numFmtId="44" fontId="0" fillId="2" borderId="0" xfId="0" applyNumberFormat="1" applyFill="1"/>
    <xf numFmtId="0" fontId="0" fillId="0" borderId="0" xfId="0" applyFill="1" applyAlignment="1">
      <alignment horizontal="center"/>
    </xf>
    <xf numFmtId="164" fontId="0" fillId="0" borderId="0" xfId="2" applyNumberFormat="1" applyFont="1" applyFill="1" applyBorder="1"/>
    <xf numFmtId="164" fontId="0" fillId="0" borderId="1" xfId="2" applyNumberFormat="1" applyFont="1" applyFill="1" applyBorder="1"/>
    <xf numFmtId="0" fontId="0" fillId="0" borderId="0" xfId="0" applyFill="1" applyAlignment="1">
      <alignment horizontal="right"/>
    </xf>
    <xf numFmtId="0" fontId="0" fillId="0" borderId="0" xfId="0" applyFill="1" applyBorder="1"/>
    <xf numFmtId="10" fontId="0" fillId="0" borderId="0" xfId="4" applyNumberFormat="1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165" fontId="0" fillId="0" borderId="0" xfId="5" applyNumberFormat="1" applyFont="1" applyFill="1" applyBorder="1"/>
    <xf numFmtId="165" fontId="2" fillId="0" borderId="0" xfId="5" applyNumberFormat="1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0" fontId="5" fillId="0" borderId="0" xfId="4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6">
    <cellStyle name="Comma" xfId="2" builtinId="3"/>
    <cellStyle name="Currency" xfId="5" builtinId="4"/>
    <cellStyle name="Normal" xfId="0" builtinId="0"/>
    <cellStyle name="Normal 299" xfId="3"/>
    <cellStyle name="Normal 3" xfId="1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workbookViewId="0">
      <selection activeCell="H20" sqref="H20"/>
    </sheetView>
  </sheetViews>
  <sheetFormatPr defaultRowHeight="15" x14ac:dyDescent="0.25"/>
  <cols>
    <col min="1" max="1" width="23.85546875" customWidth="1"/>
    <col min="2" max="2" width="21.85546875" bestFit="1" customWidth="1"/>
    <col min="3" max="3" width="11.5703125" customWidth="1"/>
    <col min="4" max="4" width="17" customWidth="1"/>
    <col min="5" max="5" width="17.28515625" customWidth="1"/>
    <col min="9" max="9" width="4" customWidth="1"/>
  </cols>
  <sheetData>
    <row r="1" spans="1:9" x14ac:dyDescent="0.25">
      <c r="A1" s="37" t="str">
        <f>'Typical Install'!B1</f>
        <v>Exhibit AEV - R5 NMS II Updated Avoided Cost Rate Residential</v>
      </c>
    </row>
    <row r="2" spans="1:9" x14ac:dyDescent="0.25">
      <c r="A2" s="37" t="s">
        <v>64</v>
      </c>
    </row>
    <row r="3" spans="1:9" ht="15.75" thickBot="1" x14ac:dyDescent="0.3"/>
    <row r="4" spans="1:9" x14ac:dyDescent="0.25">
      <c r="A4" s="73" t="s">
        <v>47</v>
      </c>
      <c r="B4" s="74"/>
      <c r="C4" s="74"/>
      <c r="D4" s="74"/>
      <c r="E4" s="74"/>
      <c r="F4" s="22"/>
      <c r="G4" s="22"/>
      <c r="H4" s="22"/>
      <c r="I4" s="23"/>
    </row>
    <row r="5" spans="1:9" x14ac:dyDescent="0.25">
      <c r="A5" s="24"/>
      <c r="B5" s="25"/>
      <c r="C5" s="25"/>
      <c r="D5" s="25"/>
      <c r="E5" s="26">
        <v>38460</v>
      </c>
      <c r="F5" s="25" t="s">
        <v>30</v>
      </c>
      <c r="G5" s="25"/>
      <c r="H5" s="25"/>
      <c r="I5" s="27"/>
    </row>
    <row r="6" spans="1:9" x14ac:dyDescent="0.25">
      <c r="A6" s="24"/>
      <c r="B6" s="15" t="s">
        <v>31</v>
      </c>
      <c r="C6" s="15" t="s">
        <v>32</v>
      </c>
      <c r="D6" s="15" t="s">
        <v>33</v>
      </c>
      <c r="E6" s="15" t="s">
        <v>48</v>
      </c>
      <c r="F6" s="15"/>
      <c r="G6" s="25"/>
      <c r="H6" s="25"/>
      <c r="I6" s="27"/>
    </row>
    <row r="7" spans="1:9" x14ac:dyDescent="0.25">
      <c r="A7" s="24" t="s">
        <v>34</v>
      </c>
      <c r="B7" s="28">
        <v>9.5504839783917213</v>
      </c>
      <c r="C7" s="29">
        <v>100</v>
      </c>
      <c r="D7" s="29">
        <f>C7*B7*365</f>
        <v>348592.6652112978</v>
      </c>
      <c r="E7" s="30">
        <f>D7/$E$5/1000</f>
        <v>9.0637718463675975E-3</v>
      </c>
      <c r="F7" s="25"/>
      <c r="G7" s="25"/>
      <c r="H7" s="25"/>
      <c r="I7" s="27"/>
    </row>
    <row r="8" spans="1:9" ht="15.75" thickBot="1" x14ac:dyDescent="0.3">
      <c r="A8" s="31" t="s">
        <v>35</v>
      </c>
      <c r="B8" s="32">
        <v>5.5067209856527342</v>
      </c>
      <c r="C8" s="33">
        <v>93054.368398101869</v>
      </c>
      <c r="D8" s="33">
        <f>C8*B8</f>
        <v>512424.44326448819</v>
      </c>
      <c r="E8" s="34">
        <f>D8/$E$5/1000</f>
        <v>1.3323568467615397E-2</v>
      </c>
      <c r="F8" s="35"/>
      <c r="G8" s="35"/>
      <c r="H8" s="35"/>
      <c r="I8" s="36"/>
    </row>
    <row r="10" spans="1:9" x14ac:dyDescent="0.25">
      <c r="A10" s="40" t="s">
        <v>36</v>
      </c>
      <c r="B10" s="37"/>
      <c r="C10" s="37"/>
    </row>
    <row r="11" spans="1:9" x14ac:dyDescent="0.25">
      <c r="A11" t="s">
        <v>37</v>
      </c>
      <c r="D11" s="19">
        <f>'Typical Install'!J31</f>
        <v>0.40461926432012485</v>
      </c>
      <c r="E11" s="38">
        <f>D11*E7</f>
        <v>3.6673766964427168E-3</v>
      </c>
    </row>
    <row r="12" spans="1:9" x14ac:dyDescent="0.25">
      <c r="A12" t="s">
        <v>35</v>
      </c>
      <c r="D12" s="19">
        <f>'Typical Install'!M31</f>
        <v>0.21482999075656092</v>
      </c>
      <c r="E12" s="38">
        <f>D12*E8</f>
        <v>2.8623020907422225E-3</v>
      </c>
    </row>
    <row r="14" spans="1:9" x14ac:dyDescent="0.25">
      <c r="A14" t="s">
        <v>38</v>
      </c>
      <c r="B14" s="20" t="s">
        <v>39</v>
      </c>
    </row>
    <row r="15" spans="1:9" x14ac:dyDescent="0.25">
      <c r="A15" t="s">
        <v>40</v>
      </c>
      <c r="B15">
        <v>3.0599999999999999E-2</v>
      </c>
      <c r="C15" t="s">
        <v>41</v>
      </c>
    </row>
    <row r="16" spans="1:9" x14ac:dyDescent="0.25">
      <c r="A16" t="s">
        <v>42</v>
      </c>
      <c r="B16">
        <v>2.2800000000000001E-2</v>
      </c>
      <c r="C16" t="s">
        <v>41</v>
      </c>
    </row>
    <row r="17" spans="1:3" x14ac:dyDescent="0.25">
      <c r="A17" t="s">
        <v>16</v>
      </c>
      <c r="B17" s="38">
        <f>(B15*(5/7))+(B16*(2/7))</f>
        <v>2.8371428571428568E-2</v>
      </c>
      <c r="C17" s="39" t="s">
        <v>43</v>
      </c>
    </row>
    <row r="19" spans="1:3" x14ac:dyDescent="0.25">
      <c r="A19" s="75" t="s">
        <v>63</v>
      </c>
      <c r="B19" s="75"/>
      <c r="C19" t="s">
        <v>62</v>
      </c>
    </row>
    <row r="20" spans="1:3" x14ac:dyDescent="0.25">
      <c r="A20" s="21" t="s">
        <v>44</v>
      </c>
      <c r="B20" s="41">
        <f>B17</f>
        <v>2.8371428571428568E-2</v>
      </c>
    </row>
    <row r="21" spans="1:3" x14ac:dyDescent="0.25">
      <c r="A21" s="21" t="s">
        <v>61</v>
      </c>
      <c r="B21" s="41">
        <f>Ancillaries!C11/1000</f>
        <v>6.3000000000000013E-4</v>
      </c>
    </row>
    <row r="22" spans="1:3" x14ac:dyDescent="0.25">
      <c r="A22" s="21" t="s">
        <v>34</v>
      </c>
      <c r="B22" s="41">
        <f>E11</f>
        <v>3.6673766964427168E-3</v>
      </c>
    </row>
    <row r="23" spans="1:3" x14ac:dyDescent="0.25">
      <c r="A23" s="42" t="s">
        <v>45</v>
      </c>
      <c r="B23" s="43">
        <f>E12</f>
        <v>2.8623020907422225E-3</v>
      </c>
    </row>
    <row r="24" spans="1:3" x14ac:dyDescent="0.25">
      <c r="A24" s="44" t="s">
        <v>46</v>
      </c>
      <c r="B24" s="45">
        <f>ROUND(SUM(B20:B23),5)</f>
        <v>3.5529999999999999E-2</v>
      </c>
      <c r="C24">
        <v>3.6589999999999998E-2</v>
      </c>
    </row>
    <row r="25" spans="1:3" x14ac:dyDescent="0.25">
      <c r="A25" s="21"/>
      <c r="B25" s="21"/>
    </row>
  </sheetData>
  <mergeCells count="2">
    <mergeCell ref="A4:E4"/>
    <mergeCell ref="A19:B19"/>
  </mergeCells>
  <pageMargins left="0.7" right="0.7" top="0.75" bottom="0.75" header="0.3" footer="0.3"/>
  <pageSetup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tabSelected="1" topLeftCell="B10" zoomScale="85" zoomScaleNormal="85" workbookViewId="0">
      <selection activeCell="G37" sqref="G37"/>
    </sheetView>
  </sheetViews>
  <sheetFormatPr defaultRowHeight="15" x14ac:dyDescent="0.25"/>
  <cols>
    <col min="1" max="1" width="0" hidden="1" customWidth="1"/>
    <col min="2" max="2" width="16.28515625" customWidth="1"/>
    <col min="3" max="3" width="16.42578125" customWidth="1"/>
    <col min="4" max="4" width="4" bestFit="1" customWidth="1"/>
    <col min="5" max="5" width="16.28515625" customWidth="1"/>
    <col min="6" max="6" width="21" style="21" bestFit="1" customWidth="1"/>
    <col min="7" max="7" width="18.7109375" customWidth="1"/>
    <col min="8" max="8" width="19.28515625" bestFit="1" customWidth="1"/>
    <col min="9" max="9" width="14.140625" customWidth="1"/>
    <col min="10" max="10" width="18.5703125" customWidth="1"/>
    <col min="11" max="11" width="17.28515625" customWidth="1"/>
    <col min="12" max="12" width="9.5703125" bestFit="1" customWidth="1"/>
    <col min="13" max="13" width="18.28515625" bestFit="1" customWidth="1"/>
  </cols>
  <sheetData>
    <row r="1" spans="1:13" ht="15.75" x14ac:dyDescent="0.25">
      <c r="B1" s="46" t="s">
        <v>66</v>
      </c>
    </row>
    <row r="2" spans="1:13" x14ac:dyDescent="0.25">
      <c r="B2" s="37" t="s">
        <v>49</v>
      </c>
    </row>
    <row r="3" spans="1:13" x14ac:dyDescent="0.25">
      <c r="E3" s="12" t="s">
        <v>9</v>
      </c>
      <c r="F3" s="63" t="s">
        <v>13</v>
      </c>
      <c r="G3" s="15"/>
      <c r="H3" s="15"/>
    </row>
    <row r="4" spans="1:13" x14ac:dyDescent="0.25">
      <c r="E4" s="12" t="s">
        <v>10</v>
      </c>
      <c r="F4" s="63" t="s">
        <v>50</v>
      </c>
      <c r="G4" s="15" t="s">
        <v>15</v>
      </c>
      <c r="H4" s="13" t="s">
        <v>8</v>
      </c>
      <c r="I4" s="13" t="s">
        <v>8</v>
      </c>
      <c r="J4" s="13" t="s">
        <v>8</v>
      </c>
      <c r="K4" s="13"/>
      <c r="L4" s="15"/>
      <c r="M4" s="13" t="s">
        <v>18</v>
      </c>
    </row>
    <row r="5" spans="1:13" x14ac:dyDescent="0.25">
      <c r="B5" s="76" t="s">
        <v>26</v>
      </c>
      <c r="C5" s="76"/>
      <c r="E5" s="12">
        <v>1240</v>
      </c>
      <c r="F5" s="63">
        <v>8.84</v>
      </c>
      <c r="G5" s="15" t="s">
        <v>16</v>
      </c>
      <c r="H5" s="15" t="s">
        <v>27</v>
      </c>
      <c r="I5" s="15" t="s">
        <v>27</v>
      </c>
      <c r="J5" s="15" t="s">
        <v>27</v>
      </c>
      <c r="K5" s="15" t="s">
        <v>24</v>
      </c>
      <c r="L5" s="13" t="s">
        <v>18</v>
      </c>
      <c r="M5" s="13" t="s">
        <v>20</v>
      </c>
    </row>
    <row r="6" spans="1:13" x14ac:dyDescent="0.25">
      <c r="A6" t="s">
        <v>21</v>
      </c>
      <c r="B6" s="9" t="s">
        <v>2</v>
      </c>
      <c r="C6" s="9" t="s">
        <v>3</v>
      </c>
      <c r="D6" s="7"/>
      <c r="E6" s="9" t="s">
        <v>11</v>
      </c>
      <c r="F6" s="14" t="s">
        <v>14</v>
      </c>
      <c r="G6" s="14" t="s">
        <v>17</v>
      </c>
      <c r="H6" s="14" t="s">
        <v>22</v>
      </c>
      <c r="I6" s="14" t="s">
        <v>19</v>
      </c>
      <c r="J6" s="14" t="s">
        <v>23</v>
      </c>
      <c r="K6" s="14" t="s">
        <v>22</v>
      </c>
      <c r="L6" s="14" t="s">
        <v>20</v>
      </c>
      <c r="M6" s="14" t="s">
        <v>25</v>
      </c>
    </row>
    <row r="7" spans="1:13" x14ac:dyDescent="0.25">
      <c r="A7">
        <v>1</v>
      </c>
      <c r="B7" s="16" t="s">
        <v>4</v>
      </c>
      <c r="C7">
        <v>1</v>
      </c>
      <c r="D7" t="s">
        <v>6</v>
      </c>
      <c r="E7" s="10">
        <v>42.260264618117446</v>
      </c>
      <c r="F7" s="56">
        <v>0</v>
      </c>
      <c r="G7" s="10">
        <f t="shared" ref="G7:G29" si="0">IF(F7&gt;E7,F7-E7,0)</f>
        <v>0</v>
      </c>
      <c r="H7" s="3"/>
    </row>
    <row r="8" spans="1:13" x14ac:dyDescent="0.25">
      <c r="A8">
        <v>2</v>
      </c>
      <c r="B8" s="4">
        <v>1</v>
      </c>
      <c r="C8">
        <v>2</v>
      </c>
      <c r="D8" t="s">
        <v>6</v>
      </c>
      <c r="E8" s="10">
        <v>40.610917799682625</v>
      </c>
      <c r="F8" s="56">
        <f>($F$5*730*0.1727)*'Solar Pivot'!F5</f>
        <v>0</v>
      </c>
      <c r="G8" s="10">
        <f t="shared" si="0"/>
        <v>0</v>
      </c>
      <c r="H8" s="3"/>
    </row>
    <row r="9" spans="1:13" x14ac:dyDescent="0.25">
      <c r="A9">
        <v>3</v>
      </c>
      <c r="B9" s="4">
        <v>2</v>
      </c>
      <c r="C9">
        <v>3</v>
      </c>
      <c r="D9" t="s">
        <v>6</v>
      </c>
      <c r="E9" s="10">
        <v>40.699458329443026</v>
      </c>
      <c r="F9" s="56">
        <f>($F$5*730*0.1727)*'Solar Pivot'!F6</f>
        <v>0</v>
      </c>
      <c r="G9" s="10">
        <f t="shared" si="0"/>
        <v>0</v>
      </c>
      <c r="H9" s="3"/>
    </row>
    <row r="10" spans="1:13" x14ac:dyDescent="0.25">
      <c r="A10">
        <v>4</v>
      </c>
      <c r="B10" s="4">
        <v>3</v>
      </c>
      <c r="C10">
        <v>4</v>
      </c>
      <c r="D10" t="s">
        <v>6</v>
      </c>
      <c r="E10" s="10">
        <v>41.275704772202815</v>
      </c>
      <c r="F10" s="56">
        <f>($F$5*730*0.1727)*'Solar Pivot'!F7</f>
        <v>0</v>
      </c>
      <c r="G10" s="10">
        <f t="shared" si="0"/>
        <v>0</v>
      </c>
      <c r="H10" s="3"/>
    </row>
    <row r="11" spans="1:13" x14ac:dyDescent="0.25">
      <c r="A11">
        <v>5</v>
      </c>
      <c r="B11" s="4">
        <v>4</v>
      </c>
      <c r="C11">
        <v>5</v>
      </c>
      <c r="D11" t="s">
        <v>6</v>
      </c>
      <c r="E11" s="10">
        <v>44.157015790866218</v>
      </c>
      <c r="F11" s="56">
        <f>($F$5*730*0.1727)*'Solar Pivot'!F8</f>
        <v>0</v>
      </c>
      <c r="G11" s="10">
        <f t="shared" si="0"/>
        <v>0</v>
      </c>
      <c r="H11" s="3"/>
    </row>
    <row r="12" spans="1:13" x14ac:dyDescent="0.25">
      <c r="A12">
        <v>6</v>
      </c>
      <c r="B12" s="4">
        <v>5</v>
      </c>
      <c r="C12">
        <v>6</v>
      </c>
      <c r="D12" t="s">
        <v>6</v>
      </c>
      <c r="E12" s="10">
        <v>49.429367150460791</v>
      </c>
      <c r="F12" s="56">
        <f>($F$5*730*0.1727)*'Solar Pivot'!F9</f>
        <v>0</v>
      </c>
      <c r="G12" s="10">
        <f t="shared" si="0"/>
        <v>0</v>
      </c>
      <c r="H12" s="3"/>
      <c r="K12" s="17"/>
    </row>
    <row r="13" spans="1:13" x14ac:dyDescent="0.25">
      <c r="A13">
        <v>7</v>
      </c>
      <c r="B13" s="4">
        <v>6</v>
      </c>
      <c r="C13">
        <v>7</v>
      </c>
      <c r="D13" t="s">
        <v>6</v>
      </c>
      <c r="E13" s="10">
        <v>48.876236785185583</v>
      </c>
      <c r="F13" s="56">
        <f>($F$5*730*0.1727)*'Solar Pivot'!F10</f>
        <v>0</v>
      </c>
      <c r="G13" s="10">
        <f t="shared" si="0"/>
        <v>0</v>
      </c>
      <c r="H13" s="3"/>
      <c r="K13" s="17"/>
      <c r="L13" s="17"/>
      <c r="M13" s="17"/>
    </row>
    <row r="14" spans="1:13" x14ac:dyDescent="0.25">
      <c r="A14">
        <v>8</v>
      </c>
      <c r="B14" s="4">
        <v>7</v>
      </c>
      <c r="C14">
        <v>8</v>
      </c>
      <c r="D14" t="s">
        <v>6</v>
      </c>
      <c r="E14" s="10">
        <v>49.355221020675927</v>
      </c>
      <c r="F14" s="56">
        <f>($F$5*730*0.1727)*'Solar Pivot'!F11</f>
        <v>5.1591634851111063</v>
      </c>
      <c r="G14" s="10">
        <f t="shared" si="0"/>
        <v>0</v>
      </c>
      <c r="H14" s="3"/>
      <c r="K14" s="17">
        <f>G14/F14</f>
        <v>0</v>
      </c>
      <c r="L14" s="17">
        <v>0.3611111111111111</v>
      </c>
      <c r="M14" s="17">
        <f>L14*K14</f>
        <v>0</v>
      </c>
    </row>
    <row r="15" spans="1:13" x14ac:dyDescent="0.25">
      <c r="A15">
        <v>9</v>
      </c>
      <c r="B15" s="47">
        <v>8</v>
      </c>
      <c r="C15" s="48">
        <v>9</v>
      </c>
      <c r="D15" s="48" t="s">
        <v>6</v>
      </c>
      <c r="E15" s="50">
        <v>50.686786388188935</v>
      </c>
      <c r="F15" s="56">
        <f>($F$5*730*0.1727)*'Solar Pivot'!F12</f>
        <v>26.575885609997982</v>
      </c>
      <c r="G15" s="50">
        <f>IF(F15&gt;E15,F15-E15,0)</f>
        <v>0</v>
      </c>
      <c r="H15" s="3"/>
      <c r="K15" s="17">
        <f>G15/F15</f>
        <v>0</v>
      </c>
      <c r="L15" s="17">
        <v>8.3333333333333329E-2</v>
      </c>
      <c r="M15" s="17">
        <f>L15*K15</f>
        <v>0</v>
      </c>
    </row>
    <row r="16" spans="1:13" x14ac:dyDescent="0.25">
      <c r="A16">
        <v>10</v>
      </c>
      <c r="B16" s="4">
        <v>9</v>
      </c>
      <c r="C16">
        <v>10</v>
      </c>
      <c r="D16" t="s">
        <v>6</v>
      </c>
      <c r="E16" s="10">
        <v>50.085333340573293</v>
      </c>
      <c r="F16" s="56">
        <f>($F$5*730*0.1727)*'Solar Pivot'!F13</f>
        <v>67.004827428609417</v>
      </c>
      <c r="G16" s="10">
        <f>IF(F16&gt;E16,F16-E16,0)</f>
        <v>16.919494088036124</v>
      </c>
      <c r="H16" s="3"/>
      <c r="K16" s="17">
        <f>G16/F16</f>
        <v>0.25251156875320768</v>
      </c>
      <c r="L16" s="17">
        <v>2.7777777777777776E-2</v>
      </c>
      <c r="M16" s="17">
        <f>L16*K16</f>
        <v>7.0142102431446571E-3</v>
      </c>
    </row>
    <row r="17" spans="1:13" x14ac:dyDescent="0.25">
      <c r="A17">
        <v>11</v>
      </c>
      <c r="B17" s="4">
        <v>10</v>
      </c>
      <c r="C17">
        <v>11</v>
      </c>
      <c r="D17" t="s">
        <v>6</v>
      </c>
      <c r="E17" s="10">
        <v>50.518100191175826</v>
      </c>
      <c r="F17" s="56">
        <f>($F$5*730*0.1727)*'Solar Pivot'!F14</f>
        <v>105.88865310779548</v>
      </c>
      <c r="G17" s="10">
        <f t="shared" si="0"/>
        <v>55.370552916619651</v>
      </c>
      <c r="H17" s="3"/>
      <c r="K17" s="17"/>
      <c r="L17" s="17"/>
      <c r="M17" s="17"/>
    </row>
    <row r="18" spans="1:13" x14ac:dyDescent="0.25">
      <c r="A18">
        <v>12</v>
      </c>
      <c r="B18" s="4">
        <v>11</v>
      </c>
      <c r="C18">
        <v>12</v>
      </c>
      <c r="D18" t="s">
        <v>6</v>
      </c>
      <c r="E18" s="10">
        <v>51.526471935527127</v>
      </c>
      <c r="F18" s="56">
        <f>($F$5*730*0.1727)*'Solar Pivot'!F15</f>
        <v>132.9392391417793</v>
      </c>
      <c r="G18" s="10">
        <f t="shared" si="0"/>
        <v>81.41276720625217</v>
      </c>
      <c r="H18" s="3"/>
      <c r="K18" s="17"/>
      <c r="L18" s="17"/>
      <c r="M18" s="17"/>
    </row>
    <row r="19" spans="1:13" x14ac:dyDescent="0.25">
      <c r="A19">
        <v>13</v>
      </c>
      <c r="B19">
        <v>12</v>
      </c>
      <c r="C19">
        <v>1</v>
      </c>
      <c r="D19" t="s">
        <v>7</v>
      </c>
      <c r="E19" s="10">
        <v>52.576279851827799</v>
      </c>
      <c r="F19" s="56">
        <f>($F$5*730*0.1727)*'Solar Pivot'!F16</f>
        <v>144.68927362752689</v>
      </c>
      <c r="G19" s="10">
        <f t="shared" si="0"/>
        <v>92.112993775699096</v>
      </c>
      <c r="H19" s="17"/>
      <c r="I19" s="17"/>
      <c r="J19" s="17"/>
      <c r="K19" s="17"/>
      <c r="L19" s="17"/>
      <c r="M19" s="17"/>
    </row>
    <row r="20" spans="1:13" x14ac:dyDescent="0.25">
      <c r="A20">
        <v>14</v>
      </c>
      <c r="B20">
        <v>1</v>
      </c>
      <c r="C20">
        <v>2</v>
      </c>
      <c r="D20" t="s">
        <v>7</v>
      </c>
      <c r="E20" s="10">
        <v>54.950965860103608</v>
      </c>
      <c r="F20" s="56">
        <f>($F$5*730*0.1727)*'Solar Pivot'!F17</f>
        <v>147.56475154623934</v>
      </c>
      <c r="G20" s="10">
        <f>IF(F20&gt;E20,F20-E20,0)</f>
        <v>92.613785686135728</v>
      </c>
      <c r="H20" s="17"/>
      <c r="I20" s="17"/>
      <c r="J20" s="17"/>
      <c r="K20" s="17">
        <f t="shared" ref="K20:K26" si="1">G20/F20</f>
        <v>0.6276145537175607</v>
      </c>
      <c r="L20" s="17">
        <v>2.7777777777777776E-2</v>
      </c>
      <c r="M20" s="17">
        <f t="shared" ref="M20:M26" si="2">L20*K20</f>
        <v>1.7433737603265574E-2</v>
      </c>
    </row>
    <row r="21" spans="1:13" x14ac:dyDescent="0.25">
      <c r="A21">
        <v>15</v>
      </c>
      <c r="B21">
        <v>2</v>
      </c>
      <c r="C21">
        <v>3</v>
      </c>
      <c r="D21" t="s">
        <v>7</v>
      </c>
      <c r="E21" s="10">
        <v>57.851372401381703</v>
      </c>
      <c r="F21" s="56">
        <f>($F$5*730*0.1727)*'Solar Pivot'!F18</f>
        <v>145.92695475945442</v>
      </c>
      <c r="G21" s="10">
        <f t="shared" si="0"/>
        <v>88.075582358072722</v>
      </c>
      <c r="H21" s="17">
        <f>G21/F21</f>
        <v>0.60355938012450316</v>
      </c>
      <c r="I21" s="17">
        <v>0.05</v>
      </c>
      <c r="J21" s="17">
        <f>I21*H21</f>
        <v>3.0177969006225158E-2</v>
      </c>
      <c r="K21" s="17">
        <f t="shared" si="1"/>
        <v>0.60355938012450316</v>
      </c>
      <c r="L21" s="17">
        <v>5.5555555555555552E-2</v>
      </c>
      <c r="M21" s="17">
        <f t="shared" si="2"/>
        <v>3.3531076673583508E-2</v>
      </c>
    </row>
    <row r="22" spans="1:13" x14ac:dyDescent="0.25">
      <c r="A22">
        <v>16</v>
      </c>
      <c r="B22">
        <v>3</v>
      </c>
      <c r="C22">
        <v>4</v>
      </c>
      <c r="D22" t="s">
        <v>7</v>
      </c>
      <c r="E22" s="10">
        <v>60.063718910396148</v>
      </c>
      <c r="F22" s="56">
        <f>($F$5*730*0.1727)*'Solar Pivot'!F19</f>
        <v>132.53158190264779</v>
      </c>
      <c r="G22" s="10">
        <f t="shared" si="0"/>
        <v>72.467862992251639</v>
      </c>
      <c r="H22" s="17">
        <f>G22/F22</f>
        <v>0.54679693663872153</v>
      </c>
      <c r="I22" s="17">
        <v>0.15</v>
      </c>
      <c r="J22" s="17">
        <f>I22*H22</f>
        <v>8.201954049580823E-2</v>
      </c>
      <c r="K22" s="17">
        <f t="shared" si="1"/>
        <v>0.54679693663872153</v>
      </c>
      <c r="L22" s="17">
        <v>5.5555555555555552E-2</v>
      </c>
      <c r="M22" s="17">
        <f t="shared" si="2"/>
        <v>3.0377607591040082E-2</v>
      </c>
    </row>
    <row r="23" spans="1:13" x14ac:dyDescent="0.25">
      <c r="A23">
        <v>17</v>
      </c>
      <c r="B23">
        <v>4</v>
      </c>
      <c r="C23" s="21">
        <v>5</v>
      </c>
      <c r="D23" t="s">
        <v>7</v>
      </c>
      <c r="E23" s="10">
        <v>62.304840064586372</v>
      </c>
      <c r="F23" s="56">
        <f>($F$5*730*0.1727)*'Solar Pivot'!F20</f>
        <v>105.1036672576864</v>
      </c>
      <c r="G23" s="10">
        <f t="shared" si="0"/>
        <v>42.798827193100024</v>
      </c>
      <c r="H23" s="17">
        <f t="shared" ref="H23:H24" si="3">G23/F23</f>
        <v>0.4072058407645151</v>
      </c>
      <c r="I23" s="17">
        <v>0.7</v>
      </c>
      <c r="J23" s="17">
        <f t="shared" ref="J23" si="4">I23*H23</f>
        <v>0.28504408853516056</v>
      </c>
      <c r="K23" s="17">
        <f t="shared" si="1"/>
        <v>0.4072058407645151</v>
      </c>
      <c r="L23" s="17">
        <v>0.30555555555555558</v>
      </c>
      <c r="M23" s="17">
        <f t="shared" si="2"/>
        <v>0.12442400690026852</v>
      </c>
    </row>
    <row r="24" spans="1:13" x14ac:dyDescent="0.25">
      <c r="A24">
        <v>18</v>
      </c>
      <c r="B24" s="48">
        <v>5</v>
      </c>
      <c r="C24" s="48">
        <v>6</v>
      </c>
      <c r="D24" s="48" t="s">
        <v>7</v>
      </c>
      <c r="E24" s="50">
        <v>62.318455484050617</v>
      </c>
      <c r="F24" s="56">
        <f>($F$5*730*0.1727)*'Solar Pivot'!F21</f>
        <v>67.282320562568756</v>
      </c>
      <c r="G24" s="50">
        <f>IF(F24&gt;E24,F24-E24,0)</f>
        <v>4.9638650785181397</v>
      </c>
      <c r="H24" s="17">
        <f t="shared" si="3"/>
        <v>7.3776662829309309E-2</v>
      </c>
      <c r="I24" s="17">
        <v>0.1</v>
      </c>
      <c r="J24" s="17">
        <f>I24*H24</f>
        <v>7.377666282930931E-3</v>
      </c>
      <c r="K24" s="17">
        <f t="shared" si="1"/>
        <v>7.3776662829309309E-2</v>
      </c>
      <c r="L24" s="17">
        <v>2.7777777777777776E-2</v>
      </c>
      <c r="M24" s="17">
        <f t="shared" si="2"/>
        <v>2.0493517452585919E-3</v>
      </c>
    </row>
    <row r="25" spans="1:13" x14ac:dyDescent="0.25">
      <c r="A25">
        <v>19</v>
      </c>
      <c r="B25">
        <v>6</v>
      </c>
      <c r="C25">
        <v>7</v>
      </c>
      <c r="D25" t="s">
        <v>7</v>
      </c>
      <c r="E25" s="10">
        <v>61.436660466211208</v>
      </c>
      <c r="F25" s="56">
        <f>($F$5*730*0.1727)*'Solar Pivot'!F22</f>
        <v>28.059869823702005</v>
      </c>
      <c r="G25" s="10">
        <f t="shared" si="0"/>
        <v>0</v>
      </c>
      <c r="H25" s="3"/>
      <c r="K25" s="17">
        <f t="shared" si="1"/>
        <v>0</v>
      </c>
      <c r="L25" s="17">
        <v>2.7777777777777776E-2</v>
      </c>
      <c r="M25" s="17">
        <f t="shared" si="2"/>
        <v>0</v>
      </c>
    </row>
    <row r="26" spans="1:13" x14ac:dyDescent="0.25">
      <c r="A26">
        <v>20</v>
      </c>
      <c r="B26">
        <v>7</v>
      </c>
      <c r="C26">
        <v>8</v>
      </c>
      <c r="D26" t="s">
        <v>7</v>
      </c>
      <c r="E26" s="10">
        <v>61.411348848977305</v>
      </c>
      <c r="F26" s="56">
        <f>($F$5*730*0.1727)*'Solar Pivot'!F23</f>
        <v>5.7414517468808066</v>
      </c>
      <c r="G26" s="10">
        <f t="shared" si="0"/>
        <v>0</v>
      </c>
      <c r="H26" s="3"/>
      <c r="K26" s="17">
        <f t="shared" si="1"/>
        <v>0</v>
      </c>
      <c r="L26" s="17">
        <v>2.7777777777777776E-2</v>
      </c>
      <c r="M26" s="17">
        <f t="shared" si="2"/>
        <v>0</v>
      </c>
    </row>
    <row r="27" spans="1:13" x14ac:dyDescent="0.25">
      <c r="A27">
        <v>21</v>
      </c>
      <c r="B27">
        <v>8</v>
      </c>
      <c r="C27">
        <v>9</v>
      </c>
      <c r="D27" t="s">
        <v>7</v>
      </c>
      <c r="E27" s="10">
        <v>59.604357025728405</v>
      </c>
      <c r="F27" s="56">
        <f>($F$5*730*0.1727)*'Solar Pivot'!F24</f>
        <v>0</v>
      </c>
      <c r="G27" s="10">
        <f t="shared" si="0"/>
        <v>0</v>
      </c>
      <c r="H27" s="3"/>
    </row>
    <row r="28" spans="1:13" x14ac:dyDescent="0.25">
      <c r="A28">
        <v>22</v>
      </c>
      <c r="B28">
        <v>9</v>
      </c>
      <c r="C28">
        <v>10</v>
      </c>
      <c r="D28" t="s">
        <v>7</v>
      </c>
      <c r="E28" s="10">
        <v>54.669004695695925</v>
      </c>
      <c r="F28" s="56">
        <f>($F$5*730*0.1727)*'Solar Pivot'!F25</f>
        <v>0</v>
      </c>
      <c r="G28" s="10">
        <f t="shared" si="0"/>
        <v>0</v>
      </c>
      <c r="H28" s="3"/>
    </row>
    <row r="29" spans="1:13" x14ac:dyDescent="0.25">
      <c r="A29">
        <v>23</v>
      </c>
      <c r="B29">
        <v>10</v>
      </c>
      <c r="C29">
        <v>11</v>
      </c>
      <c r="D29" t="s">
        <v>7</v>
      </c>
      <c r="E29" s="26">
        <v>48.669888941812964</v>
      </c>
      <c r="F29" s="64">
        <f>($F$5*730*0.1727)*'Solar Pivot'!F26</f>
        <v>0</v>
      </c>
      <c r="G29" s="26">
        <f t="shared" si="0"/>
        <v>0</v>
      </c>
      <c r="H29" s="52"/>
      <c r="I29" s="25"/>
      <c r="J29" s="25"/>
      <c r="K29" s="25"/>
      <c r="L29" s="25"/>
      <c r="M29" s="25"/>
    </row>
    <row r="30" spans="1:13" x14ac:dyDescent="0.25">
      <c r="A30">
        <v>0</v>
      </c>
      <c r="B30">
        <v>11</v>
      </c>
      <c r="C30" s="16" t="s">
        <v>4</v>
      </c>
      <c r="E30" s="51">
        <v>44.662229327128308</v>
      </c>
      <c r="F30" s="65">
        <f>($F$5*730*0.1727)*'Solar Pivot'!F27</f>
        <v>0</v>
      </c>
      <c r="G30" s="51">
        <f>IF(F30&gt;E30,F30-E30,0)</f>
        <v>0</v>
      </c>
      <c r="H30" s="8"/>
      <c r="I30" s="7"/>
      <c r="J30" s="7"/>
      <c r="K30" s="7"/>
      <c r="L30" s="7"/>
      <c r="M30" s="7"/>
    </row>
    <row r="31" spans="1:13" x14ac:dyDescent="0.25">
      <c r="E31" s="11">
        <f>SUM(E7:E30)</f>
        <v>1239.9999999999998</v>
      </c>
      <c r="F31" s="54">
        <f>SUM(F7:F30)</f>
        <v>1114.4676399999996</v>
      </c>
      <c r="G31" s="11">
        <f>SUM(G7:G30)</f>
        <v>546.73573129468525</v>
      </c>
      <c r="H31" s="11"/>
      <c r="I31">
        <f>SUM(I7:I29)</f>
        <v>0.99999999999999989</v>
      </c>
      <c r="J31" s="19">
        <f>SUM(J21:J24)</f>
        <v>0.40461926432012485</v>
      </c>
      <c r="K31" s="18"/>
      <c r="L31" s="21">
        <f>SUM(L7:L29)</f>
        <v>1</v>
      </c>
      <c r="M31" s="19">
        <f>SUM(M7:M29)</f>
        <v>0.21482999075656092</v>
      </c>
    </row>
    <row r="32" spans="1:13" x14ac:dyDescent="0.25">
      <c r="F32" s="55"/>
      <c r="G32" s="67"/>
      <c r="H32" s="67"/>
      <c r="I32" s="67"/>
      <c r="J32" s="67"/>
      <c r="K32" s="67"/>
      <c r="L32" s="21"/>
    </row>
    <row r="33" spans="3:12" ht="15.75" x14ac:dyDescent="0.25">
      <c r="F33" s="66"/>
      <c r="G33" s="68"/>
      <c r="H33" s="77"/>
      <c r="I33" s="77"/>
      <c r="J33" s="77"/>
      <c r="K33" s="77"/>
      <c r="L33" s="21"/>
    </row>
    <row r="34" spans="3:12" x14ac:dyDescent="0.25">
      <c r="C34" s="49" t="s">
        <v>68</v>
      </c>
      <c r="E34" s="49" t="s">
        <v>51</v>
      </c>
      <c r="G34" s="67"/>
      <c r="H34" s="67"/>
      <c r="I34" s="69"/>
      <c r="J34" s="69"/>
      <c r="K34" s="69"/>
      <c r="L34" s="21"/>
    </row>
    <row r="35" spans="3:12" x14ac:dyDescent="0.25">
      <c r="C35" t="s">
        <v>28</v>
      </c>
      <c r="E35" s="11">
        <f>SUM(E7:E14,E25:E30)-SUM(F14,F25:F26)</f>
        <v>648.15719051649455</v>
      </c>
      <c r="G35" s="67"/>
      <c r="H35" s="70"/>
      <c r="I35" s="71"/>
      <c r="J35" s="71"/>
      <c r="K35" s="71"/>
      <c r="L35" s="21"/>
    </row>
    <row r="36" spans="3:12" x14ac:dyDescent="0.25">
      <c r="C36" t="s">
        <v>17</v>
      </c>
      <c r="E36" s="11">
        <f>G31</f>
        <v>546.73573129468525</v>
      </c>
      <c r="G36" s="67"/>
      <c r="H36" s="70"/>
      <c r="I36" s="71"/>
      <c r="J36" s="71"/>
      <c r="K36" s="71"/>
      <c r="L36" s="21"/>
    </row>
    <row r="37" spans="3:12" x14ac:dyDescent="0.25">
      <c r="C37" t="s">
        <v>29</v>
      </c>
      <c r="E37" s="11">
        <f>E31-E35</f>
        <v>591.84280948350522</v>
      </c>
      <c r="G37" s="67"/>
      <c r="H37" s="70"/>
      <c r="I37" s="71"/>
      <c r="J37" s="71"/>
      <c r="K37" s="71"/>
      <c r="L37" s="21"/>
    </row>
    <row r="38" spans="3:12" x14ac:dyDescent="0.25">
      <c r="C38" s="16" t="s">
        <v>65</v>
      </c>
      <c r="E38" s="57">
        <f>E35/E31</f>
        <v>0.52270741170685053</v>
      </c>
      <c r="G38" s="67"/>
      <c r="H38" s="70"/>
      <c r="I38" s="71"/>
      <c r="J38" s="71"/>
      <c r="K38" s="71"/>
      <c r="L38" s="21"/>
    </row>
    <row r="39" spans="3:12" x14ac:dyDescent="0.25">
      <c r="G39" s="67"/>
      <c r="H39" s="70"/>
      <c r="I39" s="72"/>
      <c r="J39" s="72"/>
      <c r="K39" s="72"/>
      <c r="L39" s="21"/>
    </row>
    <row r="40" spans="3:12" x14ac:dyDescent="0.25">
      <c r="C40" s="16" t="s">
        <v>67</v>
      </c>
      <c r="E40" s="11">
        <f>E31-F31</f>
        <v>125.53236000000015</v>
      </c>
      <c r="F40" s="55"/>
      <c r="G40" s="67"/>
      <c r="H40" s="67"/>
      <c r="I40" s="67"/>
      <c r="J40" s="67"/>
      <c r="K40" s="67"/>
      <c r="L40" s="21"/>
    </row>
    <row r="41" spans="3:12" x14ac:dyDescent="0.25">
      <c r="G41" s="67"/>
      <c r="H41" s="67"/>
      <c r="I41" s="67"/>
      <c r="J41" s="67"/>
      <c r="K41" s="67"/>
      <c r="L41" s="21"/>
    </row>
    <row r="42" spans="3:12" x14ac:dyDescent="0.25">
      <c r="G42" s="67"/>
      <c r="H42" s="67"/>
      <c r="I42" s="67"/>
      <c r="J42" s="67"/>
      <c r="K42" s="67"/>
      <c r="L42" s="21"/>
    </row>
  </sheetData>
  <mergeCells count="2">
    <mergeCell ref="B5:C5"/>
    <mergeCell ref="H33:K33"/>
  </mergeCells>
  <pageMargins left="0.7" right="0.7" top="0.75" bottom="0.75" header="0.3" footer="0.3"/>
  <pageSetup scale="6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1"/>
  <sheetViews>
    <sheetView workbookViewId="0">
      <selection sqref="A1:C15"/>
    </sheetView>
  </sheetViews>
  <sheetFormatPr defaultRowHeight="15" x14ac:dyDescent="0.25"/>
  <cols>
    <col min="1" max="1" width="9.140625" style="58"/>
    <col min="2" max="2" width="41.28515625" style="58" customWidth="1"/>
    <col min="3" max="16384" width="9.140625" style="58"/>
  </cols>
  <sheetData>
    <row r="1" spans="1:3" x14ac:dyDescent="0.25">
      <c r="A1" s="58" t="str">
        <f>'Typical Install'!B1</f>
        <v>Exhibit AEV - R5 NMS II Updated Avoided Cost Rate Residential</v>
      </c>
    </row>
    <row r="4" spans="1:3" x14ac:dyDescent="0.25">
      <c r="B4" s="78" t="s">
        <v>59</v>
      </c>
      <c r="C4" s="78"/>
    </row>
    <row r="5" spans="1:3" x14ac:dyDescent="0.25">
      <c r="B5" s="58" t="s">
        <v>53</v>
      </c>
      <c r="C5" s="59">
        <v>0.06</v>
      </c>
    </row>
    <row r="6" spans="1:3" x14ac:dyDescent="0.25">
      <c r="B6" s="58" t="s">
        <v>54</v>
      </c>
      <c r="C6" s="59">
        <v>0.4</v>
      </c>
    </row>
    <row r="7" spans="1:3" x14ac:dyDescent="0.25">
      <c r="B7" s="58" t="s">
        <v>55</v>
      </c>
      <c r="C7" s="59">
        <v>0.11</v>
      </c>
    </row>
    <row r="8" spans="1:3" x14ac:dyDescent="0.25">
      <c r="B8" s="58" t="s">
        <v>56</v>
      </c>
      <c r="C8" s="59">
        <v>0.02</v>
      </c>
    </row>
    <row r="9" spans="1:3" x14ac:dyDescent="0.25">
      <c r="B9" s="58" t="s">
        <v>57</v>
      </c>
      <c r="C9" s="59">
        <v>0.03</v>
      </c>
    </row>
    <row r="10" spans="1:3" x14ac:dyDescent="0.25">
      <c r="B10" s="60" t="s">
        <v>58</v>
      </c>
      <c r="C10" s="61">
        <v>0.01</v>
      </c>
    </row>
    <row r="11" spans="1:3" x14ac:dyDescent="0.25">
      <c r="B11" s="58" t="s">
        <v>60</v>
      </c>
      <c r="C11" s="62">
        <f>SUM(C5:C10)</f>
        <v>0.63000000000000012</v>
      </c>
    </row>
  </sheetData>
  <mergeCells count="1">
    <mergeCell ref="B4:C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4"/>
  <sheetViews>
    <sheetView workbookViewId="0">
      <selection activeCell="F11" sqref="F11"/>
    </sheetView>
  </sheetViews>
  <sheetFormatPr defaultRowHeight="15" x14ac:dyDescent="0.25"/>
  <cols>
    <col min="1" max="1" width="13.140625" bestFit="1" customWidth="1"/>
    <col min="2" max="2" width="19.7109375" bestFit="1" customWidth="1"/>
  </cols>
  <sheetData>
    <row r="2" spans="1:7" x14ac:dyDescent="0.25">
      <c r="A2" s="1" t="s">
        <v>0</v>
      </c>
      <c r="B2" t="s">
        <v>52</v>
      </c>
      <c r="C2" t="s">
        <v>2</v>
      </c>
      <c r="D2" t="s">
        <v>3</v>
      </c>
    </row>
    <row r="3" spans="1:7" x14ac:dyDescent="0.25">
      <c r="A3" s="2">
        <v>0</v>
      </c>
      <c r="B3" s="6">
        <v>-4.9801000000000123E-2</v>
      </c>
      <c r="C3">
        <v>11</v>
      </c>
      <c r="D3" t="s">
        <v>4</v>
      </c>
    </row>
    <row r="4" spans="1:7" x14ac:dyDescent="0.25">
      <c r="A4" s="2">
        <v>1</v>
      </c>
      <c r="B4" s="6">
        <v>-4.9801000000000123E-2</v>
      </c>
      <c r="C4" t="s">
        <v>5</v>
      </c>
      <c r="D4">
        <v>1</v>
      </c>
      <c r="E4" t="s">
        <v>6</v>
      </c>
      <c r="F4" t="s">
        <v>12</v>
      </c>
    </row>
    <row r="5" spans="1:7" x14ac:dyDescent="0.25">
      <c r="A5" s="2">
        <v>2</v>
      </c>
      <c r="B5" s="6">
        <v>-4.9801000000000123E-2</v>
      </c>
      <c r="C5" s="4">
        <v>1</v>
      </c>
      <c r="D5">
        <v>2</v>
      </c>
      <c r="E5" t="s">
        <v>6</v>
      </c>
    </row>
    <row r="6" spans="1:7" x14ac:dyDescent="0.25">
      <c r="A6" s="2">
        <v>3</v>
      </c>
      <c r="B6" s="6">
        <v>-4.9801000000000123E-2</v>
      </c>
      <c r="C6" s="4">
        <v>2</v>
      </c>
      <c r="D6">
        <v>3</v>
      </c>
      <c r="E6" t="s">
        <v>6</v>
      </c>
    </row>
    <row r="7" spans="1:7" x14ac:dyDescent="0.25">
      <c r="A7" s="2">
        <v>4</v>
      </c>
      <c r="B7" s="6">
        <v>-4.9801000000000123E-2</v>
      </c>
      <c r="C7" s="4">
        <v>3</v>
      </c>
      <c r="D7">
        <v>4</v>
      </c>
      <c r="E7" t="s">
        <v>6</v>
      </c>
    </row>
    <row r="8" spans="1:7" x14ac:dyDescent="0.25">
      <c r="A8" s="2">
        <v>5</v>
      </c>
      <c r="B8" s="6">
        <v>-4.9801000000000123E-2</v>
      </c>
      <c r="C8" s="4">
        <v>4</v>
      </c>
      <c r="D8">
        <v>5</v>
      </c>
      <c r="E8" t="s">
        <v>6</v>
      </c>
    </row>
    <row r="9" spans="1:7" x14ac:dyDescent="0.25">
      <c r="A9" s="2">
        <v>6</v>
      </c>
      <c r="B9" s="6">
        <v>-4.9801000000000123E-2</v>
      </c>
      <c r="C9" s="4">
        <v>5</v>
      </c>
      <c r="D9">
        <v>6</v>
      </c>
      <c r="E9" t="s">
        <v>6</v>
      </c>
      <c r="F9" s="17"/>
      <c r="G9" s="17"/>
    </row>
    <row r="10" spans="1:7" x14ac:dyDescent="0.25">
      <c r="A10" s="2">
        <v>7</v>
      </c>
      <c r="B10" s="6">
        <v>-2.5770685176646067E-2</v>
      </c>
      <c r="C10" s="4">
        <v>6</v>
      </c>
      <c r="D10">
        <v>7</v>
      </c>
      <c r="E10" t="s">
        <v>6</v>
      </c>
      <c r="F10" s="17"/>
      <c r="G10" s="17"/>
    </row>
    <row r="11" spans="1:7" x14ac:dyDescent="0.25">
      <c r="A11" s="2">
        <v>8</v>
      </c>
      <c r="B11" s="6">
        <v>0.49000631551011437</v>
      </c>
      <c r="C11" s="4">
        <v>7</v>
      </c>
      <c r="D11">
        <v>8</v>
      </c>
      <c r="E11" t="s">
        <v>6</v>
      </c>
      <c r="F11" s="17">
        <f>B11/$B$28</f>
        <v>4.6292627079877408E-3</v>
      </c>
      <c r="G11" s="17"/>
    </row>
    <row r="12" spans="1:7" x14ac:dyDescent="0.25">
      <c r="A12" s="2">
        <v>9</v>
      </c>
      <c r="B12" s="6">
        <v>2.5241207856185883</v>
      </c>
      <c r="C12" s="53">
        <v>8</v>
      </c>
      <c r="D12" s="21">
        <v>9</v>
      </c>
      <c r="E12" t="s">
        <v>6</v>
      </c>
      <c r="F12" s="17">
        <f t="shared" ref="F12:F22" si="0">B12/$B$28</f>
        <v>2.3846260453105651E-2</v>
      </c>
      <c r="G12" s="17"/>
    </row>
    <row r="13" spans="1:7" x14ac:dyDescent="0.25">
      <c r="A13" s="2">
        <v>10</v>
      </c>
      <c r="B13" s="6">
        <v>6.3639752266886882</v>
      </c>
      <c r="C13" s="53">
        <v>9</v>
      </c>
      <c r="D13" s="21">
        <v>10</v>
      </c>
      <c r="E13" t="s">
        <v>6</v>
      </c>
      <c r="F13" s="17">
        <f t="shared" si="0"/>
        <v>6.0122721399617697E-2</v>
      </c>
      <c r="G13" s="17"/>
    </row>
    <row r="14" spans="1:7" x14ac:dyDescent="0.25">
      <c r="A14" s="2">
        <v>11</v>
      </c>
      <c r="B14" s="6">
        <v>10.057077840897705</v>
      </c>
      <c r="C14" s="53">
        <v>10</v>
      </c>
      <c r="D14" s="21">
        <v>11</v>
      </c>
      <c r="E14" t="s">
        <v>6</v>
      </c>
      <c r="F14" s="17">
        <f t="shared" si="0"/>
        <v>9.5012766012475242E-2</v>
      </c>
      <c r="G14" s="17"/>
    </row>
    <row r="15" spans="1:7" x14ac:dyDescent="0.25">
      <c r="A15" s="2">
        <v>12</v>
      </c>
      <c r="B15" s="6">
        <v>12.626284657691633</v>
      </c>
      <c r="C15" s="53">
        <v>11</v>
      </c>
      <c r="D15" s="21">
        <v>12</v>
      </c>
      <c r="E15" t="s">
        <v>6</v>
      </c>
      <c r="F15" s="17">
        <f t="shared" si="0"/>
        <v>0.11928497012419249</v>
      </c>
      <c r="G15" s="17"/>
    </row>
    <row r="16" spans="1:7" x14ac:dyDescent="0.25">
      <c r="A16" s="2">
        <v>13</v>
      </c>
      <c r="B16" s="6">
        <v>13.742277806986834</v>
      </c>
      <c r="C16" s="21">
        <v>12</v>
      </c>
      <c r="D16" s="21">
        <v>1</v>
      </c>
      <c r="E16" t="s">
        <v>7</v>
      </c>
      <c r="F16" s="17">
        <f t="shared" si="0"/>
        <v>0.12982815151772994</v>
      </c>
      <c r="G16" s="17"/>
    </row>
    <row r="17" spans="1:7" x14ac:dyDescent="0.25">
      <c r="A17" s="2">
        <v>14</v>
      </c>
      <c r="B17" s="6">
        <v>14.015384550811728</v>
      </c>
      <c r="C17" s="21">
        <v>1</v>
      </c>
      <c r="D17" s="21">
        <v>2</v>
      </c>
      <c r="E17" t="s">
        <v>7</v>
      </c>
      <c r="F17" s="17">
        <f t="shared" si="0"/>
        <v>0.13240828737408594</v>
      </c>
      <c r="G17" s="17"/>
    </row>
    <row r="18" spans="1:7" x14ac:dyDescent="0.25">
      <c r="A18" s="2">
        <v>15</v>
      </c>
      <c r="B18" s="6">
        <v>13.859830114251844</v>
      </c>
      <c r="C18" s="21">
        <v>2</v>
      </c>
      <c r="D18" s="21">
        <v>3</v>
      </c>
      <c r="E18" t="s">
        <v>7</v>
      </c>
      <c r="F18" s="17">
        <f t="shared" si="0"/>
        <v>0.13093870967797183</v>
      </c>
      <c r="G18" s="17"/>
    </row>
    <row r="19" spans="1:7" x14ac:dyDescent="0.25">
      <c r="A19" s="2">
        <v>16</v>
      </c>
      <c r="B19" s="6">
        <v>12.587566244849254</v>
      </c>
      <c r="C19" s="21">
        <v>3</v>
      </c>
      <c r="D19" s="21">
        <v>4</v>
      </c>
      <c r="E19" t="s">
        <v>7</v>
      </c>
      <c r="F19" s="17">
        <f t="shared" si="0"/>
        <v>0.11891918360469202</v>
      </c>
      <c r="G19" s="17"/>
    </row>
    <row r="20" spans="1:7" x14ac:dyDescent="0.25">
      <c r="A20" s="2">
        <v>17</v>
      </c>
      <c r="B20" s="6">
        <v>9.9825215634605602</v>
      </c>
      <c r="C20" s="21">
        <v>4</v>
      </c>
      <c r="D20" s="21">
        <v>5</v>
      </c>
      <c r="E20" t="s">
        <v>7</v>
      </c>
      <c r="F20" s="17">
        <f t="shared" si="0"/>
        <v>9.4308406530032945E-2</v>
      </c>
      <c r="G20" s="17"/>
    </row>
    <row r="21" spans="1:7" x14ac:dyDescent="0.25">
      <c r="A21" s="2">
        <v>18</v>
      </c>
      <c r="B21" s="6">
        <v>6.3903309311634882</v>
      </c>
      <c r="C21" s="21">
        <v>5</v>
      </c>
      <c r="D21" s="21">
        <v>6</v>
      </c>
      <c r="E21" t="s">
        <v>7</v>
      </c>
      <c r="F21" s="17">
        <f t="shared" si="0"/>
        <v>6.0371713047288451E-2</v>
      </c>
      <c r="G21" s="17"/>
    </row>
    <row r="22" spans="1:7" x14ac:dyDescent="0.25">
      <c r="A22" s="2">
        <v>19</v>
      </c>
      <c r="B22" s="6">
        <v>2.66506643289858</v>
      </c>
      <c r="C22">
        <v>6</v>
      </c>
      <c r="D22">
        <v>7</v>
      </c>
      <c r="E22" t="s">
        <v>7</v>
      </c>
      <c r="F22" s="17">
        <f t="shared" si="0"/>
        <v>2.5177823757809612E-2</v>
      </c>
      <c r="G22" s="17"/>
    </row>
    <row r="23" spans="1:7" x14ac:dyDescent="0.25">
      <c r="A23" s="2">
        <v>20</v>
      </c>
      <c r="B23" s="6">
        <v>0.54531080945336363</v>
      </c>
      <c r="C23">
        <v>7</v>
      </c>
      <c r="D23">
        <v>8</v>
      </c>
      <c r="E23" t="s">
        <v>7</v>
      </c>
      <c r="F23" s="17">
        <f>B23/$B$28</f>
        <v>5.1517437930102732E-3</v>
      </c>
      <c r="G23" s="17"/>
    </row>
    <row r="24" spans="1:7" x14ac:dyDescent="0.25">
      <c r="A24" s="2">
        <v>21</v>
      </c>
      <c r="B24" s="6">
        <v>-5.9105814011405624E-3</v>
      </c>
      <c r="C24">
        <v>8</v>
      </c>
      <c r="D24">
        <v>9</v>
      </c>
      <c r="E24" t="s">
        <v>7</v>
      </c>
    </row>
    <row r="25" spans="1:7" x14ac:dyDescent="0.25">
      <c r="A25" s="2">
        <v>22</v>
      </c>
      <c r="B25" s="6">
        <v>-4.9801000000000123E-2</v>
      </c>
      <c r="C25">
        <v>9</v>
      </c>
      <c r="D25">
        <v>10</v>
      </c>
      <c r="E25" t="s">
        <v>7</v>
      </c>
    </row>
    <row r="26" spans="1:7" x14ac:dyDescent="0.25">
      <c r="A26" s="2">
        <v>23</v>
      </c>
      <c r="B26" s="6">
        <v>-4.9801000000000123E-2</v>
      </c>
      <c r="C26">
        <v>10</v>
      </c>
      <c r="D26">
        <v>11</v>
      </c>
      <c r="E26" t="s">
        <v>7</v>
      </c>
    </row>
    <row r="27" spans="1:7" x14ac:dyDescent="0.25">
      <c r="A27" s="2" t="s">
        <v>1</v>
      </c>
      <c r="B27" s="6">
        <v>4.3904109589041704</v>
      </c>
    </row>
    <row r="28" spans="1:7" x14ac:dyDescent="0.25">
      <c r="B28" s="6">
        <f>SUM(B11:B23)</f>
        <v>105.8497532802824</v>
      </c>
    </row>
    <row r="30" spans="1:7" x14ac:dyDescent="0.25">
      <c r="B30" s="5"/>
    </row>
    <row r="31" spans="1:7" x14ac:dyDescent="0.25">
      <c r="B31" s="3"/>
    </row>
    <row r="32" spans="1:7" x14ac:dyDescent="0.25">
      <c r="B32" s="3"/>
    </row>
    <row r="33" spans="2:2" x14ac:dyDescent="0.25">
      <c r="B33" s="3"/>
    </row>
    <row r="34" spans="2:2" x14ac:dyDescent="0.25">
      <c r="B34" s="3"/>
    </row>
    <row r="35" spans="2:2" x14ac:dyDescent="0.25">
      <c r="B35" s="3"/>
    </row>
    <row r="36" spans="2:2" x14ac:dyDescent="0.25">
      <c r="B36" s="3"/>
    </row>
    <row r="37" spans="2:2" x14ac:dyDescent="0.25">
      <c r="B37" s="3"/>
    </row>
    <row r="38" spans="2:2" x14ac:dyDescent="0.25">
      <c r="B38" s="3"/>
    </row>
    <row r="39" spans="2:2" x14ac:dyDescent="0.25">
      <c r="B39" s="3"/>
    </row>
    <row r="40" spans="2:2" x14ac:dyDescent="0.25">
      <c r="B40" s="3"/>
    </row>
    <row r="41" spans="2:2" x14ac:dyDescent="0.25">
      <c r="B41" s="3"/>
    </row>
    <row r="42" spans="2:2" x14ac:dyDescent="0.25">
      <c r="B42" s="3"/>
    </row>
    <row r="43" spans="2:2" x14ac:dyDescent="0.25">
      <c r="B43" s="3"/>
    </row>
    <row r="44" spans="2:2" x14ac:dyDescent="0.25">
      <c r="B44" s="3"/>
    </row>
    <row r="45" spans="2:2" x14ac:dyDescent="0.25">
      <c r="B45" s="3"/>
    </row>
    <row r="46" spans="2:2" x14ac:dyDescent="0.25">
      <c r="B46" s="3"/>
    </row>
    <row r="47" spans="2:2" x14ac:dyDescent="0.25">
      <c r="B47" s="3"/>
    </row>
    <row r="48" spans="2:2" x14ac:dyDescent="0.25">
      <c r="B48" s="3"/>
    </row>
    <row r="49" spans="2:2" x14ac:dyDescent="0.25">
      <c r="B49" s="3"/>
    </row>
    <row r="50" spans="2:2" x14ac:dyDescent="0.25">
      <c r="B50" s="3"/>
    </row>
    <row r="51" spans="2:2" x14ac:dyDescent="0.25">
      <c r="B51" s="3"/>
    </row>
    <row r="52" spans="2:2" x14ac:dyDescent="0.25">
      <c r="B52" s="3"/>
    </row>
    <row r="53" spans="2:2" x14ac:dyDescent="0.25">
      <c r="B53" s="3"/>
    </row>
    <row r="54" spans="2:2" x14ac:dyDescent="0.25">
      <c r="B54" s="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autoSelectedSuggestion">
  <element uid="936e22d5-45a7-4cb7-95ab-1aa8c7c88789" value=""/>
  <element uid="c64218ab-b8d1-40b6-a478-cb8be1e10ecc" value=""/>
</sisl>
</file>

<file path=customXml/itemProps1.xml><?xml version="1.0" encoding="utf-8"?>
<ds:datastoreItem xmlns:ds="http://schemas.openxmlformats.org/officeDocument/2006/customXml" ds:itemID="{5C0F4FDE-D3F5-4221-89CD-61A08A0AF126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Excess Gen Price</vt:lpstr>
      <vt:lpstr>Typical Install</vt:lpstr>
      <vt:lpstr>Ancillaries</vt:lpstr>
      <vt:lpstr>Solar Pivot</vt:lpstr>
      <vt:lpstr>Ancillaries!Print_Area</vt:lpstr>
      <vt:lpstr>'Excess Gen Price'!Print_Area</vt:lpstr>
      <vt:lpstr>'Typical Install'!Print_Area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AEP</dc:creator>
  <cp:keywords/>
  <cp:lastModifiedBy>s207409</cp:lastModifiedBy>
  <cp:lastPrinted>2019-05-17T17:55:35Z</cp:lastPrinted>
  <dcterms:created xsi:type="dcterms:W3CDTF">2017-11-01T11:07:54Z</dcterms:created>
  <dcterms:modified xsi:type="dcterms:W3CDTF">2021-03-26T16:08:15Z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{B67B9226-4F62-404A-A82A-B00EF9C61EB3}</vt:lpwstr>
  </property>
  <property fmtid="{D5CDD505-2E9C-101B-9397-08002B2CF9AE}" pid="3" name="docIndexRef">
    <vt:lpwstr>427fd371-c7a2-4f7e-8f1c-9ae54a3b93e4</vt:lpwstr>
  </property>
  <property fmtid="{D5CDD505-2E9C-101B-9397-08002B2CF9AE}" pid="4" name="bjSaver">
    <vt:lpwstr>H74XOok3ZfiZaM3FfUBDx/p0prfgynmD</vt:lpwstr>
  </property>
  <property fmtid="{D5CDD505-2E9C-101B-9397-08002B2CF9AE}" pid="5" name="bjDocumentSecurityLabel">
    <vt:lpwstr>Uncategorized</vt:lpwstr>
  </property>
  <property fmtid="{D5CDD505-2E9C-101B-9397-08002B2CF9AE}" pid="6" name="bjDocumentLabelXML">
    <vt:lpwstr>&lt;?xml version="1.0" encoding="us-ascii"?&gt;&lt;sisl xmlns:xsi="http://www.w3.org/2001/XMLSchema-instance" xmlns:xsd="http://www.w3.org/2001/XMLSchema" sislVersion="0" policy="e9c0b8d7-bdb4-4fd3-b62a-f50327aaefce" origin="autoSelectedSuggestion" xmlns="http://w</vt:lpwstr>
  </property>
  <property fmtid="{D5CDD505-2E9C-101B-9397-08002B2CF9AE}" pid="7" name="bjDocumentLabelXML-0">
    <vt:lpwstr>ww.boldonjames.com/2008/01/sie/internal/label"&gt;&lt;element uid="936e22d5-45a7-4cb7-95ab-1aa8c7c88789" value="" /&gt;&lt;element uid="c64218ab-b8d1-40b6-a478-cb8be1e10ecc" value="" /&gt;&lt;/sisl&gt;</vt:lpwstr>
  </property>
  <property fmtid="{D5CDD505-2E9C-101B-9397-08002B2CF9AE}" pid="8" name="Visual Markings Removed">
    <vt:lpwstr>No</vt:lpwstr>
  </property>
</Properties>
</file>