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207409\Desktop\KPCo WFH2020\Base Case\Discovery\Staff Set 5\"/>
    </mc:Choice>
  </mc:AlternateContent>
  <bookViews>
    <workbookView xWindow="0" yWindow="0" windowWidth="24000" windowHeight="9600"/>
  </bookViews>
  <sheets>
    <sheet name="OL Rate Design" sheetId="15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'OL Rate Design'!$A$1:$Q$56</definedName>
  </definedNames>
  <calcPr calcId="162913" iterate="1"/>
</workbook>
</file>

<file path=xl/calcChain.xml><?xml version="1.0" encoding="utf-8"?>
<calcChain xmlns="http://schemas.openxmlformats.org/spreadsheetml/2006/main">
  <c r="H17" i="15" l="1"/>
  <c r="C16" i="15"/>
  <c r="N12" i="15"/>
  <c r="K16" i="15"/>
  <c r="M16" i="15"/>
  <c r="M13" i="15" l="1"/>
  <c r="M14" i="15"/>
  <c r="M15" i="15"/>
  <c r="M17" i="15"/>
  <c r="M18" i="15"/>
  <c r="M12" i="15"/>
  <c r="J12" i="15"/>
  <c r="K12" i="15"/>
  <c r="C12" i="15"/>
  <c r="C18" i="15"/>
  <c r="C17" i="15"/>
  <c r="G17" i="15" s="1"/>
  <c r="K13" i="15"/>
  <c r="K14" i="15"/>
  <c r="K15" i="15"/>
  <c r="K17" i="15"/>
  <c r="K18" i="15"/>
  <c r="C32" i="15"/>
  <c r="C15" i="15"/>
  <c r="C14" i="15"/>
  <c r="G14" i="15" s="1"/>
  <c r="Q14" i="15" s="1"/>
  <c r="C13" i="15"/>
  <c r="C48" i="15"/>
  <c r="D18" i="15" s="1"/>
  <c r="C46" i="15"/>
  <c r="L18" i="15" s="1"/>
  <c r="C44" i="15"/>
  <c r="L17" i="15" s="1"/>
  <c r="C43" i="15"/>
  <c r="C41" i="15"/>
  <c r="L14" i="15" s="1"/>
  <c r="C39" i="15"/>
  <c r="L13" i="15" s="1"/>
  <c r="N13" i="15" s="1"/>
  <c r="O13" i="15" s="1"/>
  <c r="C37" i="15"/>
  <c r="D12" i="15" s="1"/>
  <c r="F12" i="15" s="1"/>
  <c r="H12" i="15" s="1"/>
  <c r="G12" i="15"/>
  <c r="G15" i="15" l="1"/>
  <c r="N17" i="15"/>
  <c r="O17" i="15" s="1"/>
  <c r="Q17" i="15"/>
  <c r="G13" i="15"/>
  <c r="L12" i="15"/>
  <c r="O12" i="15" s="1"/>
  <c r="P12" i="15" s="1"/>
  <c r="Q15" i="15"/>
  <c r="G16" i="15"/>
  <c r="Q16" i="15" s="1"/>
  <c r="F18" i="15"/>
  <c r="H18" i="15" s="1"/>
  <c r="D16" i="15"/>
  <c r="F16" i="15" s="1"/>
  <c r="H16" i="15" s="1"/>
  <c r="L16" i="15"/>
  <c r="N16" i="15" s="1"/>
  <c r="O16" i="15" s="1"/>
  <c r="D14" i="15"/>
  <c r="F14" i="15" s="1"/>
  <c r="H14" i="15" s="1"/>
  <c r="N14" i="15"/>
  <c r="O14" i="15" s="1"/>
  <c r="P14" i="15" s="1"/>
  <c r="N18" i="15"/>
  <c r="O18" i="15" s="1"/>
  <c r="Q12" i="15"/>
  <c r="Q13" i="15"/>
  <c r="G18" i="15"/>
  <c r="Q18" i="15" s="1"/>
  <c r="D13" i="15"/>
  <c r="F13" i="15" s="1"/>
  <c r="H13" i="15" s="1"/>
  <c r="P13" i="15" s="1"/>
  <c r="D15" i="15"/>
  <c r="F15" i="15" s="1"/>
  <c r="H15" i="15" s="1"/>
  <c r="D17" i="15"/>
  <c r="F17" i="15" s="1"/>
  <c r="P17" i="15" s="1"/>
  <c r="L15" i="15"/>
  <c r="N15" i="15" s="1"/>
  <c r="O15" i="15" s="1"/>
  <c r="P16" i="15" l="1"/>
  <c r="P18" i="15"/>
  <c r="P15" i="15"/>
</calcChain>
</file>

<file path=xl/sharedStrings.xml><?xml version="1.0" encoding="utf-8"?>
<sst xmlns="http://schemas.openxmlformats.org/spreadsheetml/2006/main" count="136" uniqueCount="90">
  <si>
    <t>Annual</t>
  </si>
  <si>
    <t>Monthly</t>
  </si>
  <si>
    <t>(1)</t>
  </si>
  <si>
    <t>(2)</t>
  </si>
  <si>
    <t xml:space="preserve"> </t>
  </si>
  <si>
    <t>($)</t>
  </si>
  <si>
    <t>Lamp Type</t>
  </si>
  <si>
    <t>Cost</t>
  </si>
  <si>
    <t>&amp; Size</t>
  </si>
  <si>
    <t>(3)=(2)*CC</t>
  </si>
  <si>
    <t>(4)</t>
  </si>
  <si>
    <t>Fixed Cost CC Rate</t>
  </si>
  <si>
    <t>Return</t>
  </si>
  <si>
    <t>Depreciation</t>
  </si>
  <si>
    <t>F.I.T.</t>
  </si>
  <si>
    <t>Prop. Tax, A&amp;G</t>
  </si>
  <si>
    <t>Annual Total</t>
  </si>
  <si>
    <t>Monthly Total</t>
  </si>
  <si>
    <t>Lights</t>
  </si>
  <si>
    <t>TOTAL</t>
  </si>
  <si>
    <t xml:space="preserve"> Fac. &amp; Mtc.</t>
  </si>
  <si>
    <t>Facility Cost</t>
  </si>
  <si>
    <t>Installed Cost</t>
  </si>
  <si>
    <t>Estimated</t>
  </si>
  <si>
    <t>Maintenance</t>
  </si>
  <si>
    <t>(6)=(4)/(5)</t>
  </si>
  <si>
    <t>(7)=(6)/12</t>
  </si>
  <si>
    <t>(8)=(3)+(7)</t>
  </si>
  <si>
    <t>Light Emitting Diode (LED)</t>
  </si>
  <si>
    <t>55W LED OH</t>
  </si>
  <si>
    <t>100W LED OH</t>
  </si>
  <si>
    <t>175W LED OH</t>
  </si>
  <si>
    <t>300W LED OH</t>
  </si>
  <si>
    <t>65W LED Postop UG</t>
  </si>
  <si>
    <t>175W LED Flood OH</t>
  </si>
  <si>
    <t>265W LED Flood OH</t>
  </si>
  <si>
    <t>CD_CU</t>
  </si>
  <si>
    <t>CU_INSTALL_EST_COST</t>
  </si>
  <si>
    <t>GND-LG-AL</t>
  </si>
  <si>
    <t>SLB-W-8-S-1-S</t>
  </si>
  <si>
    <t>LTP-ED-F-17-R-BKS</t>
  </si>
  <si>
    <t xml:space="preserve">Removal </t>
  </si>
  <si>
    <t>PER_HR_RATE</t>
  </si>
  <si>
    <t>TRANSPOH</t>
  </si>
  <si>
    <t>STORESOH</t>
  </si>
  <si>
    <t>LABOROH</t>
  </si>
  <si>
    <t>ADMINOH</t>
  </si>
  <si>
    <t>MATL_COST</t>
  </si>
  <si>
    <t>CU_HR_LBR</t>
  </si>
  <si>
    <t>265W LED OH</t>
  </si>
  <si>
    <t>Original</t>
  </si>
  <si>
    <t xml:space="preserve">Supplemental </t>
  </si>
  <si>
    <t>(2S)</t>
  </si>
  <si>
    <t xml:space="preserve">Revised </t>
  </si>
  <si>
    <t xml:space="preserve">Estimated </t>
  </si>
  <si>
    <t>(2RS)</t>
  </si>
  <si>
    <t>LTD-AFSHA</t>
  </si>
  <si>
    <t>UG light fuse holder</t>
  </si>
  <si>
    <t>LTD-AFSC10</t>
  </si>
  <si>
    <t>UG light fuse</t>
  </si>
  <si>
    <t>Light ground lug</t>
  </si>
  <si>
    <t xml:space="preserve">Life </t>
  </si>
  <si>
    <t>(Years)</t>
  </si>
  <si>
    <t>(5)</t>
  </si>
  <si>
    <t>Revised</t>
  </si>
  <si>
    <t>(3RS)=(2RS)*CC</t>
  </si>
  <si>
    <t xml:space="preserve"> Estimated</t>
  </si>
  <si>
    <t>Installed Cost Changes</t>
  </si>
  <si>
    <t>Supplemental</t>
  </si>
  <si>
    <t>ADDITIONAL COSTS AND ASSUMPTIONS</t>
  </si>
  <si>
    <t>See Supplemental Install Cost Changes</t>
  </si>
  <si>
    <t>(6RS)=(4RS)/(5)</t>
  </si>
  <si>
    <t>(8RS)=(3RS)+(7RS)</t>
  </si>
  <si>
    <t>SLB-W-4-S-1-S</t>
  </si>
  <si>
    <t>Tenon 8" Light Bracket</t>
  </si>
  <si>
    <t>(7RS)=(6RS)/12</t>
  </si>
  <si>
    <t>(4RS)X Failure Rate</t>
  </si>
  <si>
    <t>Additional Materials Required</t>
  </si>
  <si>
    <t>Estimated failure rate until Company gains experience:</t>
  </si>
  <si>
    <t>Material Cost</t>
  </si>
  <si>
    <t>Material Name</t>
  </si>
  <si>
    <t>Pole -Black 20' Above Ground Capped Top</t>
  </si>
  <si>
    <t>Pole -17 fiberglass pole</t>
  </si>
  <si>
    <t>(Installed Cost- Material Cost) &amp; Revised Streetlight Arm</t>
  </si>
  <si>
    <t xml:space="preserve">(Installed Cost- Material Cost) &amp; Flood Lighting Material Reductions for OH </t>
  </si>
  <si>
    <t xml:space="preserve"> Light 8' Arm</t>
  </si>
  <si>
    <t xml:space="preserve"> Light 4' Arm</t>
  </si>
  <si>
    <t>11-Yr Inv Life</t>
  </si>
  <si>
    <t xml:space="preserve">65W LED Postop </t>
  </si>
  <si>
    <t>Updated LED OL Installed Cost and Facility Charge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</si>
</sst>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77" formatCode="0.000%"/>
    <numFmt numFmtId="189" formatCode="0.0000000000"/>
    <numFmt numFmtId="217" formatCode="_([$$-409]* #,##0.00_);_([$$-409]* \(#,##0.00\);_([$$-409]* &quot;-&quot;??_);_(@_)"/>
  </numFmts>
  <fonts count="13">
    <font>
      <sz val="10"/>
      <name val="Arial"/>
    </font>
    <font>
      <sz val="12"/>
      <name val="Arial MT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3" fillId="0" borderId="0"/>
    <xf numFmtId="165" fontId="1" fillId="0" borderId="0"/>
    <xf numFmtId="189" fontId="2" fillId="0" borderId="0"/>
  </cellStyleXfs>
  <cellXfs count="95">
    <xf numFmtId="0" fontId="0" fillId="0" borderId="0" xfId="0" applyAlignment="1"/>
    <xf numFmtId="0" fontId="4" fillId="0" borderId="0" xfId="0" applyFont="1" applyFill="1" applyAlignment="1"/>
    <xf numFmtId="0" fontId="5" fillId="0" borderId="0" xfId="3" applyNumberFormat="1" applyFont="1" applyFill="1" applyAlignment="1" applyProtection="1">
      <protection locked="0"/>
    </xf>
    <xf numFmtId="0" fontId="6" fillId="0" borderId="0" xfId="3" applyNumberFormat="1" applyFont="1" applyFill="1" applyBorder="1" applyAlignment="1">
      <alignment horizontal="center"/>
    </xf>
    <xf numFmtId="0" fontId="5" fillId="0" borderId="0" xfId="3" quotePrefix="1" applyNumberFormat="1" applyFont="1" applyFill="1" applyBorder="1" applyAlignment="1">
      <alignment horizontal="center"/>
    </xf>
    <xf numFmtId="0" fontId="5" fillId="0" borderId="0" xfId="3" applyNumberFormat="1" applyFont="1" applyFill="1" applyBorder="1"/>
    <xf numFmtId="164" fontId="5" fillId="0" borderId="0" xfId="3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7" fillId="0" borderId="0" xfId="0" applyFont="1" applyFill="1" applyAlignment="1"/>
    <xf numFmtId="0" fontId="7" fillId="0" borderId="0" xfId="3" applyNumberFormat="1" applyFont="1" applyFill="1"/>
    <xf numFmtId="0" fontId="7" fillId="0" borderId="0" xfId="3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3" applyNumberFormat="1" applyFont="1" applyFill="1" applyAlignment="1" applyProtection="1">
      <alignment horizontal="center"/>
      <protection locked="0"/>
    </xf>
    <xf numFmtId="0" fontId="9" fillId="0" borderId="0" xfId="3" applyNumberFormat="1" applyFont="1" applyFill="1" applyBorder="1" applyAlignment="1">
      <alignment horizontal="center"/>
    </xf>
    <xf numFmtId="0" fontId="9" fillId="0" borderId="0" xfId="3" applyNumberFormat="1" applyFont="1" applyFill="1" applyAlignment="1">
      <alignment horizontal="center"/>
    </xf>
    <xf numFmtId="0" fontId="9" fillId="0" borderId="0" xfId="3" applyNumberFormat="1" applyFont="1" applyFill="1" applyBorder="1" applyAlignment="1"/>
    <xf numFmtId="49" fontId="7" fillId="0" borderId="0" xfId="3" quotePrefix="1" applyNumberFormat="1" applyFont="1" applyFill="1" applyBorder="1" applyAlignment="1">
      <alignment horizontal="center"/>
    </xf>
    <xf numFmtId="0" fontId="7" fillId="0" borderId="0" xfId="3" applyNumberFormat="1" applyFont="1" applyFill="1" applyBorder="1" applyAlignment="1">
      <alignment horizontal="center"/>
    </xf>
    <xf numFmtId="0" fontId="7" fillId="0" borderId="0" xfId="3" quotePrefix="1" applyNumberFormat="1" applyFont="1" applyFill="1" applyBorder="1" applyAlignment="1">
      <alignment horizontal="center"/>
    </xf>
    <xf numFmtId="164" fontId="7" fillId="0" borderId="0" xfId="3" applyNumberFormat="1" applyFont="1" applyFill="1" applyAlignment="1"/>
    <xf numFmtId="0" fontId="12" fillId="0" borderId="0" xfId="0" applyFont="1" applyFill="1" applyAlignment="1"/>
    <xf numFmtId="0" fontId="7" fillId="0" borderId="0" xfId="3" applyNumberFormat="1" applyFont="1" applyFill="1" applyBorder="1"/>
    <xf numFmtId="0" fontId="7" fillId="0" borderId="0" xfId="0" quotePrefix="1" applyFont="1" applyFill="1" applyAlignment="1">
      <alignment horizontal="center"/>
    </xf>
    <xf numFmtId="0" fontId="9" fillId="0" borderId="0" xfId="0" applyNumberFormat="1" applyFont="1" applyFill="1" applyAlignment="1"/>
    <xf numFmtId="164" fontId="7" fillId="0" borderId="0" xfId="0" applyNumberFormat="1" applyFont="1" applyFill="1" applyAlignment="1">
      <alignment horizontal="center" vertical="center"/>
    </xf>
    <xf numFmtId="0" fontId="7" fillId="0" borderId="0" xfId="3" applyNumberFormat="1" applyFont="1" applyFill="1" applyAlignment="1" applyProtection="1">
      <protection locked="0"/>
    </xf>
    <xf numFmtId="0" fontId="7" fillId="0" borderId="0" xfId="0" applyNumberFormat="1" applyFont="1" applyFill="1" applyAlignment="1"/>
    <xf numFmtId="164" fontId="7" fillId="0" borderId="0" xfId="3" applyNumberFormat="1" applyFont="1" applyFill="1" applyAlignment="1">
      <alignment horizontal="center"/>
    </xf>
    <xf numFmtId="0" fontId="7" fillId="0" borderId="0" xfId="3" applyNumberFormat="1" applyFont="1" applyFill="1" applyAlignment="1">
      <alignment horizontal="center"/>
    </xf>
    <xf numFmtId="1" fontId="7" fillId="0" borderId="0" xfId="3" applyNumberFormat="1" applyFont="1" applyFill="1" applyAlignment="1">
      <alignment horizontal="center"/>
    </xf>
    <xf numFmtId="164" fontId="7" fillId="0" borderId="0" xfId="3" applyNumberFormat="1" applyFont="1" applyFill="1" applyAlignment="1">
      <alignment horizontal="right"/>
    </xf>
    <xf numFmtId="164" fontId="7" fillId="0" borderId="0" xfId="3" applyNumberFormat="1" applyFont="1" applyFill="1" applyBorder="1" applyAlignment="1">
      <alignment horizontal="right"/>
    </xf>
    <xf numFmtId="164" fontId="7" fillId="0" borderId="0" xfId="3" applyNumberFormat="1" applyFont="1" applyFill="1" applyAlignment="1">
      <alignment horizontal="center" vertical="center"/>
    </xf>
    <xf numFmtId="0" fontId="7" fillId="0" borderId="0" xfId="4" quotePrefix="1" applyNumberFormat="1" applyFont="1" applyFill="1" applyAlignment="1" applyProtection="1">
      <alignment horizontal="center"/>
      <protection locked="0"/>
    </xf>
    <xf numFmtId="0" fontId="7" fillId="0" borderId="0" xfId="4" applyNumberFormat="1" applyFont="1" applyFill="1" applyAlignment="1"/>
    <xf numFmtId="0" fontId="7" fillId="0" borderId="1" xfId="3" applyNumberFormat="1" applyFont="1" applyFill="1" applyBorder="1"/>
    <xf numFmtId="0" fontId="10" fillId="0" borderId="1" xfId="3" applyNumberFormat="1" applyFont="1" applyFill="1" applyBorder="1" applyAlignment="1">
      <alignment horizontal="right"/>
    </xf>
    <xf numFmtId="0" fontId="7" fillId="0" borderId="1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Alignment="1">
      <alignment horizontal="left"/>
    </xf>
    <xf numFmtId="0" fontId="7" fillId="0" borderId="0" xfId="3" applyNumberFormat="1" applyFont="1" applyFill="1" applyAlignment="1"/>
    <xf numFmtId="10" fontId="7" fillId="0" borderId="0" xfId="3" applyNumberFormat="1" applyFont="1" applyFill="1"/>
    <xf numFmtId="10" fontId="7" fillId="0" borderId="0" xfId="3" applyNumberFormat="1" applyFont="1" applyFill="1" applyBorder="1"/>
    <xf numFmtId="0" fontId="7" fillId="0" borderId="0" xfId="0" applyFont="1" applyFill="1" applyBorder="1" applyAlignment="1"/>
    <xf numFmtId="10" fontId="7" fillId="0" borderId="1" xfId="3" applyNumberFormat="1" applyFont="1" applyFill="1" applyBorder="1" applyAlignment="1"/>
    <xf numFmtId="10" fontId="7" fillId="0" borderId="0" xfId="3" applyNumberFormat="1" applyFont="1" applyFill="1" applyBorder="1" applyAlignment="1"/>
    <xf numFmtId="177" fontId="7" fillId="0" borderId="0" xfId="3" applyNumberFormat="1" applyFont="1" applyFill="1"/>
    <xf numFmtId="164" fontId="1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Alignment="1">
      <alignment horizontal="left"/>
    </xf>
    <xf numFmtId="10" fontId="7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7" fillId="0" borderId="0" xfId="0" applyFont="1" applyFill="1"/>
    <xf numFmtId="164" fontId="7" fillId="0" borderId="0" xfId="0" applyNumberFormat="1" applyFont="1" applyFill="1"/>
    <xf numFmtId="164" fontId="7" fillId="0" borderId="0" xfId="3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9" fontId="7" fillId="0" borderId="0" xfId="0" applyNumberFormat="1" applyFont="1" applyFill="1" applyAlignment="1"/>
    <xf numFmtId="0" fontId="7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 wrapText="1"/>
    </xf>
    <xf numFmtId="0" fontId="7" fillId="0" borderId="0" xfId="3" quotePrefix="1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165" fontId="7" fillId="0" borderId="0" xfId="0" applyNumberFormat="1" applyFont="1" applyFill="1" applyAlignment="1"/>
    <xf numFmtId="0" fontId="11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0" fillId="0" borderId="0" xfId="0" applyFill="1"/>
    <xf numFmtId="164" fontId="0" fillId="0" borderId="0" xfId="0" applyNumberFormat="1" applyFill="1"/>
    <xf numFmtId="0" fontId="7" fillId="0" borderId="0" xfId="0" applyFont="1" applyFill="1" applyBorder="1" applyAlignment="1">
      <alignment horizontal="left"/>
    </xf>
    <xf numFmtId="44" fontId="7" fillId="0" borderId="0" xfId="1" applyFont="1" applyFill="1" applyBorder="1"/>
    <xf numFmtId="8" fontId="7" fillId="0" borderId="0" xfId="0" applyNumberFormat="1" applyFont="1" applyFill="1" applyBorder="1"/>
    <xf numFmtId="217" fontId="7" fillId="0" borderId="0" xfId="0" applyNumberFormat="1" applyFont="1" applyFill="1" applyBorder="1"/>
    <xf numFmtId="0" fontId="8" fillId="0" borderId="0" xfId="0" applyFont="1" applyFill="1"/>
    <xf numFmtId="0" fontId="0" fillId="0" borderId="0" xfId="0" applyFill="1" applyAlignment="1"/>
    <xf numFmtId="0" fontId="9" fillId="2" borderId="0" xfId="3" applyNumberFormat="1" applyFont="1" applyFill="1" applyAlignment="1" applyProtection="1">
      <alignment horizontal="center"/>
      <protection locked="0"/>
    </xf>
    <xf numFmtId="0" fontId="9" fillId="2" borderId="0" xfId="3" applyNumberFormat="1" applyFont="1" applyFill="1" applyBorder="1" applyAlignment="1">
      <alignment horizontal="center"/>
    </xf>
    <xf numFmtId="0" fontId="7" fillId="2" borderId="0" xfId="3" applyNumberFormat="1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center"/>
    </xf>
    <xf numFmtId="0" fontId="7" fillId="2" borderId="0" xfId="3" applyNumberFormat="1" applyFont="1" applyFill="1" applyBorder="1"/>
    <xf numFmtId="164" fontId="7" fillId="2" borderId="0" xfId="3" applyNumberFormat="1" applyFont="1" applyFill="1" applyAlignment="1"/>
    <xf numFmtId="164" fontId="7" fillId="2" borderId="0" xfId="3" applyNumberFormat="1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3" quotePrefix="1" applyNumberFormat="1" applyFont="1" applyFill="1" applyBorder="1" applyAlignment="1">
      <alignment horizontal="center" vertical="center"/>
    </xf>
    <xf numFmtId="0" fontId="7" fillId="2" borderId="0" xfId="3" quotePrefix="1" applyNumberFormat="1" applyFont="1" applyFill="1" applyBorder="1" applyAlignment="1">
      <alignment horizontal="center"/>
    </xf>
    <xf numFmtId="0" fontId="7" fillId="2" borderId="0" xfId="0" applyFont="1" applyFill="1" applyAlignment="1"/>
    <xf numFmtId="0" fontId="7" fillId="2" borderId="0" xfId="3" applyNumberFormat="1" applyFont="1" applyFill="1" applyAlignment="1" applyProtection="1">
      <protection locked="0"/>
    </xf>
    <xf numFmtId="164" fontId="7" fillId="2" borderId="0" xfId="3" applyNumberFormat="1" applyFont="1" applyFill="1" applyAlignment="1">
      <alignment horizontal="right"/>
    </xf>
    <xf numFmtId="0" fontId="9" fillId="2" borderId="0" xfId="3" applyNumberFormat="1" applyFont="1" applyFill="1" applyAlignment="1">
      <alignment horizontal="center"/>
    </xf>
    <xf numFmtId="164" fontId="7" fillId="2" borderId="0" xfId="3" applyNumberFormat="1" applyFont="1" applyFill="1" applyBorder="1" applyAlignment="1">
      <alignment horizontal="right"/>
    </xf>
    <xf numFmtId="44" fontId="7" fillId="0" borderId="0" xfId="1" applyFont="1" applyFill="1" applyAlignment="1"/>
  </cellXfs>
  <cellStyles count="5">
    <cellStyle name="Currency" xfId="1" builtinId="4"/>
    <cellStyle name="Normal" xfId="0" builtinId="0"/>
    <cellStyle name="Normal 3" xfId="2"/>
    <cellStyle name="Normal_B" xfId="3"/>
    <cellStyle name="Normal_OL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59"/>
  <sheetViews>
    <sheetView tabSelected="1" view="pageBreakPreview" zoomScale="55" zoomScaleNormal="70" zoomScaleSheetLayoutView="55" zoomScalePageLayoutView="60" workbookViewId="0">
      <selection activeCell="B7" sqref="B7"/>
    </sheetView>
  </sheetViews>
  <sheetFormatPr defaultColWidth="9.28515625" defaultRowHeight="15.75"/>
  <cols>
    <col min="1" max="1" width="8.42578125" style="1" customWidth="1"/>
    <col min="2" max="2" width="35.28515625" style="1" customWidth="1"/>
    <col min="3" max="3" width="26.140625" style="1" customWidth="1"/>
    <col min="4" max="4" width="23.7109375" style="1" customWidth="1"/>
    <col min="5" max="5" width="38.5703125" style="1" bestFit="1" customWidth="1"/>
    <col min="6" max="6" width="23.140625" style="1" customWidth="1"/>
    <col min="7" max="7" width="23.7109375" style="1" customWidth="1"/>
    <col min="8" max="8" width="25.28515625" style="1" customWidth="1"/>
    <col min="9" max="11" width="17.28515625" style="1" customWidth="1"/>
    <col min="12" max="12" width="31.5703125" style="7" customWidth="1"/>
    <col min="13" max="13" width="49.7109375" style="7" customWidth="1"/>
    <col min="14" max="14" width="21" style="1" customWidth="1"/>
    <col min="15" max="15" width="38" style="1" customWidth="1"/>
    <col min="16" max="16" width="20.85546875" style="1" customWidth="1"/>
    <col min="17" max="17" width="20" style="1" customWidth="1"/>
    <col min="18" max="18" width="12.85546875" style="76" customWidth="1"/>
    <col min="19" max="19" width="24.42578125" style="1" customWidth="1"/>
    <col min="20" max="16384" width="9.28515625" style="1"/>
  </cols>
  <sheetData>
    <row r="1" spans="1:20" ht="18.75">
      <c r="A1" s="9"/>
      <c r="B1" s="10" t="s">
        <v>89</v>
      </c>
      <c r="C1" s="10"/>
      <c r="D1" s="10"/>
      <c r="E1" s="10"/>
      <c r="F1" s="10"/>
      <c r="G1" s="30"/>
      <c r="H1" s="10"/>
      <c r="I1" s="30"/>
      <c r="J1" s="30"/>
      <c r="K1" s="30"/>
      <c r="L1" s="11"/>
      <c r="M1" s="11" t="s">
        <v>4</v>
      </c>
      <c r="N1" s="10"/>
      <c r="O1" s="10"/>
      <c r="P1" s="10"/>
      <c r="Q1" s="10"/>
      <c r="R1" s="64"/>
      <c r="S1" s="9"/>
    </row>
    <row r="2" spans="1:20" ht="18.75">
      <c r="A2" s="9"/>
      <c r="B2" s="10"/>
      <c r="C2" s="10"/>
      <c r="D2" s="10"/>
      <c r="E2" s="10"/>
      <c r="F2" s="10"/>
      <c r="G2" s="30"/>
      <c r="H2" s="10"/>
      <c r="I2" s="30"/>
      <c r="J2" s="30"/>
      <c r="K2" s="30"/>
      <c r="L2" s="12"/>
      <c r="M2" s="12"/>
      <c r="N2" s="10"/>
      <c r="O2" s="10"/>
      <c r="P2" s="10"/>
      <c r="Q2" s="10"/>
      <c r="R2" s="64"/>
      <c r="S2" s="9"/>
    </row>
    <row r="3" spans="1:20" ht="18.75">
      <c r="A3" s="9"/>
      <c r="B3" s="10"/>
      <c r="C3" s="10"/>
      <c r="D3" s="10"/>
      <c r="E3" s="10"/>
      <c r="F3" s="9"/>
      <c r="G3" s="30"/>
      <c r="H3" s="9"/>
      <c r="I3" s="30"/>
      <c r="J3" s="30"/>
      <c r="K3" s="30"/>
      <c r="L3" s="12"/>
      <c r="M3" s="13" t="s">
        <v>4</v>
      </c>
      <c r="N3" s="9"/>
      <c r="O3" s="9"/>
      <c r="P3" s="9"/>
      <c r="Q3" s="9"/>
      <c r="R3" s="64"/>
      <c r="S3" s="9"/>
    </row>
    <row r="4" spans="1:20" ht="18.75">
      <c r="A4" s="9"/>
      <c r="B4" s="10"/>
      <c r="C4" s="14" t="s">
        <v>50</v>
      </c>
      <c r="D4" s="14" t="s">
        <v>51</v>
      </c>
      <c r="E4" s="14" t="s">
        <v>68</v>
      </c>
      <c r="F4" s="77" t="s">
        <v>53</v>
      </c>
      <c r="G4" s="14" t="s">
        <v>50</v>
      </c>
      <c r="H4" s="77" t="s">
        <v>53</v>
      </c>
      <c r="I4" s="14" t="s">
        <v>50</v>
      </c>
      <c r="J4" s="14" t="s">
        <v>50</v>
      </c>
      <c r="K4" s="14" t="s">
        <v>50</v>
      </c>
      <c r="L4" s="84" t="s">
        <v>53</v>
      </c>
      <c r="M4" s="15" t="s">
        <v>66</v>
      </c>
      <c r="N4" s="84" t="s">
        <v>64</v>
      </c>
      <c r="O4" s="84" t="s">
        <v>64</v>
      </c>
      <c r="P4" s="92" t="s">
        <v>64</v>
      </c>
      <c r="Q4" s="16" t="s">
        <v>50</v>
      </c>
      <c r="R4" s="64"/>
      <c r="S4" s="9"/>
    </row>
    <row r="5" spans="1:20" ht="15.75" customHeight="1">
      <c r="A5" s="17"/>
      <c r="B5" s="17"/>
      <c r="C5" s="15" t="s">
        <v>23</v>
      </c>
      <c r="D5" s="15" t="s">
        <v>22</v>
      </c>
      <c r="E5" s="15" t="s">
        <v>67</v>
      </c>
      <c r="F5" s="78" t="s">
        <v>54</v>
      </c>
      <c r="G5" s="15" t="s">
        <v>1</v>
      </c>
      <c r="H5" s="78" t="s">
        <v>1</v>
      </c>
      <c r="I5" s="15" t="s">
        <v>24</v>
      </c>
      <c r="J5" s="15" t="s">
        <v>0</v>
      </c>
      <c r="K5" s="15" t="s">
        <v>1</v>
      </c>
      <c r="L5" s="84" t="s">
        <v>24</v>
      </c>
      <c r="M5" s="15" t="s">
        <v>61</v>
      </c>
      <c r="N5" s="78" t="s">
        <v>0</v>
      </c>
      <c r="O5" s="78" t="s">
        <v>1</v>
      </c>
      <c r="P5" s="78" t="s">
        <v>19</v>
      </c>
      <c r="Q5" s="15" t="s">
        <v>19</v>
      </c>
      <c r="R5" s="64"/>
      <c r="S5" s="15"/>
      <c r="T5" s="3"/>
    </row>
    <row r="6" spans="1:20" ht="18.75">
      <c r="A6" s="15"/>
      <c r="B6" s="15" t="s">
        <v>6</v>
      </c>
      <c r="C6" s="15" t="s">
        <v>22</v>
      </c>
      <c r="D6" s="15"/>
      <c r="E6" s="15"/>
      <c r="F6" s="78" t="s">
        <v>22</v>
      </c>
      <c r="G6" s="15" t="s">
        <v>21</v>
      </c>
      <c r="H6" s="78" t="s">
        <v>21</v>
      </c>
      <c r="I6" s="15" t="s">
        <v>7</v>
      </c>
      <c r="J6" s="15" t="s">
        <v>24</v>
      </c>
      <c r="K6" s="15" t="s">
        <v>24</v>
      </c>
      <c r="L6" s="84" t="s">
        <v>7</v>
      </c>
      <c r="M6" s="15" t="s">
        <v>62</v>
      </c>
      <c r="N6" s="78" t="s">
        <v>24</v>
      </c>
      <c r="O6" s="78" t="s">
        <v>24</v>
      </c>
      <c r="P6" s="78" t="s">
        <v>20</v>
      </c>
      <c r="Q6" s="15" t="s">
        <v>20</v>
      </c>
      <c r="R6" s="64"/>
      <c r="S6" s="15"/>
      <c r="T6" s="3"/>
    </row>
    <row r="7" spans="1:20" ht="18.75">
      <c r="A7" s="15"/>
      <c r="B7" s="15" t="s">
        <v>8</v>
      </c>
      <c r="C7" s="15" t="s">
        <v>5</v>
      </c>
      <c r="D7" s="15"/>
      <c r="E7" s="15"/>
      <c r="F7" s="78" t="s">
        <v>5</v>
      </c>
      <c r="G7" s="15" t="s">
        <v>5</v>
      </c>
      <c r="H7" s="78" t="s">
        <v>5</v>
      </c>
      <c r="I7" s="15" t="s">
        <v>5</v>
      </c>
      <c r="J7" s="15" t="s">
        <v>5</v>
      </c>
      <c r="K7" s="15" t="s">
        <v>5</v>
      </c>
      <c r="L7" s="84" t="s">
        <v>5</v>
      </c>
      <c r="M7" s="18" t="s">
        <v>63</v>
      </c>
      <c r="N7" s="78" t="s">
        <v>5</v>
      </c>
      <c r="O7" s="78" t="s">
        <v>5</v>
      </c>
      <c r="P7" s="78" t="s">
        <v>5</v>
      </c>
      <c r="Q7" s="15" t="s">
        <v>5</v>
      </c>
      <c r="R7" s="64"/>
      <c r="S7" s="15"/>
      <c r="T7" s="3"/>
    </row>
    <row r="8" spans="1:20" ht="39" customHeight="1">
      <c r="A8" s="19"/>
      <c r="B8" s="61" t="s">
        <v>2</v>
      </c>
      <c r="C8" s="61" t="s">
        <v>3</v>
      </c>
      <c r="D8" s="61" t="s">
        <v>52</v>
      </c>
      <c r="E8" s="62" t="s">
        <v>70</v>
      </c>
      <c r="F8" s="79" t="s">
        <v>55</v>
      </c>
      <c r="G8" s="61" t="s">
        <v>9</v>
      </c>
      <c r="H8" s="79" t="s">
        <v>65</v>
      </c>
      <c r="I8" s="63" t="s">
        <v>10</v>
      </c>
      <c r="J8" s="63" t="s">
        <v>25</v>
      </c>
      <c r="K8" s="63" t="s">
        <v>26</v>
      </c>
      <c r="L8" s="85" t="s">
        <v>76</v>
      </c>
      <c r="M8" s="63"/>
      <c r="N8" s="87" t="s">
        <v>71</v>
      </c>
      <c r="O8" s="87" t="s">
        <v>75</v>
      </c>
      <c r="P8" s="87" t="s">
        <v>72</v>
      </c>
      <c r="Q8" s="63" t="s">
        <v>27</v>
      </c>
      <c r="R8" s="64"/>
      <c r="S8" s="20"/>
      <c r="T8" s="4"/>
    </row>
    <row r="9" spans="1:20" ht="15" customHeight="1">
      <c r="A9" s="19"/>
      <c r="B9" s="19"/>
      <c r="C9" s="19" t="s">
        <v>4</v>
      </c>
      <c r="D9" s="19"/>
      <c r="E9" s="19"/>
      <c r="F9" s="80"/>
      <c r="G9" s="19"/>
      <c r="H9" s="80"/>
      <c r="I9" s="20"/>
      <c r="J9" s="20"/>
      <c r="K9" s="20"/>
      <c r="L9" s="85"/>
      <c r="M9" s="21"/>
      <c r="N9" s="88"/>
      <c r="O9" s="88"/>
      <c r="P9" s="88"/>
      <c r="Q9" s="20"/>
      <c r="R9" s="64"/>
      <c r="S9" s="20"/>
      <c r="T9" s="4"/>
    </row>
    <row r="10" spans="1:20" ht="18.75">
      <c r="A10" s="22"/>
      <c r="B10" s="23"/>
      <c r="C10" s="23"/>
      <c r="D10" s="23"/>
      <c r="E10" s="23"/>
      <c r="F10" s="81"/>
      <c r="G10" s="19"/>
      <c r="H10" s="81"/>
      <c r="I10" s="65"/>
      <c r="J10" s="9"/>
      <c r="K10" s="23"/>
      <c r="L10" s="85"/>
      <c r="M10" s="12"/>
      <c r="N10" s="89"/>
      <c r="O10" s="81"/>
      <c r="P10" s="81"/>
      <c r="Q10" s="23"/>
      <c r="R10" s="64"/>
      <c r="S10" s="9"/>
      <c r="T10" s="5"/>
    </row>
    <row r="11" spans="1:20" ht="18.75">
      <c r="A11" s="24"/>
      <c r="B11" s="25" t="s">
        <v>28</v>
      </c>
      <c r="C11" s="21"/>
      <c r="D11" s="21"/>
      <c r="E11" s="21"/>
      <c r="F11" s="82"/>
      <c r="G11" s="21"/>
      <c r="H11" s="82"/>
      <c r="I11" s="21"/>
      <c r="J11" s="27"/>
      <c r="K11" s="27"/>
      <c r="L11" s="86"/>
      <c r="M11" s="12"/>
      <c r="N11" s="90"/>
      <c r="O11" s="90"/>
      <c r="P11" s="82"/>
      <c r="Q11" s="21"/>
      <c r="R11" s="64"/>
      <c r="S11" s="27"/>
      <c r="T11" s="2"/>
    </row>
    <row r="12" spans="1:20" ht="18.75">
      <c r="A12" s="24"/>
      <c r="B12" s="28" t="s">
        <v>29</v>
      </c>
      <c r="C12" s="29">
        <f>+$N$40+$N$41+$J$37</f>
        <v>341.5</v>
      </c>
      <c r="D12" s="29">
        <f>+$C$37-$J$37-$N$41+$N$42</f>
        <v>2.2694699999999983</v>
      </c>
      <c r="E12" s="30">
        <v>1</v>
      </c>
      <c r="F12" s="83">
        <f>+C12+D12</f>
        <v>343.76947000000001</v>
      </c>
      <c r="G12" s="29">
        <f>C12*$C$32</f>
        <v>4.8948333333333327</v>
      </c>
      <c r="H12" s="83">
        <f>+F12*$C$32</f>
        <v>4.9273624033333325</v>
      </c>
      <c r="I12" s="29">
        <v>131.94046204817079</v>
      </c>
      <c r="J12" s="32">
        <f>I12/M12</f>
        <v>5.8640205354742569</v>
      </c>
      <c r="K12" s="32">
        <f>$J12/12</f>
        <v>0.48866837795618806</v>
      </c>
      <c r="L12" s="86">
        <f>+($C$37+$N$46)*$P$55</f>
        <v>123.28378800000002</v>
      </c>
      <c r="M12" s="31">
        <f>90000/4000</f>
        <v>22.5</v>
      </c>
      <c r="N12" s="91">
        <f>+L12/M12</f>
        <v>5.4792794666666671</v>
      </c>
      <c r="O12" s="91">
        <f>$N12/12</f>
        <v>0.45660662222222226</v>
      </c>
      <c r="P12" s="93">
        <f>+O12+H12</f>
        <v>5.3839690255555546</v>
      </c>
      <c r="Q12" s="33">
        <f>+K12+G12</f>
        <v>5.3835017112895205</v>
      </c>
      <c r="R12" s="64"/>
      <c r="S12" s="32"/>
      <c r="T12" s="6"/>
    </row>
    <row r="13" spans="1:20" ht="18.75">
      <c r="A13" s="24"/>
      <c r="B13" s="28" t="s">
        <v>30</v>
      </c>
      <c r="C13" s="29">
        <f>+$J$39+$N$40+$N$41</f>
        <v>440.5</v>
      </c>
      <c r="D13" s="29">
        <f>+$C$39-$J$39-$N$41+$N$42</f>
        <v>18.425379000000007</v>
      </c>
      <c r="E13" s="30">
        <v>1</v>
      </c>
      <c r="F13" s="83">
        <f t="shared" ref="F13:F18" si="0">+C13+D13</f>
        <v>458.92537900000002</v>
      </c>
      <c r="G13" s="29">
        <f>C13*$C$32</f>
        <v>6.3138333333333323</v>
      </c>
      <c r="H13" s="83">
        <f>+F13*$C$32</f>
        <v>6.577930432333333</v>
      </c>
      <c r="I13" s="29">
        <v>170.18967359361415</v>
      </c>
      <c r="J13" s="32">
        <v>7.3995510258093109</v>
      </c>
      <c r="K13" s="32">
        <f t="shared" ref="K13:K18" si="1">$J13/12</f>
        <v>0.61662925215077591</v>
      </c>
      <c r="L13" s="86">
        <f>+($C$39+$N$46)*$P$55</f>
        <v>169.34615160000001</v>
      </c>
      <c r="M13" s="31">
        <f t="shared" ref="M13:M18" si="2">90000/4000</f>
        <v>22.5</v>
      </c>
      <c r="N13" s="91">
        <f t="shared" ref="N13:N18" si="3">+L13/M13</f>
        <v>7.5264956266666676</v>
      </c>
      <c r="O13" s="91">
        <f t="shared" ref="O13:O18" si="4">$N13/12</f>
        <v>0.62720796888888897</v>
      </c>
      <c r="P13" s="93">
        <f t="shared" ref="P13:P18" si="5">+O13+H13</f>
        <v>7.2051384012222215</v>
      </c>
      <c r="Q13" s="33">
        <f t="shared" ref="Q13:Q18" si="6">+K13+G13</f>
        <v>6.9304625854841078</v>
      </c>
      <c r="R13" s="64"/>
      <c r="S13" s="32"/>
      <c r="T13" s="6"/>
    </row>
    <row r="14" spans="1:20" ht="18.75">
      <c r="A14" s="24"/>
      <c r="B14" s="28" t="s">
        <v>31</v>
      </c>
      <c r="C14" s="29">
        <f>+$J$41+$N$40+$N$41</f>
        <v>487.5</v>
      </c>
      <c r="D14" s="29">
        <f>+$C$44-$J$44-$N$41+$N$42</f>
        <v>31.807041000000012</v>
      </c>
      <c r="E14" s="30">
        <v>1</v>
      </c>
      <c r="F14" s="83">
        <f t="shared" si="0"/>
        <v>519.30704100000003</v>
      </c>
      <c r="G14" s="29">
        <f>C14*$C$32</f>
        <v>6.9874999999999989</v>
      </c>
      <c r="H14" s="83">
        <f>+F14*$C$32</f>
        <v>7.4434009209999994</v>
      </c>
      <c r="I14" s="29">
        <v>188.34839018589534</v>
      </c>
      <c r="J14" s="32">
        <v>8.1890604428650153</v>
      </c>
      <c r="K14" s="32">
        <f t="shared" si="1"/>
        <v>0.68242170357208465</v>
      </c>
      <c r="L14" s="86">
        <f>+($C$41+$N$46)*$P$55</f>
        <v>191.21414240000001</v>
      </c>
      <c r="M14" s="31">
        <f t="shared" si="2"/>
        <v>22.5</v>
      </c>
      <c r="N14" s="91">
        <f t="shared" si="3"/>
        <v>8.4984063288888887</v>
      </c>
      <c r="O14" s="91">
        <f t="shared" si="4"/>
        <v>0.70820052740740735</v>
      </c>
      <c r="P14" s="93">
        <f t="shared" si="5"/>
        <v>8.1516014484074066</v>
      </c>
      <c r="Q14" s="33">
        <f t="shared" si="6"/>
        <v>7.6699217035720837</v>
      </c>
      <c r="R14" s="64"/>
      <c r="S14" s="32"/>
      <c r="T14" s="6"/>
    </row>
    <row r="15" spans="1:20" ht="18.75">
      <c r="A15" s="24"/>
      <c r="B15" s="28" t="s">
        <v>32</v>
      </c>
      <c r="C15" s="29">
        <f>+$J$46+$N$40+$N$41</f>
        <v>709.5</v>
      </c>
      <c r="D15" s="29">
        <f>+$C$46-$J$46-$N$41+$N$42</f>
        <v>62.323758000000097</v>
      </c>
      <c r="E15" s="30">
        <v>1</v>
      </c>
      <c r="F15" s="83">
        <f t="shared" si="0"/>
        <v>771.82375800000011</v>
      </c>
      <c r="G15" s="29">
        <f>C15*$C$32</f>
        <v>10.169499999999999</v>
      </c>
      <c r="H15" s="83">
        <f>+F15*$C$32</f>
        <v>11.062807198</v>
      </c>
      <c r="I15" s="29">
        <v>274.11934940901079</v>
      </c>
      <c r="J15" s="32">
        <v>11.918232583000469</v>
      </c>
      <c r="K15" s="32">
        <f t="shared" si="1"/>
        <v>0.99318604858337245</v>
      </c>
      <c r="L15" s="86">
        <f>+($C$46+$N$46)*$P$55</f>
        <v>294.50550320000002</v>
      </c>
      <c r="M15" s="31">
        <f t="shared" si="2"/>
        <v>22.5</v>
      </c>
      <c r="N15" s="91">
        <f t="shared" si="3"/>
        <v>13.089133475555556</v>
      </c>
      <c r="O15" s="91">
        <f t="shared" si="4"/>
        <v>1.090761122962963</v>
      </c>
      <c r="P15" s="93">
        <f t="shared" si="5"/>
        <v>12.153568320962963</v>
      </c>
      <c r="Q15" s="33">
        <f t="shared" si="6"/>
        <v>11.162686048583371</v>
      </c>
      <c r="R15" s="64"/>
      <c r="S15" s="32"/>
      <c r="T15" s="6"/>
    </row>
    <row r="16" spans="1:20" ht="18.75">
      <c r="A16" s="24"/>
      <c r="B16" s="28" t="s">
        <v>33</v>
      </c>
      <c r="C16" s="29">
        <f>+$J$43+$N$40+$N$43+$N$38+$N$39+1.42</f>
        <v>1115.48</v>
      </c>
      <c r="D16" s="29">
        <f>+$C$43-$J$43</f>
        <v>124.10468100000003</v>
      </c>
      <c r="E16" s="30">
        <v>1</v>
      </c>
      <c r="F16" s="83">
        <f t="shared" si="0"/>
        <v>1239.584681</v>
      </c>
      <c r="G16" s="29">
        <f>C16*$C$32</f>
        <v>15.988546666666664</v>
      </c>
      <c r="H16" s="83">
        <f>+F16*$C$32</f>
        <v>17.767380427666666</v>
      </c>
      <c r="I16" s="29">
        <v>430.97202519910275</v>
      </c>
      <c r="J16" s="32">
        <v>18.737914139091423</v>
      </c>
      <c r="K16" s="32">
        <f t="shared" si="1"/>
        <v>1.5614928449242853</v>
      </c>
      <c r="L16" s="86">
        <f>+($C$43+$N$46)*$P$55</f>
        <v>226.1098724</v>
      </c>
      <c r="M16" s="31">
        <f t="shared" si="2"/>
        <v>22.5</v>
      </c>
      <c r="N16" s="91">
        <f t="shared" si="3"/>
        <v>10.049327662222222</v>
      </c>
      <c r="O16" s="91">
        <f t="shared" si="4"/>
        <v>0.83744397185185182</v>
      </c>
      <c r="P16" s="93">
        <f t="shared" si="5"/>
        <v>18.604824399518517</v>
      </c>
      <c r="Q16" s="33">
        <f t="shared" si="6"/>
        <v>17.550039511590949</v>
      </c>
      <c r="R16" s="64"/>
      <c r="S16" s="32"/>
      <c r="T16" s="6"/>
    </row>
    <row r="17" spans="1:20" ht="18.75">
      <c r="A17" s="24"/>
      <c r="B17" s="28" t="s">
        <v>34</v>
      </c>
      <c r="C17" s="29">
        <f>+$J$44+$N$43+$N$40+$N$39+$N$38+N45+1.42</f>
        <v>1320.2700000000002</v>
      </c>
      <c r="D17" s="29">
        <f>+$C$44-$J$44-$N$43-$N$39-$N$38</f>
        <v>-616.52295900000013</v>
      </c>
      <c r="E17" s="30">
        <v>2</v>
      </c>
      <c r="F17" s="83">
        <f t="shared" si="0"/>
        <v>703.74704100000008</v>
      </c>
      <c r="G17" s="29">
        <f>C17*$C$32</f>
        <v>18.923870000000001</v>
      </c>
      <c r="H17" s="83">
        <f>+F17*$C$32</f>
        <v>10.087040921</v>
      </c>
      <c r="I17" s="29">
        <v>510.09380330406577</v>
      </c>
      <c r="J17" s="32">
        <v>22.17799144800286</v>
      </c>
      <c r="K17" s="32">
        <f t="shared" si="1"/>
        <v>1.8481659540002384</v>
      </c>
      <c r="L17" s="86">
        <f>+($C$44+$N$46)*$P$55</f>
        <v>207.49881640000001</v>
      </c>
      <c r="M17" s="31">
        <f t="shared" si="2"/>
        <v>22.5</v>
      </c>
      <c r="N17" s="91">
        <f t="shared" si="3"/>
        <v>9.2221696177777783</v>
      </c>
      <c r="O17" s="91">
        <f t="shared" si="4"/>
        <v>0.7685141348148149</v>
      </c>
      <c r="P17" s="93">
        <f t="shared" si="5"/>
        <v>10.855555055814815</v>
      </c>
      <c r="Q17" s="33">
        <f t="shared" si="6"/>
        <v>20.772035954000238</v>
      </c>
      <c r="R17" s="64"/>
      <c r="S17" s="32"/>
      <c r="T17" s="6"/>
    </row>
    <row r="18" spans="1:20" ht="18.75">
      <c r="A18" s="24"/>
      <c r="B18" s="28" t="s">
        <v>35</v>
      </c>
      <c r="C18" s="29">
        <f>+$J$48+$N$43+$N$40+$N$39+$N$38+N45+1.42</f>
        <v>1550.2700000000002</v>
      </c>
      <c r="D18" s="29">
        <f>+$C$48-$J$48-$N$43-$N$39-$N$38</f>
        <v>-578.98902900000007</v>
      </c>
      <c r="E18" s="30">
        <v>2</v>
      </c>
      <c r="F18" s="83">
        <f t="shared" si="0"/>
        <v>971.28097100000014</v>
      </c>
      <c r="G18" s="29">
        <f>C18*$C$32</f>
        <v>22.220536666666668</v>
      </c>
      <c r="H18" s="83">
        <f>+F18*$C$32</f>
        <v>13.921693917666667</v>
      </c>
      <c r="I18" s="29">
        <v>598.95560790459081</v>
      </c>
      <c r="J18" s="32">
        <v>26.041548169764816</v>
      </c>
      <c r="K18" s="32">
        <f t="shared" si="1"/>
        <v>2.1701290141470682</v>
      </c>
      <c r="L18" s="86">
        <f>+($C$46+$N$46)*$P$55</f>
        <v>294.50550320000002</v>
      </c>
      <c r="M18" s="31">
        <f t="shared" si="2"/>
        <v>22.5</v>
      </c>
      <c r="N18" s="91">
        <f t="shared" si="3"/>
        <v>13.089133475555556</v>
      </c>
      <c r="O18" s="91">
        <f t="shared" si="4"/>
        <v>1.090761122962963</v>
      </c>
      <c r="P18" s="93">
        <f t="shared" si="5"/>
        <v>15.01245504062963</v>
      </c>
      <c r="Q18" s="33">
        <f t="shared" si="6"/>
        <v>24.390665680813736</v>
      </c>
      <c r="R18" s="64"/>
      <c r="S18" s="32"/>
      <c r="T18" s="6"/>
    </row>
    <row r="19" spans="1:20" ht="18.75">
      <c r="A19" s="24"/>
      <c r="B19" s="28"/>
      <c r="C19" s="29"/>
      <c r="D19" s="29"/>
      <c r="E19" s="30"/>
      <c r="F19" s="29"/>
      <c r="G19" s="29"/>
      <c r="H19" s="29"/>
      <c r="I19" s="29"/>
      <c r="J19" s="32"/>
      <c r="K19" s="32"/>
      <c r="L19" s="26"/>
      <c r="M19" s="31"/>
      <c r="N19" s="32"/>
      <c r="O19" s="32"/>
      <c r="P19" s="33"/>
      <c r="Q19" s="33"/>
      <c r="R19" s="64"/>
      <c r="S19" s="32"/>
      <c r="T19" s="6"/>
    </row>
    <row r="20" spans="1:20" ht="18.75">
      <c r="A20" s="24"/>
      <c r="B20" s="28"/>
      <c r="C20" s="29"/>
      <c r="D20" s="29"/>
      <c r="E20" s="30"/>
      <c r="F20" s="29"/>
      <c r="G20" s="29"/>
      <c r="H20" s="29"/>
      <c r="I20" s="29"/>
      <c r="J20" s="27"/>
      <c r="K20" s="27"/>
      <c r="L20" s="26"/>
      <c r="M20" s="26"/>
      <c r="N20" s="27"/>
      <c r="O20" s="27"/>
      <c r="P20" s="21"/>
      <c r="Q20" s="21"/>
      <c r="R20" s="64"/>
      <c r="S20" s="27"/>
      <c r="T20" s="2"/>
    </row>
    <row r="21" spans="1:20" ht="18.75">
      <c r="A21" s="24"/>
      <c r="B21" s="28"/>
      <c r="C21" s="21"/>
      <c r="D21" s="21" t="s">
        <v>4</v>
      </c>
      <c r="E21" s="21"/>
      <c r="F21" s="21"/>
      <c r="G21" s="21"/>
      <c r="H21" s="21"/>
      <c r="I21" s="9"/>
      <c r="J21" s="9"/>
      <c r="K21" s="9"/>
      <c r="L21" s="34"/>
      <c r="M21" s="34"/>
      <c r="N21" s="27"/>
      <c r="O21" s="27"/>
      <c r="P21" s="27"/>
      <c r="Q21" s="21"/>
      <c r="R21" s="64"/>
      <c r="S21" s="9"/>
    </row>
    <row r="22" spans="1:20" ht="18.75">
      <c r="A22" s="35"/>
      <c r="B22" s="36"/>
      <c r="C22" s="21"/>
      <c r="D22" s="21"/>
      <c r="E22" s="21"/>
      <c r="F22" s="21"/>
      <c r="G22" s="21"/>
      <c r="H22" s="21"/>
      <c r="I22" s="21"/>
      <c r="J22" s="21"/>
      <c r="K22" s="21"/>
      <c r="L22" s="34"/>
      <c r="M22" s="34"/>
      <c r="N22" s="27"/>
      <c r="O22" s="27"/>
      <c r="P22" s="27"/>
      <c r="Q22" s="21"/>
      <c r="R22" s="64"/>
      <c r="S22" s="9"/>
    </row>
    <row r="23" spans="1:20" ht="18.75">
      <c r="A23" s="9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9"/>
      <c r="N23" s="37"/>
      <c r="O23" s="37"/>
      <c r="P23" s="37"/>
      <c r="Q23" s="37"/>
      <c r="R23" s="64"/>
      <c r="S23" s="9"/>
    </row>
    <row r="24" spans="1:20" ht="18.75">
      <c r="A24" s="9"/>
      <c r="B24" s="40" t="s">
        <v>11</v>
      </c>
      <c r="C24" s="14" t="s">
        <v>18</v>
      </c>
      <c r="D24" s="14"/>
      <c r="E24" s="14"/>
      <c r="F24" s="14"/>
      <c r="G24" s="9"/>
      <c r="H24" s="14"/>
      <c r="I24" s="14"/>
      <c r="J24" s="14"/>
      <c r="K24" s="14"/>
      <c r="L24" s="12"/>
      <c r="M24" s="12"/>
      <c r="N24" s="9"/>
      <c r="O24" s="9"/>
      <c r="P24" s="94"/>
      <c r="Q24" s="9"/>
      <c r="R24" s="64"/>
      <c r="S24" s="9"/>
    </row>
    <row r="25" spans="1:20" ht="18.75">
      <c r="A25" s="9"/>
      <c r="B25" s="40"/>
      <c r="C25" s="16" t="s">
        <v>87</v>
      </c>
      <c r="D25" s="16"/>
      <c r="E25" s="16"/>
      <c r="F25" s="16"/>
      <c r="G25" s="9"/>
      <c r="H25" s="15"/>
      <c r="I25" s="16"/>
      <c r="J25" s="16"/>
      <c r="K25" s="16"/>
      <c r="L25" s="12"/>
      <c r="M25" s="12"/>
      <c r="N25" s="9"/>
      <c r="O25" s="9"/>
      <c r="P25" s="94"/>
      <c r="Q25" s="9"/>
      <c r="R25" s="64"/>
      <c r="S25" s="9"/>
    </row>
    <row r="26" spans="1:20" ht="18.75">
      <c r="A26" s="9"/>
      <c r="B26" s="41" t="s">
        <v>12</v>
      </c>
      <c r="C26" s="42">
        <v>7.0699999999999999E-2</v>
      </c>
      <c r="D26" s="42"/>
      <c r="E26" s="42"/>
      <c r="F26" s="43"/>
      <c r="G26" s="44"/>
      <c r="H26" s="43"/>
      <c r="I26" s="42"/>
      <c r="J26" s="42"/>
      <c r="K26" s="42"/>
      <c r="L26" s="12"/>
      <c r="M26" s="12"/>
      <c r="N26" s="9"/>
      <c r="O26" s="9"/>
      <c r="P26" s="94"/>
      <c r="Q26" s="9"/>
      <c r="R26" s="64"/>
      <c r="S26" s="9"/>
    </row>
    <row r="27" spans="1:20" ht="18.75">
      <c r="A27" s="9"/>
      <c r="B27" s="41" t="s">
        <v>13</v>
      </c>
      <c r="C27" s="42">
        <v>8.0399999999999999E-2</v>
      </c>
      <c r="D27" s="42"/>
      <c r="E27" s="42"/>
      <c r="F27" s="43"/>
      <c r="G27" s="44"/>
      <c r="H27" s="43"/>
      <c r="I27" s="42"/>
      <c r="J27" s="42"/>
      <c r="K27" s="42"/>
      <c r="L27" s="12"/>
      <c r="M27" s="12"/>
      <c r="N27" s="9"/>
      <c r="O27" s="9"/>
      <c r="P27" s="94"/>
      <c r="Q27" s="9"/>
      <c r="R27" s="64"/>
      <c r="S27" s="9"/>
    </row>
    <row r="28" spans="1:20" ht="18.75">
      <c r="A28" s="9"/>
      <c r="B28" s="41" t="s">
        <v>14</v>
      </c>
      <c r="C28" s="42">
        <v>6.4000000000000003E-3</v>
      </c>
      <c r="D28" s="42"/>
      <c r="E28" s="42"/>
      <c r="F28" s="43"/>
      <c r="G28" s="44"/>
      <c r="H28" s="43"/>
      <c r="I28" s="42"/>
      <c r="J28" s="42"/>
      <c r="K28" s="42"/>
      <c r="L28" s="12"/>
      <c r="M28" s="12"/>
      <c r="N28" s="9"/>
      <c r="O28" s="9"/>
      <c r="P28" s="94"/>
      <c r="Q28" s="9"/>
      <c r="R28" s="64"/>
      <c r="S28" s="9"/>
    </row>
    <row r="29" spans="1:20" ht="18.75">
      <c r="A29" s="9"/>
      <c r="B29" s="41" t="s">
        <v>15</v>
      </c>
      <c r="C29" s="42">
        <v>1.4500000000000001E-2</v>
      </c>
      <c r="D29" s="42"/>
      <c r="E29" s="42"/>
      <c r="F29" s="43"/>
      <c r="G29" s="44"/>
      <c r="H29" s="43"/>
      <c r="I29" s="42"/>
      <c r="J29" s="42"/>
      <c r="K29" s="42"/>
      <c r="L29" s="12"/>
      <c r="M29" s="12"/>
      <c r="N29" s="9"/>
      <c r="O29" s="9"/>
      <c r="P29" s="94"/>
      <c r="Q29" s="9"/>
      <c r="R29" s="64"/>
      <c r="S29" s="9"/>
    </row>
    <row r="30" spans="1:20" ht="18.75">
      <c r="A30" s="9"/>
      <c r="B30" s="41" t="s">
        <v>16</v>
      </c>
      <c r="C30" s="45">
        <v>0.17199999999999999</v>
      </c>
      <c r="D30" s="45"/>
      <c r="E30" s="45"/>
      <c r="F30" s="45"/>
      <c r="G30" s="9"/>
      <c r="H30" s="46"/>
      <c r="I30" s="46"/>
      <c r="J30" s="46"/>
      <c r="K30" s="46"/>
      <c r="L30" s="12"/>
      <c r="M30" s="12"/>
      <c r="N30" s="9"/>
      <c r="O30" s="9"/>
      <c r="P30" s="94"/>
      <c r="Q30" s="9"/>
      <c r="R30" s="64"/>
      <c r="S30" s="9"/>
    </row>
    <row r="31" spans="1:20" ht="18.75">
      <c r="A31" s="9"/>
      <c r="B31" s="10"/>
      <c r="C31" s="42"/>
      <c r="D31" s="27"/>
      <c r="E31" s="27"/>
      <c r="F31" s="42"/>
      <c r="G31" s="9"/>
      <c r="H31" s="42"/>
      <c r="I31" s="27"/>
      <c r="J31" s="27"/>
      <c r="K31" s="27"/>
      <c r="L31" s="12"/>
      <c r="M31" s="12"/>
      <c r="N31" s="9"/>
      <c r="O31" s="9"/>
      <c r="P31" s="9"/>
      <c r="Q31" s="9"/>
      <c r="R31" s="64"/>
      <c r="S31" s="9"/>
    </row>
    <row r="32" spans="1:20" ht="18.75">
      <c r="A32" s="9"/>
      <c r="B32" s="41" t="s">
        <v>17</v>
      </c>
      <c r="C32" s="47">
        <f>+C30/12</f>
        <v>1.4333333333333332E-2</v>
      </c>
      <c r="D32" s="47"/>
      <c r="E32" s="47"/>
      <c r="F32" s="47"/>
      <c r="G32" s="9"/>
      <c r="H32" s="47"/>
      <c r="I32" s="47"/>
      <c r="J32" s="47"/>
      <c r="K32" s="47"/>
      <c r="L32" s="48"/>
      <c r="M32" s="48"/>
      <c r="N32" s="9"/>
      <c r="O32" s="9"/>
      <c r="P32" s="9"/>
      <c r="Q32" s="9"/>
      <c r="R32" s="64"/>
      <c r="S32" s="9"/>
    </row>
    <row r="33" spans="1:22" ht="18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12"/>
      <c r="M33" s="12"/>
      <c r="N33" s="9"/>
      <c r="O33" s="9"/>
      <c r="P33" s="9"/>
      <c r="Q33" s="9"/>
      <c r="R33" s="64"/>
      <c r="S33" s="9"/>
    </row>
    <row r="34" spans="1:22" ht="18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12"/>
      <c r="M34" s="12"/>
      <c r="N34" s="66"/>
      <c r="O34" s="9"/>
      <c r="P34" s="9"/>
      <c r="Q34" s="9"/>
      <c r="R34" s="64"/>
      <c r="S34" s="9"/>
    </row>
    <row r="35" spans="1:22" ht="18.75">
      <c r="A35" s="9"/>
      <c r="B35" s="67" t="s">
        <v>69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U35" s="69"/>
      <c r="V35" s="70"/>
    </row>
    <row r="36" spans="1:22" ht="18.75">
      <c r="A36" s="9"/>
      <c r="B36" s="71" t="s">
        <v>36</v>
      </c>
      <c r="C36" s="50" t="s">
        <v>37</v>
      </c>
      <c r="D36" s="50" t="s">
        <v>42</v>
      </c>
      <c r="E36" s="50" t="s">
        <v>43</v>
      </c>
      <c r="F36" s="50" t="s">
        <v>44</v>
      </c>
      <c r="G36" s="50" t="s">
        <v>43</v>
      </c>
      <c r="H36" s="49" t="s">
        <v>45</v>
      </c>
      <c r="I36" s="50" t="s">
        <v>46</v>
      </c>
      <c r="J36" s="50" t="s">
        <v>47</v>
      </c>
      <c r="K36" s="50" t="s">
        <v>48</v>
      </c>
      <c r="L36" s="12"/>
      <c r="M36" s="12"/>
      <c r="N36" s="9"/>
      <c r="O36" s="9"/>
      <c r="P36" s="9"/>
      <c r="Q36" s="9"/>
      <c r="R36" s="9"/>
      <c r="S36" s="9"/>
    </row>
    <row r="37" spans="1:22" ht="18.75">
      <c r="A37" s="9"/>
      <c r="B37" s="51" t="s">
        <v>29</v>
      </c>
      <c r="C37" s="72">
        <f t="shared" ref="C37:C48" si="7">J37+(K37*D37)+(K37*E37)+(J37*F37)+(K37*H37*D37)+((I37*K37*D37)+(I37*J37*F37)+(I37*K37*E37))</f>
        <v>227.03946999999999</v>
      </c>
      <c r="D37" s="73">
        <v>45</v>
      </c>
      <c r="E37" s="73">
        <v>30.41</v>
      </c>
      <c r="F37" s="53">
        <v>0.13300000000000001</v>
      </c>
      <c r="G37" s="73">
        <v>30.41</v>
      </c>
      <c r="H37" s="52">
        <v>2.7850000000000001</v>
      </c>
      <c r="I37" s="53">
        <v>0.22700000000000001</v>
      </c>
      <c r="J37" s="74">
        <v>139</v>
      </c>
      <c r="K37" s="50">
        <v>0.3</v>
      </c>
      <c r="L37" s="12"/>
      <c r="M37" s="54" t="s">
        <v>77</v>
      </c>
      <c r="N37" s="54" t="s">
        <v>79</v>
      </c>
      <c r="O37" s="54" t="s">
        <v>80</v>
      </c>
      <c r="P37" s="55"/>
      <c r="Q37" s="9"/>
      <c r="R37" s="9"/>
      <c r="S37" s="9"/>
    </row>
    <row r="38" spans="1:22" ht="18.75">
      <c r="A38" s="9"/>
      <c r="B38" s="51"/>
      <c r="C38" s="72"/>
      <c r="D38" s="73"/>
      <c r="E38" s="73"/>
      <c r="F38" s="53"/>
      <c r="G38" s="73"/>
      <c r="H38" s="52"/>
      <c r="I38" s="53"/>
      <c r="J38" s="74"/>
      <c r="K38" s="50"/>
      <c r="L38" s="12"/>
      <c r="M38" s="56" t="s">
        <v>56</v>
      </c>
      <c r="N38" s="57">
        <v>57.19</v>
      </c>
      <c r="O38" s="56" t="s">
        <v>57</v>
      </c>
      <c r="P38" s="9"/>
      <c r="Q38" s="9"/>
      <c r="R38" s="9"/>
      <c r="S38" s="9"/>
    </row>
    <row r="39" spans="1:22" ht="18.75">
      <c r="A39" s="9"/>
      <c r="B39" s="51" t="s">
        <v>30</v>
      </c>
      <c r="C39" s="72">
        <f t="shared" si="7"/>
        <v>342.195379</v>
      </c>
      <c r="D39" s="73">
        <v>45</v>
      </c>
      <c r="E39" s="73">
        <v>30.41</v>
      </c>
      <c r="F39" s="53">
        <v>0.13300000000000001</v>
      </c>
      <c r="G39" s="73">
        <v>30.41</v>
      </c>
      <c r="H39" s="52">
        <v>2.7850000000000001</v>
      </c>
      <c r="I39" s="53">
        <v>0.22700000000000001</v>
      </c>
      <c r="J39" s="74">
        <v>238</v>
      </c>
      <c r="K39" s="50">
        <v>0.3</v>
      </c>
      <c r="L39" s="12"/>
      <c r="M39" s="56" t="s">
        <v>58</v>
      </c>
      <c r="N39" s="57">
        <v>4.57</v>
      </c>
      <c r="O39" s="56" t="s">
        <v>59</v>
      </c>
      <c r="P39" s="9"/>
      <c r="Q39" s="9"/>
      <c r="R39" s="9"/>
      <c r="S39" s="9"/>
    </row>
    <row r="40" spans="1:22" ht="18.75">
      <c r="A40" s="9"/>
      <c r="B40" s="51"/>
      <c r="C40" s="72"/>
      <c r="D40" s="73"/>
      <c r="E40" s="73"/>
      <c r="F40" s="53"/>
      <c r="G40" s="73"/>
      <c r="H40" s="52"/>
      <c r="I40" s="53"/>
      <c r="J40" s="74"/>
      <c r="K40" s="50"/>
      <c r="L40" s="12"/>
      <c r="M40" s="56" t="s">
        <v>38</v>
      </c>
      <c r="N40" s="57">
        <v>19.96</v>
      </c>
      <c r="O40" s="56" t="s">
        <v>60</v>
      </c>
      <c r="P40" s="9"/>
      <c r="Q40" s="9"/>
      <c r="R40" s="9"/>
      <c r="S40" s="9"/>
    </row>
    <row r="41" spans="1:22" ht="18.75">
      <c r="A41" s="9"/>
      <c r="B41" s="51" t="s">
        <v>31</v>
      </c>
      <c r="C41" s="72">
        <f t="shared" si="7"/>
        <v>396.86535600000002</v>
      </c>
      <c r="D41" s="73">
        <v>45</v>
      </c>
      <c r="E41" s="73">
        <v>30.41</v>
      </c>
      <c r="F41" s="53">
        <v>0.13300000000000001</v>
      </c>
      <c r="G41" s="73">
        <v>30.41</v>
      </c>
      <c r="H41" s="52">
        <v>2.7850000000000001</v>
      </c>
      <c r="I41" s="53">
        <v>0.22700000000000001</v>
      </c>
      <c r="J41" s="74">
        <v>285</v>
      </c>
      <c r="K41" s="50">
        <v>0.3</v>
      </c>
      <c r="L41" s="12"/>
      <c r="M41" s="56" t="s">
        <v>39</v>
      </c>
      <c r="N41" s="57">
        <v>182.54</v>
      </c>
      <c r="O41" s="56" t="s">
        <v>85</v>
      </c>
      <c r="P41" s="9"/>
      <c r="Q41" s="9"/>
      <c r="R41" s="9"/>
      <c r="S41" s="9"/>
    </row>
    <row r="42" spans="1:22" ht="18.75">
      <c r="A42" s="9"/>
      <c r="B42" s="51"/>
      <c r="C42" s="72"/>
      <c r="D42" s="73"/>
      <c r="E42" s="73"/>
      <c r="F42" s="53"/>
      <c r="G42" s="73"/>
      <c r="H42" s="52"/>
      <c r="I42" s="53"/>
      <c r="J42" s="74"/>
      <c r="K42" s="50"/>
      <c r="L42" s="12"/>
      <c r="M42" s="56" t="s">
        <v>73</v>
      </c>
      <c r="N42" s="57">
        <v>96.77</v>
      </c>
      <c r="O42" s="56" t="s">
        <v>86</v>
      </c>
      <c r="P42" s="9"/>
      <c r="Q42" s="9"/>
      <c r="R42" s="9"/>
      <c r="S42" s="9"/>
    </row>
    <row r="43" spans="1:22" ht="18.75">
      <c r="A43" s="9"/>
      <c r="B43" s="51" t="s">
        <v>88</v>
      </c>
      <c r="C43" s="72">
        <f t="shared" si="7"/>
        <v>484.10468100000003</v>
      </c>
      <c r="D43" s="73">
        <v>45</v>
      </c>
      <c r="E43" s="73">
        <v>30.41</v>
      </c>
      <c r="F43" s="53">
        <v>0.13300000000000001</v>
      </c>
      <c r="G43" s="73">
        <v>30.41</v>
      </c>
      <c r="H43" s="52">
        <v>2.7850000000000001</v>
      </c>
      <c r="I43" s="53">
        <v>0.22700000000000001</v>
      </c>
      <c r="J43" s="74">
        <v>360</v>
      </c>
      <c r="K43" s="50">
        <v>0.3</v>
      </c>
      <c r="L43" s="12"/>
      <c r="M43" s="56" t="s">
        <v>40</v>
      </c>
      <c r="N43" s="57">
        <v>672.34</v>
      </c>
      <c r="O43" s="56" t="s">
        <v>82</v>
      </c>
      <c r="P43" s="9"/>
      <c r="Q43" s="9"/>
      <c r="R43" s="9"/>
      <c r="S43" s="75"/>
      <c r="T43" s="69"/>
    </row>
    <row r="44" spans="1:22" ht="18.75">
      <c r="A44" s="9"/>
      <c r="B44" s="51" t="s">
        <v>34</v>
      </c>
      <c r="C44" s="72">
        <f t="shared" si="7"/>
        <v>437.57704100000001</v>
      </c>
      <c r="D44" s="73">
        <v>45</v>
      </c>
      <c r="E44" s="73">
        <v>30.41</v>
      </c>
      <c r="F44" s="53">
        <v>0.13300000000000001</v>
      </c>
      <c r="G44" s="73">
        <v>30.41</v>
      </c>
      <c r="H44" s="52">
        <v>2.7850000000000001</v>
      </c>
      <c r="I44" s="53">
        <v>0.22700000000000001</v>
      </c>
      <c r="J44" s="74">
        <v>320</v>
      </c>
      <c r="K44" s="50">
        <v>0.3</v>
      </c>
      <c r="L44" s="12"/>
      <c r="M44" s="56"/>
      <c r="N44" s="57">
        <v>858.14</v>
      </c>
      <c r="O44" s="9" t="s">
        <v>81</v>
      </c>
      <c r="P44" s="9"/>
      <c r="Q44" s="9"/>
      <c r="R44" s="9"/>
      <c r="S44" s="75"/>
      <c r="T44" s="69"/>
    </row>
    <row r="45" spans="1:22" ht="18.75">
      <c r="A45" s="9"/>
      <c r="B45" s="51"/>
      <c r="C45" s="72"/>
      <c r="D45" s="73"/>
      <c r="E45" s="73"/>
      <c r="F45" s="53"/>
      <c r="G45" s="73"/>
      <c r="H45" s="52"/>
      <c r="I45" s="53"/>
      <c r="J45" s="74"/>
      <c r="K45" s="50"/>
      <c r="L45" s="12"/>
      <c r="M45" s="56"/>
      <c r="N45" s="57">
        <v>244.79</v>
      </c>
      <c r="O45" s="9" t="s">
        <v>74</v>
      </c>
      <c r="P45" s="9"/>
      <c r="Q45" s="9"/>
      <c r="R45" s="9"/>
      <c r="S45" s="75"/>
      <c r="T45" s="69"/>
    </row>
    <row r="46" spans="1:22" ht="18.75">
      <c r="A46" s="9"/>
      <c r="B46" s="58" t="s">
        <v>32</v>
      </c>
      <c r="C46" s="72">
        <f t="shared" si="7"/>
        <v>655.09375800000009</v>
      </c>
      <c r="D46" s="73">
        <v>45</v>
      </c>
      <c r="E46" s="73">
        <v>30.41</v>
      </c>
      <c r="F46" s="53">
        <v>0.13300000000000001</v>
      </c>
      <c r="G46" s="73">
        <v>30.41</v>
      </c>
      <c r="H46" s="52">
        <v>2.7850000000000001</v>
      </c>
      <c r="I46" s="53">
        <v>0.22700000000000001</v>
      </c>
      <c r="J46" s="74">
        <v>507</v>
      </c>
      <c r="K46" s="50">
        <v>0.3</v>
      </c>
      <c r="L46" s="12"/>
      <c r="M46" s="56" t="s">
        <v>41</v>
      </c>
      <c r="N46" s="57">
        <v>81.17</v>
      </c>
      <c r="O46" s="9"/>
      <c r="P46" s="9"/>
      <c r="Q46" s="9"/>
      <c r="R46" s="9"/>
      <c r="S46" s="9"/>
    </row>
    <row r="47" spans="1:22" ht="18.75">
      <c r="A47" s="9"/>
      <c r="B47" s="58"/>
      <c r="C47" s="72"/>
      <c r="D47" s="73"/>
      <c r="E47" s="73"/>
      <c r="F47" s="53"/>
      <c r="G47" s="73"/>
      <c r="H47" s="52"/>
      <c r="I47" s="53"/>
      <c r="J47" s="74"/>
      <c r="K47" s="50"/>
      <c r="L47" s="12"/>
      <c r="M47" s="12"/>
      <c r="N47" s="9"/>
      <c r="O47" s="9"/>
      <c r="P47" s="9"/>
      <c r="Q47" s="9"/>
      <c r="R47" s="9"/>
      <c r="S47" s="9"/>
    </row>
    <row r="48" spans="1:22" ht="18.75">
      <c r="A48" s="9"/>
      <c r="B48" s="21" t="s">
        <v>49</v>
      </c>
      <c r="C48" s="72">
        <f t="shared" si="7"/>
        <v>705.11097099999995</v>
      </c>
      <c r="D48" s="73">
        <v>45</v>
      </c>
      <c r="E48" s="73">
        <v>30.41</v>
      </c>
      <c r="F48" s="53">
        <v>0.13300000000000001</v>
      </c>
      <c r="G48" s="73">
        <v>30.41</v>
      </c>
      <c r="H48" s="52">
        <v>2.7850000000000001</v>
      </c>
      <c r="I48" s="53">
        <v>0.22700000000000001</v>
      </c>
      <c r="J48" s="74">
        <v>550</v>
      </c>
      <c r="K48" s="50">
        <v>0.3</v>
      </c>
      <c r="L48" s="12"/>
      <c r="M48" s="12"/>
      <c r="N48" s="9"/>
      <c r="O48" s="9"/>
      <c r="P48" s="9"/>
      <c r="Q48" s="9"/>
      <c r="R48" s="9"/>
      <c r="S48" s="9"/>
    </row>
    <row r="49" spans="1:19" ht="18.75">
      <c r="A49" s="9"/>
      <c r="B49" s="21"/>
      <c r="C49" s="72"/>
      <c r="D49" s="73"/>
      <c r="E49" s="73"/>
      <c r="F49" s="53"/>
      <c r="G49" s="73"/>
      <c r="H49" s="52"/>
      <c r="I49" s="53"/>
      <c r="J49" s="74"/>
      <c r="K49" s="50"/>
      <c r="L49" s="12"/>
      <c r="M49" s="12"/>
      <c r="N49" s="9"/>
      <c r="O49" s="9"/>
      <c r="P49" s="9"/>
      <c r="Q49" s="9"/>
      <c r="R49" s="9"/>
      <c r="S49" s="9"/>
    </row>
    <row r="50" spans="1:19" ht="18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12"/>
      <c r="M50" s="12"/>
      <c r="N50" s="9"/>
      <c r="O50" s="9"/>
      <c r="P50" s="9"/>
      <c r="Q50" s="9"/>
      <c r="R50" s="64"/>
      <c r="S50" s="9"/>
    </row>
    <row r="51" spans="1:19" ht="18.75">
      <c r="A51" s="9"/>
      <c r="B51" s="14" t="s">
        <v>68</v>
      </c>
      <c r="C51" s="9"/>
      <c r="D51" s="9"/>
      <c r="E51" s="9"/>
      <c r="F51" s="9"/>
      <c r="G51" s="9"/>
      <c r="H51" s="9"/>
      <c r="I51" s="9"/>
      <c r="J51" s="9"/>
      <c r="K51" s="9"/>
      <c r="L51" s="12"/>
      <c r="M51" s="12"/>
      <c r="N51" s="9"/>
      <c r="O51" s="9"/>
      <c r="P51" s="9"/>
      <c r="Q51" s="9"/>
      <c r="R51" s="64"/>
      <c r="S51" s="9"/>
    </row>
    <row r="52" spans="1:19" ht="18.75">
      <c r="A52" s="9"/>
      <c r="B52" s="15" t="s">
        <v>67</v>
      </c>
      <c r="C52" s="9"/>
      <c r="D52" s="9"/>
      <c r="E52" s="9"/>
      <c r="F52" s="9"/>
      <c r="G52" s="9"/>
      <c r="H52" s="9"/>
      <c r="I52" s="9"/>
      <c r="J52" s="9"/>
      <c r="K52" s="9"/>
      <c r="L52" s="12"/>
      <c r="M52" s="12"/>
      <c r="N52" s="9"/>
      <c r="O52" s="9"/>
      <c r="P52" s="9"/>
      <c r="Q52" s="9"/>
      <c r="R52" s="64"/>
      <c r="S52" s="9"/>
    </row>
    <row r="53" spans="1:19" ht="18.75">
      <c r="A53" s="9"/>
      <c r="B53" s="59">
        <v>1</v>
      </c>
      <c r="C53" s="9" t="s">
        <v>83</v>
      </c>
      <c r="D53" s="9"/>
      <c r="E53" s="9"/>
      <c r="F53" s="9"/>
      <c r="G53" s="9"/>
      <c r="H53" s="9"/>
      <c r="I53" s="9"/>
      <c r="J53" s="9"/>
      <c r="K53" s="9"/>
      <c r="L53" s="12"/>
      <c r="M53" s="12"/>
      <c r="N53" s="9"/>
      <c r="O53" s="9"/>
      <c r="P53" s="9"/>
      <c r="Q53" s="9"/>
      <c r="R53" s="64"/>
      <c r="S53" s="9"/>
    </row>
    <row r="54" spans="1:19" ht="18.75">
      <c r="A54" s="9"/>
      <c r="B54" s="59">
        <v>2</v>
      </c>
      <c r="C54" s="9" t="s">
        <v>84</v>
      </c>
      <c r="D54" s="9"/>
      <c r="E54" s="9"/>
      <c r="F54" s="9"/>
      <c r="G54" s="9"/>
      <c r="H54" s="9"/>
      <c r="I54" s="9"/>
      <c r="J54" s="9"/>
      <c r="K54" s="9"/>
      <c r="L54" s="12"/>
      <c r="M54" s="12"/>
      <c r="N54" s="9"/>
      <c r="O54" s="9"/>
      <c r="P54" s="9"/>
      <c r="Q54" s="9"/>
      <c r="R54" s="64"/>
      <c r="S54" s="9"/>
    </row>
    <row r="55" spans="1:19" ht="18.75">
      <c r="A55" s="9"/>
      <c r="D55" s="9"/>
      <c r="E55" s="9"/>
      <c r="F55" s="9"/>
      <c r="G55" s="9"/>
      <c r="H55" s="9"/>
      <c r="I55" s="9"/>
      <c r="J55" s="9"/>
      <c r="K55" s="9"/>
      <c r="L55" s="12"/>
      <c r="M55" s="9" t="s">
        <v>78</v>
      </c>
      <c r="N55" s="9"/>
      <c r="O55" s="9"/>
      <c r="P55" s="60">
        <v>0.4</v>
      </c>
      <c r="Q55" s="9"/>
      <c r="R55" s="64"/>
      <c r="S55" s="9"/>
    </row>
    <row r="56" spans="1:19" ht="18.75">
      <c r="A56" s="9"/>
      <c r="B56" s="59"/>
      <c r="C56" s="9"/>
      <c r="D56" s="9"/>
      <c r="E56" s="9"/>
      <c r="F56" s="9"/>
      <c r="G56" s="9"/>
      <c r="H56" s="9"/>
      <c r="I56" s="9"/>
      <c r="J56" s="9"/>
      <c r="K56" s="9"/>
      <c r="L56" s="12"/>
      <c r="M56" s="12"/>
      <c r="N56" s="9"/>
      <c r="O56" s="9"/>
      <c r="P56" s="9"/>
      <c r="Q56" s="9"/>
      <c r="R56" s="64"/>
      <c r="S56" s="9"/>
    </row>
    <row r="57" spans="1:19">
      <c r="N57" s="8"/>
      <c r="O57" s="8"/>
    </row>
    <row r="58" spans="1:19">
      <c r="N58" s="8"/>
    </row>
    <row r="59" spans="1:19">
      <c r="N59" s="8"/>
    </row>
  </sheetData>
  <mergeCells count="1">
    <mergeCell ref="B35:S35"/>
  </mergeCells>
  <pageMargins left="0.7" right="0.7" top="0.84242424242424196" bottom="0.75" header="0.3" footer="0.3"/>
  <pageSetup scale="28" orientation="landscape" r:id="rId1"/>
  <headerFooter>
    <oddHeader xml:space="preserve">&amp;R&amp;"Times New Roman,Regular"&amp;12APCo Exhibit No. ___
Witness:  SRW
Supplemental Schedule 3
Page 2 of 3
</oddHead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  <ignoredErrors>
    <ignoredError sqref="B8:C8 M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1f6a98d5-4e6a-406f-8258-3f07b61a1b98" value=""/>
  <element uid="c64218ab-b8d1-40b6-a478-cb8be1e10ecc" value=""/>
</sisl>
</file>

<file path=customXml/itemProps1.xml><?xml version="1.0" encoding="utf-8"?>
<ds:datastoreItem xmlns:ds="http://schemas.openxmlformats.org/officeDocument/2006/customXml" ds:itemID="{1548C572-BA38-4417-9B02-C5136863FD6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OL Rate Design</vt:lpstr>
      <vt:lpstr>'OL Rate Design'!Print_Area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s207409</cp:lastModifiedBy>
  <cp:lastPrinted>2020-08-12T16:47:01Z</cp:lastPrinted>
  <dcterms:created xsi:type="dcterms:W3CDTF">2006-04-10T13:58:56Z</dcterms:created>
  <dcterms:modified xsi:type="dcterms:W3CDTF">2020-09-24T20:10:08Z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91a1b8e0-3e83-414d-b13b-3ac45537f3b8</vt:lpwstr>
  </property>
  <property fmtid="{D5CDD505-2E9C-101B-9397-08002B2CF9AE}" pid="3" name="bjSaver">
    <vt:lpwstr>diDuiEk2n3XTujlYEatfPtjV7tyur89Z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uid="1f6a98d5-4e6a-406f-8258-3f07b61a1b98" value="" /&gt;&lt;element uid="c64218ab-b8d1-40b6-a478-cb8be1e10ecc" value="" /&gt;&lt;/sisl&gt;</vt:lpwstr>
  </property>
  <property fmtid="{D5CDD505-2E9C-101B-9397-08002B2CF9AE}" pid="6" name="bjDocumentSecurityLabel">
    <vt:lpwstr>AEP Confidential</vt:lpwstr>
  </property>
  <property fmtid="{D5CDD505-2E9C-101B-9397-08002B2CF9AE}" pid="7" name="Visual Markings Removed">
    <vt:lpwstr>No</vt:lpwstr>
  </property>
  <property fmtid="{D5CDD505-2E9C-101B-9397-08002B2CF9AE}" pid="8" name="bjCentreFooterLabel-first">
    <vt:lpwstr>&amp;"Calibri,Regular"&amp;11&amp;B&amp;K000000AEP CONFIDENTIAL</vt:lpwstr>
  </property>
  <property fmtid="{D5CDD505-2E9C-101B-9397-08002B2CF9AE}" pid="9" name="bjCentreFooterLabel-even">
    <vt:lpwstr>&amp;"Calibri,Regular"&amp;11&amp;B&amp;K000000AEP CONFIDENTIAL</vt:lpwstr>
  </property>
  <property fmtid="{D5CDD505-2E9C-101B-9397-08002B2CF9AE}" pid="10" name="bjCentreFooterLabel">
    <vt:lpwstr>&amp;"Calibri,Regular"&amp;11&amp;B&amp;K000000AEP CONFIDENTIAL</vt:lpwstr>
  </property>
  <property fmtid="{D5CDD505-2E9C-101B-9397-08002B2CF9AE}" pid="11" name="{A44787D4-0540-4523-9961-78E4036D8C6D}">
    <vt:lpwstr>{A7C0231A-061B-45E7-AB46-0EA0B89D1D33}</vt:lpwstr>
  </property>
</Properties>
</file>