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Staff\Set 02\DR Response Packet for filing\Public Attachments\"/>
    </mc:Choice>
  </mc:AlternateContent>
  <bookViews>
    <workbookView xWindow="0" yWindow="0" windowWidth="28800" windowHeight="10500" tabRatio="729"/>
  </bookViews>
  <sheets>
    <sheet name="Summary" sheetId="6" r:id="rId1"/>
    <sheet name="Schedule M-2" sheetId="7" r:id="rId2"/>
    <sheet name="CFIT Schedules" sheetId="2" r:id="rId3"/>
    <sheet name="DFIT-Per Books as Adjusted" sheetId="4" r:id="rId4"/>
    <sheet name="DFIT Computations" sheetId="1" r:id="rId5"/>
    <sheet name="SIT Schedules" sheetId="5" r:id="rId6"/>
  </sheets>
  <definedNames>
    <definedName name="_xlnm.Print_Area" localSheetId="2">'CFIT Schedules'!$A$13:$L$323</definedName>
    <definedName name="_xlnm.Print_Area" localSheetId="4">'DFIT Computations'!$A$22:$M$315</definedName>
    <definedName name="_xlnm.Print_Area" localSheetId="3">'DFIT-Per Books as Adjusted'!$A$21:$L$323</definedName>
    <definedName name="_xlnm.Print_Area" localSheetId="1">'Schedule M-2'!$A$1:$K$30</definedName>
    <definedName name="_xlnm.Print_Area" localSheetId="5">'SIT Schedules'!$A$11:$L$161</definedName>
    <definedName name="_xlnm.Print_Area" localSheetId="0">Summary!$A$14:$L$44</definedName>
    <definedName name="_xlnm.Print_Titles" localSheetId="2">'CFIT Schedules'!$1:$12</definedName>
    <definedName name="_xlnm.Print_Titles" localSheetId="4">'DFIT Computations'!$1:$13</definedName>
    <definedName name="_xlnm.Print_Titles" localSheetId="3">'DFIT-Per Books as Adjusted'!$1:$12</definedName>
    <definedName name="_xlnm.Print_Titles" localSheetId="5">'SIT Schedules'!$1:$10</definedName>
    <definedName name="_xlnm.Print_Titles" localSheetId="0">Summary!$1:$13</definedName>
  </definedNames>
  <calcPr calcId="162913"/>
</workbook>
</file>

<file path=xl/calcChain.xml><?xml version="1.0" encoding="utf-8"?>
<calcChain xmlns="http://schemas.openxmlformats.org/spreadsheetml/2006/main">
  <c r="D24" i="7" l="1"/>
  <c r="C22" i="7"/>
  <c r="C20" i="7"/>
  <c r="C19" i="7"/>
  <c r="C18" i="7"/>
  <c r="C17" i="7"/>
  <c r="C16" i="7"/>
  <c r="C13" i="7"/>
  <c r="A4" i="7"/>
  <c r="D30" i="7" l="1"/>
  <c r="D121" i="5"/>
  <c r="C107" i="5"/>
  <c r="A27" i="1" l="1"/>
  <c r="A28" i="1" s="1"/>
  <c r="A29" i="1" s="1"/>
  <c r="A30" i="1"/>
  <c r="A31" i="1" s="1"/>
  <c r="A32" i="1" s="1"/>
  <c r="A33" i="1" s="1"/>
  <c r="A34" i="1"/>
  <c r="A35" i="1" s="1"/>
  <c r="A36" i="1" s="1"/>
  <c r="A37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6" i="4"/>
  <c r="A27" i="4"/>
  <c r="A28" i="4"/>
  <c r="A29" i="4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85" i="2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164" i="2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26" i="2"/>
  <c r="E70" i="1" l="1"/>
  <c r="D244" i="4" l="1"/>
  <c r="M218" i="1" l="1"/>
  <c r="I218" i="1"/>
  <c r="G218" i="1"/>
  <c r="E216" i="2"/>
  <c r="G216" i="2" s="1"/>
  <c r="I216" i="2" s="1"/>
  <c r="K216" i="2" s="1"/>
  <c r="F218" i="1"/>
  <c r="E217" i="4"/>
  <c r="H218" i="1" l="1"/>
  <c r="J218" i="1" s="1"/>
  <c r="D108" i="5"/>
  <c r="D83" i="5"/>
  <c r="D30" i="5"/>
  <c r="D56" i="5"/>
  <c r="D51" i="5"/>
  <c r="C121" i="5" l="1"/>
  <c r="C30" i="5"/>
  <c r="C160" i="4"/>
  <c r="C139" i="4"/>
  <c r="C102" i="4"/>
  <c r="C256" i="4"/>
  <c r="C92" i="4"/>
  <c r="C38" i="4"/>
  <c r="C29" i="4"/>
  <c r="C195" i="4"/>
  <c r="C194" i="4"/>
  <c r="C219" i="4"/>
  <c r="C218" i="4"/>
  <c r="C220" i="4"/>
  <c r="C214" i="4"/>
  <c r="C213" i="4"/>
  <c r="C212" i="4"/>
  <c r="C211" i="4"/>
  <c r="C210" i="4"/>
  <c r="C209" i="4"/>
  <c r="C208" i="4"/>
  <c r="C207" i="4"/>
  <c r="C206" i="4"/>
  <c r="C216" i="4"/>
  <c r="C215" i="4"/>
  <c r="C222" i="4"/>
  <c r="C203" i="4"/>
  <c r="C199" i="4"/>
  <c r="C74" i="4"/>
  <c r="C197" i="4"/>
  <c r="C192" i="4"/>
  <c r="C188" i="4"/>
  <c r="C187" i="4"/>
  <c r="C183" i="4"/>
  <c r="C182" i="4"/>
  <c r="C181" i="4"/>
  <c r="C180" i="4"/>
  <c r="C244" i="4"/>
  <c r="C239" i="4"/>
  <c r="C145" i="4"/>
  <c r="C143" i="4" l="1"/>
  <c r="C169" i="4"/>
  <c r="C161" i="4"/>
  <c r="C159" i="4"/>
  <c r="C158" i="4"/>
  <c r="C150" i="4"/>
  <c r="C148" i="4"/>
  <c r="C147" i="4"/>
  <c r="C138" i="4"/>
  <c r="C137" i="4"/>
  <c r="C262" i="4"/>
  <c r="C134" i="4"/>
  <c r="C132" i="4"/>
  <c r="C266" i="4"/>
  <c r="C130" i="4"/>
  <c r="C129" i="4"/>
  <c r="C114" i="4"/>
  <c r="C113" i="4"/>
  <c r="C112" i="4"/>
  <c r="C111" i="4"/>
  <c r="C109" i="4"/>
  <c r="C107" i="4"/>
  <c r="C106" i="4"/>
  <c r="C105" i="4"/>
  <c r="C103" i="4"/>
  <c r="C104" i="4"/>
  <c r="C101" i="4"/>
  <c r="C253" i="4"/>
  <c r="C69" i="4"/>
  <c r="C68" i="4"/>
  <c r="C78" i="4" l="1"/>
  <c r="C79" i="4" s="1"/>
  <c r="C66" i="4"/>
  <c r="C88" i="4"/>
  <c r="C87" i="4"/>
  <c r="C86" i="4"/>
  <c r="C82" i="4"/>
  <c r="C128" i="4"/>
  <c r="C52" i="4"/>
  <c r="C47" i="4"/>
  <c r="C41" i="4"/>
  <c r="C34" i="4"/>
  <c r="C26" i="4"/>
  <c r="C24" i="4"/>
  <c r="C83" i="5" l="1"/>
  <c r="C14" i="2" l="1"/>
  <c r="C16" i="2"/>
  <c r="E90" i="1" l="1"/>
  <c r="D89" i="4"/>
  <c r="H237" i="2"/>
  <c r="F237" i="2"/>
  <c r="E239" i="1" l="1"/>
  <c r="D253" i="4"/>
  <c r="J160" i="2" l="1"/>
  <c r="I196" i="1" l="1"/>
  <c r="G196" i="1"/>
  <c r="M196" i="1"/>
  <c r="D145" i="4"/>
  <c r="D239" i="4"/>
  <c r="D197" i="4"/>
  <c r="D183" i="4"/>
  <c r="D181" i="4"/>
  <c r="D180" i="4"/>
  <c r="D112" i="4"/>
  <c r="D111" i="4"/>
  <c r="D103" i="4"/>
  <c r="D102" i="4"/>
  <c r="D82" i="4"/>
  <c r="D78" i="4"/>
  <c r="D79" i="4" s="1"/>
  <c r="D74" i="4"/>
  <c r="D68" i="4"/>
  <c r="D66" i="4"/>
  <c r="D41" i="4"/>
  <c r="D26" i="4"/>
  <c r="D24" i="4"/>
  <c r="F190" i="4" l="1"/>
  <c r="F188" i="4"/>
  <c r="F187" i="4"/>
  <c r="F26" i="4"/>
  <c r="F227" i="1"/>
  <c r="H227" i="1" s="1"/>
  <c r="J227" i="1" s="1"/>
  <c r="M227" i="1"/>
  <c r="I109" i="1"/>
  <c r="G109" i="1"/>
  <c r="F108" i="4" s="1"/>
  <c r="G108" i="1"/>
  <c r="I108" i="1"/>
  <c r="M109" i="1"/>
  <c r="L108" i="4" s="1"/>
  <c r="M89" i="1"/>
  <c r="L88" i="4" s="1"/>
  <c r="I89" i="1"/>
  <c r="G89" i="1"/>
  <c r="F88" i="4" s="1"/>
  <c r="M88" i="1"/>
  <c r="L87" i="4" s="1"/>
  <c r="I88" i="1"/>
  <c r="G88" i="1"/>
  <c r="F87" i="4" s="1"/>
  <c r="M36" i="1"/>
  <c r="I36" i="1"/>
  <c r="G36" i="1"/>
  <c r="F35" i="4" s="1"/>
  <c r="M27" i="1"/>
  <c r="I275" i="1"/>
  <c r="I274" i="1"/>
  <c r="I273" i="1"/>
  <c r="I272" i="1"/>
  <c r="I271" i="1"/>
  <c r="I270" i="1"/>
  <c r="I269" i="1"/>
  <c r="I265" i="1"/>
  <c r="I264" i="1"/>
  <c r="I263" i="1"/>
  <c r="I262" i="1"/>
  <c r="I261" i="1"/>
  <c r="I260" i="1"/>
  <c r="I259" i="1"/>
  <c r="I258" i="1"/>
  <c r="I257" i="1"/>
  <c r="I256" i="1"/>
  <c r="I255" i="1"/>
  <c r="I247" i="1"/>
  <c r="I243" i="1"/>
  <c r="I242" i="1"/>
  <c r="I234" i="1"/>
  <c r="I223" i="1"/>
  <c r="I222" i="1"/>
  <c r="H221" i="4" s="1"/>
  <c r="I221" i="1"/>
  <c r="I206" i="1"/>
  <c r="I205" i="1"/>
  <c r="I204" i="1"/>
  <c r="I203" i="1"/>
  <c r="I202" i="1"/>
  <c r="I201" i="1"/>
  <c r="I200" i="1"/>
  <c r="I199" i="1"/>
  <c r="I198" i="1"/>
  <c r="I197" i="1"/>
  <c r="I195" i="1"/>
  <c r="I194" i="1"/>
  <c r="I192" i="1"/>
  <c r="I185" i="1"/>
  <c r="I184" i="1"/>
  <c r="I183" i="1"/>
  <c r="I182" i="1"/>
  <c r="I181" i="1"/>
  <c r="I180" i="1"/>
  <c r="I171" i="1"/>
  <c r="I170" i="1"/>
  <c r="H169" i="4" s="1"/>
  <c r="I169" i="1"/>
  <c r="H168" i="4" s="1"/>
  <c r="I168" i="1"/>
  <c r="H167" i="4" s="1"/>
  <c r="I167" i="1"/>
  <c r="H166" i="4" s="1"/>
  <c r="I166" i="1"/>
  <c r="H165" i="4" s="1"/>
  <c r="I165" i="1"/>
  <c r="H164" i="4" s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7" i="1"/>
  <c r="I106" i="1"/>
  <c r="I105" i="1"/>
  <c r="I104" i="1"/>
  <c r="I103" i="1"/>
  <c r="I102" i="1"/>
  <c r="I94" i="1"/>
  <c r="I93" i="1"/>
  <c r="I87" i="1"/>
  <c r="I83" i="1"/>
  <c r="I79" i="1"/>
  <c r="I69" i="1"/>
  <c r="I68" i="1"/>
  <c r="I67" i="1"/>
  <c r="I65" i="1"/>
  <c r="I60" i="1"/>
  <c r="I53" i="1"/>
  <c r="I51" i="1"/>
  <c r="I48" i="1"/>
  <c r="I47" i="1"/>
  <c r="I37" i="1"/>
  <c r="I35" i="1"/>
  <c r="I32" i="1"/>
  <c r="I31" i="1"/>
  <c r="I30" i="1"/>
  <c r="I29" i="1"/>
  <c r="I28" i="1"/>
  <c r="I25" i="1"/>
  <c r="I23" i="1"/>
  <c r="I90" i="1" l="1"/>
  <c r="E195" i="1" l="1"/>
  <c r="E194" i="1"/>
  <c r="C56" i="5" l="1"/>
  <c r="F237" i="1" l="1"/>
  <c r="H237" i="1" s="1"/>
  <c r="J237" i="1" s="1"/>
  <c r="M237" i="1"/>
  <c r="G222" i="1"/>
  <c r="F221" i="4" s="1"/>
  <c r="M222" i="1"/>
  <c r="L221" i="4" s="1"/>
  <c r="M191" i="1"/>
  <c r="L190" i="4" s="1"/>
  <c r="M189" i="1"/>
  <c r="L188" i="4" s="1"/>
  <c r="M188" i="1"/>
  <c r="L187" i="4" s="1"/>
  <c r="G170" i="1"/>
  <c r="G169" i="1"/>
  <c r="F168" i="4" s="1"/>
  <c r="G168" i="1"/>
  <c r="F167" i="4" s="1"/>
  <c r="G167" i="1"/>
  <c r="F166" i="4" s="1"/>
  <c r="G166" i="1"/>
  <c r="G165" i="1"/>
  <c r="F164" i="4" s="1"/>
  <c r="M170" i="1"/>
  <c r="L169" i="4" s="1"/>
  <c r="M169" i="1"/>
  <c r="M168" i="1"/>
  <c r="M167" i="1"/>
  <c r="L166" i="4" s="1"/>
  <c r="M166" i="1"/>
  <c r="L165" i="4" s="1"/>
  <c r="M165" i="1"/>
  <c r="L164" i="4" s="1"/>
  <c r="L167" i="4" l="1"/>
  <c r="L168" i="4"/>
  <c r="F169" i="4"/>
  <c r="F165" i="4"/>
  <c r="D70" i="1" l="1"/>
  <c r="D66" i="1"/>
  <c r="D54" i="1"/>
  <c r="D52" i="1"/>
  <c r="D50" i="1"/>
  <c r="D49" i="1"/>
  <c r="C222" i="1"/>
  <c r="D222" i="1" s="1"/>
  <c r="F222" i="1" s="1"/>
  <c r="H222" i="1" l="1"/>
  <c r="J222" i="1" s="1"/>
  <c r="D223" i="4"/>
  <c r="E221" i="4" l="1"/>
  <c r="E192" i="4"/>
  <c r="E190" i="4"/>
  <c r="E189" i="4"/>
  <c r="E188" i="4"/>
  <c r="E187" i="4"/>
  <c r="E169" i="4"/>
  <c r="E168" i="4"/>
  <c r="E167" i="4"/>
  <c r="E166" i="4"/>
  <c r="E165" i="4"/>
  <c r="E164" i="4"/>
  <c r="E108" i="4"/>
  <c r="H88" i="4"/>
  <c r="E88" i="4"/>
  <c r="E87" i="4"/>
  <c r="E82" i="4"/>
  <c r="E68" i="4"/>
  <c r="E67" i="4"/>
  <c r="E66" i="4"/>
  <c r="E65" i="4"/>
  <c r="E64" i="4"/>
  <c r="E53" i="4"/>
  <c r="E52" i="4"/>
  <c r="E51" i="4"/>
  <c r="E50" i="4"/>
  <c r="E49" i="4"/>
  <c r="E48" i="4"/>
  <c r="E47" i="4"/>
  <c r="E46" i="4"/>
  <c r="E45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128" i="2"/>
  <c r="E88" i="2"/>
  <c r="C89" i="1" s="1"/>
  <c r="D89" i="1" s="1"/>
  <c r="F89" i="1" s="1"/>
  <c r="H89" i="1" s="1"/>
  <c r="J89" i="1" s="1"/>
  <c r="E87" i="2"/>
  <c r="C88" i="1" s="1"/>
  <c r="D88" i="1" s="1"/>
  <c r="F88" i="1" s="1"/>
  <c r="H88" i="1" s="1"/>
  <c r="J88" i="1" s="1"/>
  <c r="E86" i="2"/>
  <c r="E82" i="2"/>
  <c r="E67" i="2"/>
  <c r="E66" i="2"/>
  <c r="E65" i="2"/>
  <c r="E78" i="2"/>
  <c r="G164" i="4" l="1"/>
  <c r="I164" i="4" s="1"/>
  <c r="G165" i="4"/>
  <c r="I165" i="4" s="1"/>
  <c r="G169" i="4"/>
  <c r="I169" i="4" s="1"/>
  <c r="G190" i="4"/>
  <c r="I190" i="4" s="1"/>
  <c r="G168" i="4"/>
  <c r="I168" i="4" s="1"/>
  <c r="G26" i="4"/>
  <c r="I26" i="4" s="1"/>
  <c r="G35" i="4"/>
  <c r="I35" i="4" s="1"/>
  <c r="G166" i="4"/>
  <c r="I166" i="4" s="1"/>
  <c r="G187" i="4"/>
  <c r="I187" i="4" s="1"/>
  <c r="G108" i="4"/>
  <c r="I108" i="4" s="1"/>
  <c r="G167" i="4"/>
  <c r="I167" i="4" s="1"/>
  <c r="G188" i="4"/>
  <c r="I188" i="4" s="1"/>
  <c r="G221" i="4"/>
  <c r="I221" i="4" s="1"/>
  <c r="G88" i="4"/>
  <c r="I88" i="4" s="1"/>
  <c r="J195" i="2" l="1"/>
  <c r="J190" i="2"/>
  <c r="E190" i="2"/>
  <c r="J188" i="2"/>
  <c r="E188" i="2"/>
  <c r="J187" i="2"/>
  <c r="E187" i="2"/>
  <c r="E169" i="2"/>
  <c r="E168" i="2"/>
  <c r="E167" i="2"/>
  <c r="C168" i="1" s="1"/>
  <c r="D168" i="1" s="1"/>
  <c r="F168" i="1" s="1"/>
  <c r="E166" i="2"/>
  <c r="E165" i="2"/>
  <c r="E164" i="2"/>
  <c r="J169" i="2"/>
  <c r="J168" i="2"/>
  <c r="J167" i="2"/>
  <c r="J166" i="2"/>
  <c r="J165" i="2"/>
  <c r="J164" i="2"/>
  <c r="H168" i="1" l="1"/>
  <c r="J168" i="1" s="1"/>
  <c r="G167" i="2"/>
  <c r="I167" i="2" s="1"/>
  <c r="K167" i="2" s="1"/>
  <c r="G166" i="2"/>
  <c r="I166" i="2" s="1"/>
  <c r="K166" i="2" s="1"/>
  <c r="C167" i="1"/>
  <c r="D167" i="1" s="1"/>
  <c r="F167" i="1" s="1"/>
  <c r="G169" i="2"/>
  <c r="I169" i="2" s="1"/>
  <c r="C170" i="1"/>
  <c r="D170" i="1" s="1"/>
  <c r="F170" i="1" s="1"/>
  <c r="G164" i="2"/>
  <c r="I164" i="2" s="1"/>
  <c r="K164" i="2" s="1"/>
  <c r="C165" i="1"/>
  <c r="D165" i="1" s="1"/>
  <c r="F165" i="1" s="1"/>
  <c r="G165" i="2"/>
  <c r="I165" i="2" s="1"/>
  <c r="K165" i="2" s="1"/>
  <c r="C166" i="1"/>
  <c r="D166" i="1" s="1"/>
  <c r="F166" i="1" s="1"/>
  <c r="G168" i="2"/>
  <c r="I168" i="2" s="1"/>
  <c r="C169" i="1"/>
  <c r="D169" i="1" s="1"/>
  <c r="F169" i="1" s="1"/>
  <c r="G187" i="2"/>
  <c r="I187" i="2" s="1"/>
  <c r="K187" i="2" s="1"/>
  <c r="C188" i="1"/>
  <c r="D188" i="1" s="1"/>
  <c r="F188" i="1" s="1"/>
  <c r="G190" i="2"/>
  <c r="I190" i="2" s="1"/>
  <c r="K190" i="2" s="1"/>
  <c r="C191" i="1"/>
  <c r="D191" i="1" s="1"/>
  <c r="F191" i="1" s="1"/>
  <c r="G188" i="2"/>
  <c r="I188" i="2" s="1"/>
  <c r="K188" i="2" s="1"/>
  <c r="C189" i="1"/>
  <c r="D189" i="1" s="1"/>
  <c r="F189" i="1" s="1"/>
  <c r="K168" i="2"/>
  <c r="K169" i="2"/>
  <c r="H188" i="1" l="1"/>
  <c r="J188" i="1" s="1"/>
  <c r="H189" i="1"/>
  <c r="J189" i="1" s="1"/>
  <c r="H191" i="1"/>
  <c r="J191" i="1" s="1"/>
  <c r="H166" i="1"/>
  <c r="J166" i="1" s="1"/>
  <c r="H170" i="1"/>
  <c r="J170" i="1" s="1"/>
  <c r="H169" i="1"/>
  <c r="J169" i="1" s="1"/>
  <c r="H165" i="1"/>
  <c r="J165" i="1" s="1"/>
  <c r="H167" i="1"/>
  <c r="J167" i="1" s="1"/>
  <c r="J235" i="2"/>
  <c r="E235" i="2"/>
  <c r="J225" i="2"/>
  <c r="E225" i="2"/>
  <c r="G225" i="2" s="1"/>
  <c r="J220" i="2"/>
  <c r="E220" i="2"/>
  <c r="G220" i="2" s="1"/>
  <c r="I220" i="2" s="1"/>
  <c r="K220" i="2" s="1"/>
  <c r="J218" i="2"/>
  <c r="J217" i="2"/>
  <c r="J214" i="2"/>
  <c r="J212" i="2"/>
  <c r="J211" i="2"/>
  <c r="J209" i="2"/>
  <c r="J208" i="2"/>
  <c r="J206" i="2"/>
  <c r="J205" i="2"/>
  <c r="J108" i="2"/>
  <c r="E108" i="2"/>
  <c r="J88" i="2"/>
  <c r="G88" i="2"/>
  <c r="I88" i="2" s="1"/>
  <c r="J87" i="2"/>
  <c r="G87" i="2"/>
  <c r="I87" i="2" s="1"/>
  <c r="J35" i="2"/>
  <c r="E35" i="2"/>
  <c r="C36" i="1" s="1"/>
  <c r="D36" i="1" s="1"/>
  <c r="F36" i="1" s="1"/>
  <c r="J26" i="2"/>
  <c r="E26" i="2"/>
  <c r="K87" i="2" l="1"/>
  <c r="K88" i="2"/>
  <c r="I225" i="2"/>
  <c r="C227" i="1"/>
  <c r="H36" i="1"/>
  <c r="J36" i="1" s="1"/>
  <c r="G108" i="2"/>
  <c r="I108" i="2" s="1"/>
  <c r="K108" i="2" s="1"/>
  <c r="C109" i="1"/>
  <c r="D109" i="1" s="1"/>
  <c r="F109" i="1" s="1"/>
  <c r="G235" i="2"/>
  <c r="I235" i="2" s="1"/>
  <c r="K235" i="2" s="1"/>
  <c r="C237" i="1"/>
  <c r="G26" i="2"/>
  <c r="I26" i="2" s="1"/>
  <c r="K26" i="2" s="1"/>
  <c r="C27" i="1"/>
  <c r="D27" i="1" s="1"/>
  <c r="F27" i="1" s="1"/>
  <c r="G35" i="2"/>
  <c r="I35" i="2" s="1"/>
  <c r="K35" i="2" s="1"/>
  <c r="K225" i="2" l="1"/>
  <c r="H109" i="1"/>
  <c r="J109" i="1" s="1"/>
  <c r="H27" i="1"/>
  <c r="J27" i="1" s="1"/>
  <c r="D286" i="2" l="1"/>
  <c r="E286" i="2" s="1"/>
  <c r="G286" i="2" s="1"/>
  <c r="I286" i="2" s="1"/>
  <c r="D285" i="2"/>
  <c r="E285" i="2" s="1"/>
  <c r="G285" i="2" s="1"/>
  <c r="I285" i="2" s="1"/>
  <c r="I220" i="1" l="1"/>
  <c r="H219" i="4" s="1"/>
  <c r="I219" i="1"/>
  <c r="I217" i="1"/>
  <c r="H216" i="4" s="1"/>
  <c r="I216" i="1"/>
  <c r="H215" i="4" s="1"/>
  <c r="I215" i="1"/>
  <c r="H214" i="4" s="1"/>
  <c r="I214" i="1"/>
  <c r="H213" i="4" s="1"/>
  <c r="I213" i="1"/>
  <c r="H212" i="4" s="1"/>
  <c r="I212" i="1"/>
  <c r="H211" i="4" s="1"/>
  <c r="I211" i="1"/>
  <c r="H210" i="4" s="1"/>
  <c r="I210" i="1"/>
  <c r="H209" i="4" s="1"/>
  <c r="I209" i="1"/>
  <c r="H208" i="4" s="1"/>
  <c r="I208" i="1"/>
  <c r="H207" i="4" s="1"/>
  <c r="I207" i="1"/>
  <c r="H206" i="4" s="1"/>
  <c r="M220" i="1"/>
  <c r="L219" i="4" s="1"/>
  <c r="M219" i="1"/>
  <c r="M217" i="1"/>
  <c r="L216" i="4" s="1"/>
  <c r="M216" i="1"/>
  <c r="L215" i="4" s="1"/>
  <c r="M215" i="1"/>
  <c r="L214" i="4" s="1"/>
  <c r="M214" i="1"/>
  <c r="L213" i="4" s="1"/>
  <c r="M213" i="1"/>
  <c r="L212" i="4" s="1"/>
  <c r="M212" i="1"/>
  <c r="L211" i="4" s="1"/>
  <c r="M211" i="1"/>
  <c r="L210" i="4" s="1"/>
  <c r="M210" i="1"/>
  <c r="L209" i="4" s="1"/>
  <c r="M209" i="1"/>
  <c r="L208" i="4" s="1"/>
  <c r="M208" i="1"/>
  <c r="L207" i="4" s="1"/>
  <c r="M207" i="1"/>
  <c r="L206" i="4" s="1"/>
  <c r="G220" i="1"/>
  <c r="G219" i="1"/>
  <c r="G217" i="1"/>
  <c r="G216" i="1"/>
  <c r="G215" i="1"/>
  <c r="G214" i="1"/>
  <c r="G213" i="1"/>
  <c r="G212" i="1"/>
  <c r="G211" i="1"/>
  <c r="G210" i="1"/>
  <c r="G209" i="1"/>
  <c r="G208" i="1"/>
  <c r="G207" i="1"/>
  <c r="J215" i="2"/>
  <c r="J213" i="2"/>
  <c r="J210" i="2"/>
  <c r="J207" i="2"/>
  <c r="E218" i="2"/>
  <c r="G218" i="2" s="1"/>
  <c r="I218" i="2" s="1"/>
  <c r="K218" i="2" s="1"/>
  <c r="E217" i="2"/>
  <c r="G217" i="2" s="1"/>
  <c r="E215" i="2"/>
  <c r="G215" i="2" s="1"/>
  <c r="I215" i="2" s="1"/>
  <c r="E214" i="2"/>
  <c r="G214" i="2" s="1"/>
  <c r="I214" i="2" s="1"/>
  <c r="K214" i="2" s="1"/>
  <c r="E213" i="2"/>
  <c r="G213" i="2" s="1"/>
  <c r="I213" i="2" s="1"/>
  <c r="E212" i="2"/>
  <c r="G212" i="2" s="1"/>
  <c r="I212" i="2" s="1"/>
  <c r="K212" i="2" s="1"/>
  <c r="E211" i="2"/>
  <c r="G211" i="2" s="1"/>
  <c r="I211" i="2" s="1"/>
  <c r="K211" i="2" s="1"/>
  <c r="E210" i="2"/>
  <c r="G210" i="2" s="1"/>
  <c r="I210" i="2" s="1"/>
  <c r="E209" i="2"/>
  <c r="G209" i="2" s="1"/>
  <c r="I209" i="2" s="1"/>
  <c r="K209" i="2" s="1"/>
  <c r="E208" i="2"/>
  <c r="G208" i="2" s="1"/>
  <c r="I208" i="2" s="1"/>
  <c r="K208" i="2" s="1"/>
  <c r="E207" i="2"/>
  <c r="C209" i="1" s="1"/>
  <c r="D209" i="1" s="1"/>
  <c r="F209" i="1" s="1"/>
  <c r="E206" i="2"/>
  <c r="G206" i="2" s="1"/>
  <c r="I206" i="2" s="1"/>
  <c r="K206" i="2" s="1"/>
  <c r="E205" i="2"/>
  <c r="G205" i="2" s="1"/>
  <c r="I205" i="2" s="1"/>
  <c r="K205" i="2" s="1"/>
  <c r="K213" i="2" l="1"/>
  <c r="G207" i="2"/>
  <c r="I207" i="2" s="1"/>
  <c r="K210" i="2"/>
  <c r="I217" i="2"/>
  <c r="C219" i="1"/>
  <c r="D219" i="1" s="1"/>
  <c r="F219" i="1" s="1"/>
  <c r="H219" i="1" s="1"/>
  <c r="J219" i="1" s="1"/>
  <c r="C217" i="1"/>
  <c r="D217" i="1" s="1"/>
  <c r="F217" i="1" s="1"/>
  <c r="H217" i="1" s="1"/>
  <c r="J217" i="1" s="1"/>
  <c r="C214" i="1"/>
  <c r="D214" i="1" s="1"/>
  <c r="F214" i="1" s="1"/>
  <c r="L218" i="4"/>
  <c r="L217" i="4"/>
  <c r="H218" i="4"/>
  <c r="H217" i="4"/>
  <c r="C213" i="1"/>
  <c r="D213" i="1" s="1"/>
  <c r="F213" i="1" s="1"/>
  <c r="C210" i="1"/>
  <c r="D210" i="1" s="1"/>
  <c r="F210" i="1" s="1"/>
  <c r="H210" i="1" s="1"/>
  <c r="J210" i="1" s="1"/>
  <c r="C207" i="1"/>
  <c r="D207" i="1" s="1"/>
  <c r="F207" i="1" s="1"/>
  <c r="C211" i="1"/>
  <c r="D211" i="1" s="1"/>
  <c r="F211" i="1" s="1"/>
  <c r="H211" i="1" s="1"/>
  <c r="J211" i="1" s="1"/>
  <c r="C215" i="1"/>
  <c r="D215" i="1" s="1"/>
  <c r="F215" i="1" s="1"/>
  <c r="H215" i="1" s="1"/>
  <c r="J215" i="1" s="1"/>
  <c r="C220" i="1"/>
  <c r="D220" i="1" s="1"/>
  <c r="F220" i="1" s="1"/>
  <c r="H220" i="1" s="1"/>
  <c r="J220" i="1" s="1"/>
  <c r="K207" i="2"/>
  <c r="K215" i="2"/>
  <c r="C208" i="1"/>
  <c r="D208" i="1" s="1"/>
  <c r="F208" i="1" s="1"/>
  <c r="H208" i="1" s="1"/>
  <c r="J208" i="1" s="1"/>
  <c r="C212" i="1"/>
  <c r="D212" i="1" s="1"/>
  <c r="F212" i="1" s="1"/>
  <c r="H212" i="1" s="1"/>
  <c r="J212" i="1" s="1"/>
  <c r="C216" i="1"/>
  <c r="D216" i="1" s="1"/>
  <c r="F216" i="1" s="1"/>
  <c r="H216" i="1" s="1"/>
  <c r="J216" i="1" s="1"/>
  <c r="H209" i="1"/>
  <c r="J209" i="1" s="1"/>
  <c r="H213" i="1"/>
  <c r="J213" i="1" s="1"/>
  <c r="H214" i="1"/>
  <c r="J214" i="1" s="1"/>
  <c r="K217" i="2" l="1"/>
  <c r="H207" i="1"/>
  <c r="J207" i="1" s="1"/>
  <c r="F219" i="4"/>
  <c r="F216" i="4"/>
  <c r="E216" i="4"/>
  <c r="E215" i="4"/>
  <c r="F214" i="4"/>
  <c r="E214" i="4"/>
  <c r="F213" i="4"/>
  <c r="F212" i="4"/>
  <c r="E212" i="4"/>
  <c r="F211" i="4"/>
  <c r="E211" i="4"/>
  <c r="F210" i="4"/>
  <c r="F209" i="4"/>
  <c r="E209" i="4"/>
  <c r="E208" i="4"/>
  <c r="E206" i="4"/>
  <c r="G211" i="4" l="1"/>
  <c r="G212" i="4"/>
  <c r="I212" i="4" s="1"/>
  <c r="G216" i="4"/>
  <c r="I216" i="4" s="1"/>
  <c r="G214" i="4"/>
  <c r="I214" i="4" s="1"/>
  <c r="G209" i="4"/>
  <c r="I209" i="4" s="1"/>
  <c r="I211" i="4"/>
  <c r="C237" i="2" l="1"/>
  <c r="C222" i="2"/>
  <c r="B44" i="5" l="1"/>
  <c r="B70" i="5" s="1"/>
  <c r="B96" i="5" s="1"/>
  <c r="E219" i="4" l="1"/>
  <c r="E218" i="4"/>
  <c r="E210" i="4"/>
  <c r="E213" i="4"/>
  <c r="G213" i="4" l="1"/>
  <c r="I213" i="4" s="1"/>
  <c r="G210" i="4"/>
  <c r="I210" i="4" s="1"/>
  <c r="G219" i="4"/>
  <c r="I219" i="4" s="1"/>
  <c r="E207" i="4"/>
  <c r="C223" i="4"/>
  <c r="C89" i="4"/>
  <c r="H89" i="2" l="1"/>
  <c r="F89" i="2"/>
  <c r="E89" i="2"/>
  <c r="D89" i="2"/>
  <c r="C89" i="2"/>
  <c r="K155" i="1" l="1"/>
  <c r="K148" i="1"/>
  <c r="J154" i="4"/>
  <c r="J147" i="4"/>
  <c r="D291" i="2" l="1"/>
  <c r="D290" i="2"/>
  <c r="D289" i="2"/>
  <c r="K101" i="5" l="1"/>
  <c r="I101" i="5"/>
  <c r="H101" i="5"/>
  <c r="G101" i="5"/>
  <c r="F101" i="5"/>
  <c r="K75" i="5"/>
  <c r="I75" i="5"/>
  <c r="H75" i="5"/>
  <c r="G75" i="5"/>
  <c r="F75" i="5"/>
  <c r="K49" i="5"/>
  <c r="I49" i="5"/>
  <c r="H49" i="5"/>
  <c r="G49" i="5"/>
  <c r="F49" i="5"/>
  <c r="K23" i="5"/>
  <c r="I23" i="5"/>
  <c r="H23" i="5"/>
  <c r="G23" i="5"/>
  <c r="F23" i="5"/>
  <c r="J289" i="2" l="1"/>
  <c r="E289" i="2"/>
  <c r="G289" i="2" s="1"/>
  <c r="I289" i="2" s="1"/>
  <c r="J290" i="2"/>
  <c r="E290" i="2"/>
  <c r="G290" i="2" s="1"/>
  <c r="I290" i="2" s="1"/>
  <c r="K290" i="2" l="1"/>
  <c r="K289" i="2"/>
  <c r="D31" i="5" l="1"/>
  <c r="E31" i="5" s="1"/>
  <c r="G31" i="5" s="1"/>
  <c r="I31" i="5" s="1"/>
  <c r="D84" i="5" l="1"/>
  <c r="M144" i="1" l="1"/>
  <c r="L143" i="4" s="1"/>
  <c r="H143" i="4"/>
  <c r="F143" i="4"/>
  <c r="E143" i="4"/>
  <c r="J143" i="2"/>
  <c r="E143" i="2"/>
  <c r="G143" i="2" s="1"/>
  <c r="I143" i="2" s="1"/>
  <c r="D156" i="2"/>
  <c r="D157" i="2"/>
  <c r="M183" i="1"/>
  <c r="M182" i="1"/>
  <c r="I76" i="1"/>
  <c r="G76" i="1"/>
  <c r="E76" i="1"/>
  <c r="M146" i="1"/>
  <c r="L145" i="4" s="1"/>
  <c r="H145" i="4"/>
  <c r="G146" i="1"/>
  <c r="F145" i="4" s="1"/>
  <c r="M145" i="1"/>
  <c r="L144" i="4" s="1"/>
  <c r="H144" i="4"/>
  <c r="G145" i="1"/>
  <c r="F144" i="4" s="1"/>
  <c r="J145" i="2"/>
  <c r="E145" i="2"/>
  <c r="G145" i="2" s="1"/>
  <c r="I145" i="2" s="1"/>
  <c r="J144" i="2"/>
  <c r="E144" i="2"/>
  <c r="C145" i="1" s="1"/>
  <c r="M117" i="1"/>
  <c r="G117" i="1"/>
  <c r="M116" i="1"/>
  <c r="G116" i="1"/>
  <c r="M201" i="1"/>
  <c r="L200" i="4" s="1"/>
  <c r="H200" i="4"/>
  <c r="G201" i="1"/>
  <c r="F200" i="4" s="1"/>
  <c r="J199" i="2"/>
  <c r="D199" i="2"/>
  <c r="E199" i="2" s="1"/>
  <c r="G199" i="2" s="1"/>
  <c r="I199" i="2" s="1"/>
  <c r="H37" i="4"/>
  <c r="F37" i="4"/>
  <c r="M38" i="1"/>
  <c r="L37" i="4" s="1"/>
  <c r="J37" i="2"/>
  <c r="E37" i="2"/>
  <c r="G37" i="2" s="1"/>
  <c r="I37" i="2" s="1"/>
  <c r="M195" i="1"/>
  <c r="L195" i="4" s="1"/>
  <c r="H195" i="4"/>
  <c r="G195" i="1"/>
  <c r="F194" i="4" s="1"/>
  <c r="M194" i="1"/>
  <c r="L194" i="4" s="1"/>
  <c r="H194" i="4"/>
  <c r="G194" i="1"/>
  <c r="F193" i="4" s="1"/>
  <c r="J194" i="2"/>
  <c r="D194" i="2"/>
  <c r="E194" i="2" s="1"/>
  <c r="G194" i="2" s="1"/>
  <c r="I194" i="2" s="1"/>
  <c r="J193" i="2"/>
  <c r="D193" i="2"/>
  <c r="E193" i="2" s="1"/>
  <c r="G193" i="2" s="1"/>
  <c r="I193" i="2" s="1"/>
  <c r="D145" i="1" l="1"/>
  <c r="F145" i="1" s="1"/>
  <c r="H145" i="1" s="1"/>
  <c r="J145" i="1" s="1"/>
  <c r="G143" i="4"/>
  <c r="I143" i="4" s="1"/>
  <c r="K143" i="2"/>
  <c r="C144" i="1"/>
  <c r="C146" i="1"/>
  <c r="G144" i="2"/>
  <c r="I144" i="2" s="1"/>
  <c r="K144" i="2" s="1"/>
  <c r="E144" i="4"/>
  <c r="K194" i="2"/>
  <c r="K145" i="2"/>
  <c r="E145" i="4"/>
  <c r="C201" i="1"/>
  <c r="E200" i="4"/>
  <c r="K199" i="2"/>
  <c r="G37" i="4"/>
  <c r="I37" i="4" s="1"/>
  <c r="C195" i="1"/>
  <c r="C194" i="1"/>
  <c r="K37" i="2"/>
  <c r="C38" i="1"/>
  <c r="E195" i="4"/>
  <c r="E194" i="4"/>
  <c r="K193" i="2"/>
  <c r="G200" i="4" l="1"/>
  <c r="I200" i="4" s="1"/>
  <c r="G144" i="4"/>
  <c r="I144" i="4" s="1"/>
  <c r="G194" i="4"/>
  <c r="I194" i="4" s="1"/>
  <c r="G145" i="4"/>
  <c r="I145" i="4" s="1"/>
  <c r="D144" i="1"/>
  <c r="F144" i="1" s="1"/>
  <c r="D194" i="1"/>
  <c r="F194" i="1" s="1"/>
  <c r="D195" i="1"/>
  <c r="F195" i="1" s="1"/>
  <c r="D201" i="1"/>
  <c r="F201" i="1" s="1"/>
  <c r="D38" i="1"/>
  <c r="F38" i="1" s="1"/>
  <c r="D146" i="1"/>
  <c r="F146" i="1" s="1"/>
  <c r="H146" i="1" s="1"/>
  <c r="J146" i="1" s="1"/>
  <c r="M275" i="1"/>
  <c r="G275" i="1"/>
  <c r="M274" i="1"/>
  <c r="G274" i="1"/>
  <c r="M273" i="1"/>
  <c r="G273" i="1"/>
  <c r="M272" i="1"/>
  <c r="G272" i="1"/>
  <c r="M271" i="1"/>
  <c r="G271" i="1"/>
  <c r="M270" i="1"/>
  <c r="G270" i="1"/>
  <c r="M265" i="1"/>
  <c r="G265" i="1"/>
  <c r="M264" i="1"/>
  <c r="G264" i="1"/>
  <c r="M263" i="1"/>
  <c r="G263" i="1"/>
  <c r="M262" i="1"/>
  <c r="G262" i="1"/>
  <c r="M261" i="1"/>
  <c r="G261" i="1"/>
  <c r="M260" i="1"/>
  <c r="G260" i="1"/>
  <c r="M259" i="1"/>
  <c r="G259" i="1"/>
  <c r="M258" i="1"/>
  <c r="G258" i="1"/>
  <c r="M257" i="1"/>
  <c r="G257" i="1"/>
  <c r="M256" i="1"/>
  <c r="G256" i="1"/>
  <c r="M255" i="1"/>
  <c r="G255" i="1"/>
  <c r="M171" i="1"/>
  <c r="L170" i="4" s="1"/>
  <c r="G171" i="1"/>
  <c r="M164" i="1"/>
  <c r="L163" i="4" s="1"/>
  <c r="G164" i="1"/>
  <c r="M163" i="1"/>
  <c r="L162" i="4" s="1"/>
  <c r="G163" i="1"/>
  <c r="M162" i="1"/>
  <c r="L161" i="4" s="1"/>
  <c r="G162" i="1"/>
  <c r="M161" i="1"/>
  <c r="G161" i="1"/>
  <c r="M160" i="1"/>
  <c r="L159" i="4" s="1"/>
  <c r="G160" i="1"/>
  <c r="M159" i="1"/>
  <c r="L158" i="4" s="1"/>
  <c r="G159" i="1"/>
  <c r="M158" i="1"/>
  <c r="L157" i="4" s="1"/>
  <c r="H157" i="4"/>
  <c r="G158" i="1"/>
  <c r="F157" i="4" s="1"/>
  <c r="M157" i="1"/>
  <c r="L156" i="4" s="1"/>
  <c r="H156" i="4"/>
  <c r="G157" i="1"/>
  <c r="F156" i="4" s="1"/>
  <c r="M156" i="1"/>
  <c r="L155" i="4" s="1"/>
  <c r="H155" i="4"/>
  <c r="G156" i="1"/>
  <c r="F155" i="4" s="1"/>
  <c r="M155" i="1"/>
  <c r="L154" i="4" s="1"/>
  <c r="H154" i="4"/>
  <c r="G155" i="1"/>
  <c r="F154" i="4" s="1"/>
  <c r="M154" i="1"/>
  <c r="L153" i="4" s="1"/>
  <c r="H153" i="4"/>
  <c r="G154" i="1"/>
  <c r="F153" i="4" s="1"/>
  <c r="M153" i="1"/>
  <c r="L152" i="4" s="1"/>
  <c r="H152" i="4"/>
  <c r="G153" i="1"/>
  <c r="F152" i="4" s="1"/>
  <c r="M152" i="1"/>
  <c r="L151" i="4" s="1"/>
  <c r="H151" i="4"/>
  <c r="G152" i="1"/>
  <c r="F151" i="4" s="1"/>
  <c r="M151" i="1"/>
  <c r="L150" i="4" s="1"/>
  <c r="H150" i="4"/>
  <c r="G151" i="1"/>
  <c r="F150" i="4" s="1"/>
  <c r="M150" i="1"/>
  <c r="L149" i="4" s="1"/>
  <c r="H149" i="4"/>
  <c r="G150" i="1"/>
  <c r="F149" i="4" s="1"/>
  <c r="M149" i="1"/>
  <c r="L148" i="4" s="1"/>
  <c r="H148" i="4"/>
  <c r="G149" i="1"/>
  <c r="F148" i="4" s="1"/>
  <c r="M148" i="1"/>
  <c r="L147" i="4" s="1"/>
  <c r="H147" i="4"/>
  <c r="G148" i="1"/>
  <c r="F147" i="4" s="1"/>
  <c r="M147" i="1"/>
  <c r="L146" i="4" s="1"/>
  <c r="H146" i="4"/>
  <c r="G147" i="1"/>
  <c r="F146" i="4" s="1"/>
  <c r="M75" i="1"/>
  <c r="M37" i="1"/>
  <c r="H36" i="4"/>
  <c r="G37" i="1"/>
  <c r="F36" i="4" s="1"/>
  <c r="H74" i="4"/>
  <c r="F74" i="4"/>
  <c r="M235" i="1"/>
  <c r="M143" i="1"/>
  <c r="M131" i="1"/>
  <c r="M123" i="1"/>
  <c r="M114" i="1"/>
  <c r="M103" i="1"/>
  <c r="M74" i="1"/>
  <c r="M35" i="1"/>
  <c r="M34" i="1"/>
  <c r="M25" i="1"/>
  <c r="L24" i="4" s="1"/>
  <c r="D152" i="2"/>
  <c r="E152" i="2" s="1"/>
  <c r="G152" i="2" s="1"/>
  <c r="I152" i="2" s="1"/>
  <c r="D151" i="2"/>
  <c r="E151" i="2" s="1"/>
  <c r="G151" i="2" s="1"/>
  <c r="I151" i="2" s="1"/>
  <c r="L285" i="4"/>
  <c r="D288" i="2"/>
  <c r="E288" i="2" s="1"/>
  <c r="G288" i="2" s="1"/>
  <c r="I288" i="2" s="1"/>
  <c r="D287" i="2"/>
  <c r="L284" i="4"/>
  <c r="H284" i="4"/>
  <c r="F284" i="4"/>
  <c r="F287" i="1"/>
  <c r="H287" i="1" s="1"/>
  <c r="J287" i="1" s="1"/>
  <c r="J157" i="2"/>
  <c r="E157" i="2"/>
  <c r="G157" i="2" s="1"/>
  <c r="I157" i="2" s="1"/>
  <c r="J156" i="2"/>
  <c r="E156" i="2"/>
  <c r="G156" i="2" s="1"/>
  <c r="I156" i="2" s="1"/>
  <c r="J155" i="2"/>
  <c r="E155" i="2"/>
  <c r="G155" i="2" s="1"/>
  <c r="I155" i="2" s="1"/>
  <c r="E154" i="2"/>
  <c r="G154" i="2" s="1"/>
  <c r="I154" i="2" s="1"/>
  <c r="J153" i="2"/>
  <c r="E153" i="2"/>
  <c r="G153" i="2" s="1"/>
  <c r="I153" i="2" s="1"/>
  <c r="J152" i="2"/>
  <c r="J151" i="2"/>
  <c r="J150" i="2"/>
  <c r="E150" i="2"/>
  <c r="G150" i="2" s="1"/>
  <c r="I150" i="2" s="1"/>
  <c r="J149" i="2"/>
  <c r="E149" i="2"/>
  <c r="G149" i="2" s="1"/>
  <c r="I149" i="2" s="1"/>
  <c r="J148" i="2"/>
  <c r="E148" i="2"/>
  <c r="G148" i="2" s="1"/>
  <c r="I148" i="2" s="1"/>
  <c r="E147" i="2"/>
  <c r="G147" i="2" s="1"/>
  <c r="I147" i="2" s="1"/>
  <c r="J146" i="2"/>
  <c r="E146" i="2"/>
  <c r="G146" i="2" s="1"/>
  <c r="I146" i="2" s="1"/>
  <c r="J74" i="2"/>
  <c r="E74" i="2"/>
  <c r="G74" i="2" s="1"/>
  <c r="H75" i="2"/>
  <c r="F75" i="2"/>
  <c r="D75" i="2"/>
  <c r="C75" i="2"/>
  <c r="J36" i="2"/>
  <c r="E36" i="2"/>
  <c r="G36" i="2" s="1"/>
  <c r="I36" i="2" s="1"/>
  <c r="H38" i="1" l="1"/>
  <c r="J38" i="1" s="1"/>
  <c r="H201" i="1"/>
  <c r="J201" i="1" s="1"/>
  <c r="H194" i="1"/>
  <c r="J194" i="1" s="1"/>
  <c r="H195" i="1"/>
  <c r="J195" i="1" s="1"/>
  <c r="H144" i="1"/>
  <c r="J144" i="1" s="1"/>
  <c r="L36" i="4"/>
  <c r="L35" i="4"/>
  <c r="E284" i="4"/>
  <c r="G284" i="4" s="1"/>
  <c r="I284" i="4" s="1"/>
  <c r="K152" i="2"/>
  <c r="K146" i="2"/>
  <c r="K154" i="2"/>
  <c r="K156" i="2"/>
  <c r="K147" i="2"/>
  <c r="K149" i="2"/>
  <c r="K151" i="2"/>
  <c r="K153" i="2"/>
  <c r="K155" i="2"/>
  <c r="K157" i="2"/>
  <c r="G36" i="4"/>
  <c r="I36" i="4" s="1"/>
  <c r="C75" i="1"/>
  <c r="D75" i="1" s="1"/>
  <c r="E74" i="4"/>
  <c r="E156" i="4"/>
  <c r="C37" i="1"/>
  <c r="E161" i="4"/>
  <c r="E160" i="4"/>
  <c r="E158" i="4"/>
  <c r="L160" i="4"/>
  <c r="C147" i="1"/>
  <c r="C148" i="1"/>
  <c r="C150" i="1"/>
  <c r="C152" i="1"/>
  <c r="C155" i="1"/>
  <c r="C156" i="1"/>
  <c r="C157" i="1"/>
  <c r="E150" i="4"/>
  <c r="E154" i="4"/>
  <c r="C149" i="1"/>
  <c r="C151" i="1"/>
  <c r="C153" i="1"/>
  <c r="C154" i="1"/>
  <c r="C158" i="1"/>
  <c r="L74" i="4"/>
  <c r="E148" i="4"/>
  <c r="E151" i="4"/>
  <c r="E152" i="4"/>
  <c r="E149" i="4"/>
  <c r="E170" i="4"/>
  <c r="E157" i="4"/>
  <c r="E159" i="4"/>
  <c r="E147" i="4"/>
  <c r="E163" i="4"/>
  <c r="E146" i="4"/>
  <c r="E153" i="4"/>
  <c r="E155" i="4"/>
  <c r="E162" i="4"/>
  <c r="K148" i="2"/>
  <c r="K150" i="2"/>
  <c r="K36" i="2"/>
  <c r="I74" i="2"/>
  <c r="G153" i="4" l="1"/>
  <c r="I153" i="4" s="1"/>
  <c r="G152" i="4"/>
  <c r="I152" i="4" s="1"/>
  <c r="G157" i="4"/>
  <c r="I157" i="4" s="1"/>
  <c r="G154" i="4"/>
  <c r="I154" i="4" s="1"/>
  <c r="G146" i="4"/>
  <c r="I146" i="4" s="1"/>
  <c r="G151" i="4"/>
  <c r="I151" i="4" s="1"/>
  <c r="G148" i="4"/>
  <c r="I148" i="4" s="1"/>
  <c r="G150" i="4"/>
  <c r="I150" i="4" s="1"/>
  <c r="G155" i="4"/>
  <c r="I155" i="4" s="1"/>
  <c r="G147" i="4"/>
  <c r="I147" i="4" s="1"/>
  <c r="G149" i="4"/>
  <c r="I149" i="4" s="1"/>
  <c r="G156" i="4"/>
  <c r="I156" i="4" s="1"/>
  <c r="D158" i="1"/>
  <c r="F158" i="1" s="1"/>
  <c r="H158" i="1" s="1"/>
  <c r="J158" i="1" s="1"/>
  <c r="D149" i="1"/>
  <c r="F149" i="1" s="1"/>
  <c r="H149" i="1" s="1"/>
  <c r="J149" i="1" s="1"/>
  <c r="D148" i="1"/>
  <c r="F148" i="1" s="1"/>
  <c r="H148" i="1" s="1"/>
  <c r="J148" i="1" s="1"/>
  <c r="D153" i="1"/>
  <c r="F153" i="1" s="1"/>
  <c r="H153" i="1" s="1"/>
  <c r="J153" i="1" s="1"/>
  <c r="D37" i="1"/>
  <c r="F37" i="1" s="1"/>
  <c r="D156" i="1"/>
  <c r="F156" i="1" s="1"/>
  <c r="H156" i="1" s="1"/>
  <c r="J156" i="1" s="1"/>
  <c r="D154" i="1"/>
  <c r="F154" i="1" s="1"/>
  <c r="H154" i="1" s="1"/>
  <c r="J154" i="1" s="1"/>
  <c r="D155" i="1"/>
  <c r="F155" i="1" s="1"/>
  <c r="H155" i="1" s="1"/>
  <c r="J155" i="1" s="1"/>
  <c r="D147" i="1"/>
  <c r="F147" i="1" s="1"/>
  <c r="H147" i="1" s="1"/>
  <c r="J147" i="1" s="1"/>
  <c r="D152" i="1"/>
  <c r="F152" i="1" s="1"/>
  <c r="H152" i="1" s="1"/>
  <c r="J152" i="1" s="1"/>
  <c r="D151" i="1"/>
  <c r="F151" i="1" s="1"/>
  <c r="H151" i="1" s="1"/>
  <c r="J151" i="1" s="1"/>
  <c r="D157" i="1"/>
  <c r="F157" i="1" s="1"/>
  <c r="H157" i="1" s="1"/>
  <c r="J157" i="1" s="1"/>
  <c r="D150" i="1"/>
  <c r="F150" i="1" s="1"/>
  <c r="H150" i="1" s="1"/>
  <c r="J150" i="1" s="1"/>
  <c r="F75" i="1"/>
  <c r="D76" i="1"/>
  <c r="G74" i="4"/>
  <c r="K74" i="2"/>
  <c r="I105" i="5"/>
  <c r="I79" i="5"/>
  <c r="I53" i="5"/>
  <c r="I27" i="5"/>
  <c r="H71" i="5"/>
  <c r="F71" i="5"/>
  <c r="H37" i="1" l="1"/>
  <c r="J37" i="1" s="1"/>
  <c r="H75" i="1"/>
  <c r="I74" i="4"/>
  <c r="J75" i="1" l="1"/>
  <c r="H16" i="6" l="1"/>
  <c r="F16" i="6"/>
  <c r="D16" i="6"/>
  <c r="C16" i="6"/>
  <c r="H17" i="2"/>
  <c r="F17" i="2"/>
  <c r="J15" i="2"/>
  <c r="E15" i="2"/>
  <c r="G15" i="2" s="1"/>
  <c r="I15" i="2" s="1"/>
  <c r="C17" i="2"/>
  <c r="K15" i="2" l="1"/>
  <c r="E16" i="6"/>
  <c r="G16" i="6" s="1"/>
  <c r="I16" i="6" s="1"/>
  <c r="M193" i="1"/>
  <c r="L192" i="4" s="1"/>
  <c r="K16" i="6" l="1"/>
  <c r="D75" i="4" l="1"/>
  <c r="C26" i="6" l="1"/>
  <c r="E196" i="4"/>
  <c r="E184" i="4"/>
  <c r="E134" i="4"/>
  <c r="E133" i="4"/>
  <c r="E110" i="4"/>
  <c r="C75" i="4"/>
  <c r="M197" i="1"/>
  <c r="H196" i="4"/>
  <c r="G197" i="1"/>
  <c r="F195" i="4" s="1"/>
  <c r="G195" i="4" s="1"/>
  <c r="I195" i="4" s="1"/>
  <c r="M185" i="1"/>
  <c r="L184" i="4" s="1"/>
  <c r="H184" i="4"/>
  <c r="G185" i="1"/>
  <c r="F184" i="4" s="1"/>
  <c r="H159" i="4"/>
  <c r="F159" i="4"/>
  <c r="G159" i="4" s="1"/>
  <c r="H158" i="4"/>
  <c r="F158" i="4"/>
  <c r="G158" i="4" s="1"/>
  <c r="M135" i="1"/>
  <c r="L134" i="4" s="1"/>
  <c r="H134" i="4"/>
  <c r="G135" i="1"/>
  <c r="F134" i="4" s="1"/>
  <c r="M134" i="1"/>
  <c r="H133" i="4"/>
  <c r="G134" i="1"/>
  <c r="F133" i="4" s="1"/>
  <c r="L116" i="4"/>
  <c r="H116" i="4"/>
  <c r="F116" i="4"/>
  <c r="H115" i="4"/>
  <c r="F115" i="4"/>
  <c r="M111" i="1"/>
  <c r="H110" i="4"/>
  <c r="G111" i="1"/>
  <c r="F110" i="4" s="1"/>
  <c r="E195" i="2"/>
  <c r="G195" i="2" s="1"/>
  <c r="I195" i="2" s="1"/>
  <c r="K195" i="2" s="1"/>
  <c r="J184" i="2"/>
  <c r="E184" i="2"/>
  <c r="G184" i="2" s="1"/>
  <c r="I184" i="2" s="1"/>
  <c r="J159" i="2"/>
  <c r="E159" i="2"/>
  <c r="C160" i="1" s="1"/>
  <c r="J158" i="2"/>
  <c r="E158" i="2"/>
  <c r="C159" i="1" s="1"/>
  <c r="J134" i="2"/>
  <c r="E134" i="2"/>
  <c r="G134" i="2" s="1"/>
  <c r="I134" i="2" s="1"/>
  <c r="J133" i="2"/>
  <c r="E133" i="2"/>
  <c r="G133" i="2" s="1"/>
  <c r="I133" i="2" s="1"/>
  <c r="J116" i="2"/>
  <c r="E116" i="2"/>
  <c r="G116" i="2" s="1"/>
  <c r="I116" i="2" s="1"/>
  <c r="J115" i="2"/>
  <c r="E115" i="2"/>
  <c r="G115" i="2" s="1"/>
  <c r="I115" i="2" s="1"/>
  <c r="J110" i="2"/>
  <c r="E110" i="2"/>
  <c r="G110" i="2" s="1"/>
  <c r="I110" i="2" s="1"/>
  <c r="D160" i="1" l="1"/>
  <c r="F160" i="1" s="1"/>
  <c r="D159" i="1"/>
  <c r="F159" i="1" s="1"/>
  <c r="I158" i="4"/>
  <c r="I159" i="4"/>
  <c r="G158" i="2"/>
  <c r="I158" i="2" s="1"/>
  <c r="K158" i="2" s="1"/>
  <c r="G159" i="2"/>
  <c r="I159" i="2" s="1"/>
  <c r="K159" i="2" s="1"/>
  <c r="C111" i="1"/>
  <c r="C134" i="1"/>
  <c r="C185" i="1"/>
  <c r="C135" i="1"/>
  <c r="C197" i="1"/>
  <c r="K184" i="2"/>
  <c r="K110" i="2"/>
  <c r="K116" i="2"/>
  <c r="K133" i="2"/>
  <c r="E115" i="4"/>
  <c r="G110" i="4"/>
  <c r="I110" i="4" s="1"/>
  <c r="E116" i="4"/>
  <c r="K134" i="2"/>
  <c r="G184" i="4"/>
  <c r="I184" i="4" s="1"/>
  <c r="G134" i="4"/>
  <c r="I134" i="4" s="1"/>
  <c r="G133" i="4"/>
  <c r="I133" i="4" s="1"/>
  <c r="C117" i="1"/>
  <c r="C116" i="1"/>
  <c r="L196" i="4"/>
  <c r="L133" i="4"/>
  <c r="L115" i="4"/>
  <c r="L110" i="4"/>
  <c r="K115" i="2"/>
  <c r="H160" i="4"/>
  <c r="F160" i="4"/>
  <c r="G160" i="4" s="1"/>
  <c r="H161" i="4"/>
  <c r="F161" i="4"/>
  <c r="G161" i="4" s="1"/>
  <c r="E160" i="2"/>
  <c r="J161" i="2"/>
  <c r="E161" i="2"/>
  <c r="H159" i="1" l="1"/>
  <c r="J159" i="1" s="1"/>
  <c r="H160" i="1"/>
  <c r="J160" i="1" s="1"/>
  <c r="G116" i="4"/>
  <c r="I116" i="4" s="1"/>
  <c r="G115" i="4"/>
  <c r="I115" i="4" s="1"/>
  <c r="D116" i="1"/>
  <c r="F116" i="1" s="1"/>
  <c r="H116" i="1" s="1"/>
  <c r="J116" i="1" s="1"/>
  <c r="D135" i="1"/>
  <c r="F135" i="1" s="1"/>
  <c r="D117" i="1"/>
  <c r="F117" i="1" s="1"/>
  <c r="H117" i="1" s="1"/>
  <c r="J117" i="1" s="1"/>
  <c r="D134" i="1"/>
  <c r="F134" i="1" s="1"/>
  <c r="D185" i="1"/>
  <c r="F185" i="1" s="1"/>
  <c r="D197" i="1"/>
  <c r="F197" i="1" s="1"/>
  <c r="D111" i="1"/>
  <c r="F111" i="1" s="1"/>
  <c r="G161" i="2"/>
  <c r="I161" i="2" s="1"/>
  <c r="K161" i="2" s="1"/>
  <c r="C162" i="1"/>
  <c r="G160" i="2"/>
  <c r="I160" i="2" s="1"/>
  <c r="C161" i="1"/>
  <c r="I161" i="4"/>
  <c r="I160" i="4"/>
  <c r="H185" i="1" l="1"/>
  <c r="J185" i="1" s="1"/>
  <c r="H197" i="1"/>
  <c r="J197" i="1" s="1"/>
  <c r="H134" i="1"/>
  <c r="J134" i="1" s="1"/>
  <c r="K160" i="2"/>
  <c r="H135" i="1"/>
  <c r="J135" i="1" s="1"/>
  <c r="H111" i="1"/>
  <c r="J111" i="1" s="1"/>
  <c r="D162" i="1"/>
  <c r="F162" i="1" s="1"/>
  <c r="D161" i="1"/>
  <c r="F161" i="1" s="1"/>
  <c r="H172" i="2"/>
  <c r="F172" i="2"/>
  <c r="C172" i="2"/>
  <c r="E173" i="1"/>
  <c r="H170" i="4"/>
  <c r="F170" i="4"/>
  <c r="G170" i="4" s="1"/>
  <c r="H163" i="4"/>
  <c r="F163" i="4"/>
  <c r="G163" i="4" s="1"/>
  <c r="H162" i="4"/>
  <c r="F162" i="4"/>
  <c r="G162" i="4" s="1"/>
  <c r="J170" i="2"/>
  <c r="E170" i="2"/>
  <c r="J163" i="2"/>
  <c r="E163" i="2"/>
  <c r="J162" i="2"/>
  <c r="E162" i="2"/>
  <c r="M40" i="1"/>
  <c r="M39" i="1"/>
  <c r="M52" i="1"/>
  <c r="M50" i="1"/>
  <c r="M49" i="1"/>
  <c r="H161" i="1" l="1"/>
  <c r="J161" i="1" s="1"/>
  <c r="H162" i="1"/>
  <c r="J162" i="1" s="1"/>
  <c r="I163" i="4"/>
  <c r="G162" i="2"/>
  <c r="I162" i="2" s="1"/>
  <c r="K162" i="2" s="1"/>
  <c r="C163" i="1"/>
  <c r="G170" i="2"/>
  <c r="I170" i="2" s="1"/>
  <c r="K170" i="2" s="1"/>
  <c r="C171" i="1"/>
  <c r="G163" i="2"/>
  <c r="I163" i="2" s="1"/>
  <c r="K163" i="2" s="1"/>
  <c r="C164" i="1"/>
  <c r="I162" i="4"/>
  <c r="I170" i="4"/>
  <c r="L283" i="4"/>
  <c r="D171" i="1" l="1"/>
  <c r="F171" i="1" s="1"/>
  <c r="D164" i="1"/>
  <c r="F164" i="1" s="1"/>
  <c r="D163" i="1"/>
  <c r="F163" i="1" s="1"/>
  <c r="H171" i="1" l="1"/>
  <c r="J171" i="1" s="1"/>
  <c r="H163" i="1"/>
  <c r="J163" i="1" s="1"/>
  <c r="H164" i="1"/>
  <c r="J164" i="1" s="1"/>
  <c r="J14" i="2"/>
  <c r="H227" i="4" l="1"/>
  <c r="F227" i="4"/>
  <c r="E227" i="4"/>
  <c r="F39" i="4"/>
  <c r="F285" i="4"/>
  <c r="F283" i="4"/>
  <c r="F282" i="4"/>
  <c r="F281" i="4"/>
  <c r="F280" i="4"/>
  <c r="F248" i="4"/>
  <c r="F249" i="4" s="1"/>
  <c r="F235" i="4"/>
  <c r="F234" i="4"/>
  <c r="F233" i="4"/>
  <c r="F231" i="4"/>
  <c r="F229" i="4"/>
  <c r="F228" i="4"/>
  <c r="F226" i="4"/>
  <c r="F189" i="4"/>
  <c r="G189" i="4" s="1"/>
  <c r="F186" i="4"/>
  <c r="F185" i="4"/>
  <c r="F97" i="4"/>
  <c r="F98" i="4" s="1"/>
  <c r="F73" i="4"/>
  <c r="F75" i="4" s="1"/>
  <c r="F69" i="4"/>
  <c r="F65" i="4"/>
  <c r="F60" i="4"/>
  <c r="F58" i="4"/>
  <c r="F57" i="4"/>
  <c r="F53" i="4"/>
  <c r="F51" i="4"/>
  <c r="F49" i="4"/>
  <c r="F48" i="4"/>
  <c r="F45" i="4"/>
  <c r="F41" i="4"/>
  <c r="F40" i="4"/>
  <c r="F38" i="4"/>
  <c r="F33" i="4"/>
  <c r="F32" i="4"/>
  <c r="F25" i="4"/>
  <c r="F23" i="4"/>
  <c r="G289" i="1"/>
  <c r="F272" i="4"/>
  <c r="F271" i="4"/>
  <c r="F270" i="4"/>
  <c r="F269" i="4"/>
  <c r="F268" i="4"/>
  <c r="F267" i="4"/>
  <c r="G269" i="1"/>
  <c r="F266" i="4" s="1"/>
  <c r="F262" i="4"/>
  <c r="F261" i="4"/>
  <c r="F260" i="4"/>
  <c r="F259" i="4"/>
  <c r="F258" i="4"/>
  <c r="F257" i="4"/>
  <c r="F256" i="4"/>
  <c r="F255" i="4"/>
  <c r="F254" i="4"/>
  <c r="F252" i="4"/>
  <c r="G252" i="1"/>
  <c r="G247" i="1"/>
  <c r="G248" i="1" s="1"/>
  <c r="G243" i="1"/>
  <c r="F240" i="4" s="1"/>
  <c r="G242" i="1"/>
  <c r="G234" i="1"/>
  <c r="F217" i="4" s="1"/>
  <c r="G217" i="4" s="1"/>
  <c r="I217" i="4" s="1"/>
  <c r="G232" i="1"/>
  <c r="G223" i="1"/>
  <c r="G221" i="1"/>
  <c r="G206" i="1"/>
  <c r="F205" i="4" s="1"/>
  <c r="G205" i="1"/>
  <c r="F204" i="4" s="1"/>
  <c r="G204" i="1"/>
  <c r="F203" i="4" s="1"/>
  <c r="G203" i="1"/>
  <c r="F202" i="4" s="1"/>
  <c r="G202" i="1"/>
  <c r="G200" i="1"/>
  <c r="G199" i="1"/>
  <c r="F197" i="4" s="1"/>
  <c r="G198" i="1"/>
  <c r="F196" i="4" s="1"/>
  <c r="G196" i="4" s="1"/>
  <c r="I196" i="4" s="1"/>
  <c r="G192" i="1"/>
  <c r="F191" i="4" s="1"/>
  <c r="G184" i="1"/>
  <c r="F183" i="4" s="1"/>
  <c r="G183" i="1"/>
  <c r="F182" i="4" s="1"/>
  <c r="G182" i="1"/>
  <c r="F181" i="4" s="1"/>
  <c r="G181" i="1"/>
  <c r="F180" i="4" s="1"/>
  <c r="G180" i="1"/>
  <c r="F179" i="4" s="1"/>
  <c r="G176" i="1"/>
  <c r="G143" i="1"/>
  <c r="F142" i="4" s="1"/>
  <c r="G142" i="1"/>
  <c r="F141" i="4" s="1"/>
  <c r="G141" i="1"/>
  <c r="F140" i="4" s="1"/>
  <c r="G140" i="1"/>
  <c r="F139" i="4" s="1"/>
  <c r="G139" i="1"/>
  <c r="F138" i="4" s="1"/>
  <c r="G138" i="1"/>
  <c r="F137" i="4" s="1"/>
  <c r="G137" i="1"/>
  <c r="F136" i="4" s="1"/>
  <c r="G136" i="1"/>
  <c r="F135" i="4" s="1"/>
  <c r="G133" i="1"/>
  <c r="F132" i="4" s="1"/>
  <c r="G132" i="1"/>
  <c r="F131" i="4" s="1"/>
  <c r="G131" i="1"/>
  <c r="F130" i="4" s="1"/>
  <c r="G130" i="1"/>
  <c r="F129" i="4" s="1"/>
  <c r="G129" i="1"/>
  <c r="G125" i="1"/>
  <c r="F124" i="4" s="1"/>
  <c r="G124" i="1"/>
  <c r="F123" i="4" s="1"/>
  <c r="G123" i="1"/>
  <c r="F122" i="4" s="1"/>
  <c r="G122" i="1"/>
  <c r="F121" i="4" s="1"/>
  <c r="G121" i="1"/>
  <c r="F120" i="4" s="1"/>
  <c r="G120" i="1"/>
  <c r="F119" i="4" s="1"/>
  <c r="G119" i="1"/>
  <c r="F118" i="4" s="1"/>
  <c r="G118" i="1"/>
  <c r="F117" i="4" s="1"/>
  <c r="G115" i="1"/>
  <c r="F114" i="4" s="1"/>
  <c r="G114" i="1"/>
  <c r="F113" i="4" s="1"/>
  <c r="G113" i="1"/>
  <c r="F112" i="4" s="1"/>
  <c r="G112" i="1"/>
  <c r="F111" i="4" s="1"/>
  <c r="G110" i="1"/>
  <c r="F109" i="4" s="1"/>
  <c r="F107" i="4"/>
  <c r="G107" i="1"/>
  <c r="F106" i="4" s="1"/>
  <c r="G106" i="1"/>
  <c r="F105" i="4" s="1"/>
  <c r="G105" i="1"/>
  <c r="F104" i="4" s="1"/>
  <c r="G104" i="1"/>
  <c r="F103" i="4" s="1"/>
  <c r="G103" i="1"/>
  <c r="F102" i="4" s="1"/>
  <c r="G102" i="1"/>
  <c r="F101" i="4" s="1"/>
  <c r="G99" i="1"/>
  <c r="G94" i="1"/>
  <c r="F93" i="4" s="1"/>
  <c r="G93" i="1"/>
  <c r="G87" i="1"/>
  <c r="G90" i="1" s="1"/>
  <c r="G83" i="1"/>
  <c r="G84" i="1" s="1"/>
  <c r="G79" i="1"/>
  <c r="G80" i="1" s="1"/>
  <c r="G69" i="1"/>
  <c r="F68" i="4" s="1"/>
  <c r="G68" i="1"/>
  <c r="F67" i="4" s="1"/>
  <c r="G67" i="1"/>
  <c r="F66" i="4" s="1"/>
  <c r="G65" i="1"/>
  <c r="G60" i="1"/>
  <c r="G53" i="1"/>
  <c r="F52" i="4" s="1"/>
  <c r="G51" i="1"/>
  <c r="G48" i="1"/>
  <c r="F47" i="4" s="1"/>
  <c r="G47" i="1"/>
  <c r="F46" i="4" s="1"/>
  <c r="G35" i="1"/>
  <c r="F34" i="4" s="1"/>
  <c r="G32" i="1"/>
  <c r="F31" i="4" s="1"/>
  <c r="G31" i="1"/>
  <c r="F30" i="4" s="1"/>
  <c r="G30" i="1"/>
  <c r="F29" i="4" s="1"/>
  <c r="G29" i="1"/>
  <c r="F28" i="4" s="1"/>
  <c r="G28" i="1"/>
  <c r="F27" i="4" s="1"/>
  <c r="G25" i="1"/>
  <c r="F24" i="4" s="1"/>
  <c r="G23" i="1"/>
  <c r="F22" i="4" s="1"/>
  <c r="F215" i="4" l="1"/>
  <c r="G215" i="4" s="1"/>
  <c r="G239" i="1"/>
  <c r="F199" i="4"/>
  <c r="F198" i="4"/>
  <c r="F222" i="4"/>
  <c r="F207" i="4"/>
  <c r="G207" i="4" s="1"/>
  <c r="F232" i="4"/>
  <c r="F218" i="4"/>
  <c r="G218" i="4" s="1"/>
  <c r="F220" i="4"/>
  <c r="F206" i="4"/>
  <c r="G206" i="4" s="1"/>
  <c r="G227" i="4"/>
  <c r="I227" i="4" s="1"/>
  <c r="F128" i="4"/>
  <c r="F172" i="4" s="1"/>
  <c r="G173" i="1"/>
  <c r="C172" i="4"/>
  <c r="D172" i="4"/>
  <c r="F230" i="4"/>
  <c r="G71" i="1"/>
  <c r="F82" i="4"/>
  <c r="F83" i="4" s="1"/>
  <c r="G95" i="1"/>
  <c r="F92" i="4"/>
  <c r="F94" i="4" s="1"/>
  <c r="F201" i="4"/>
  <c r="F64" i="4"/>
  <c r="F70" i="4" s="1"/>
  <c r="G276" i="1"/>
  <c r="F50" i="4"/>
  <c r="F244" i="4"/>
  <c r="F78" i="4"/>
  <c r="F79" i="4" s="1"/>
  <c r="G43" i="1"/>
  <c r="G55" i="1"/>
  <c r="G62" i="1"/>
  <c r="F59" i="4"/>
  <c r="F61" i="4" s="1"/>
  <c r="G87" i="4"/>
  <c r="F86" i="4"/>
  <c r="G177" i="1"/>
  <c r="F175" i="4"/>
  <c r="G266" i="1"/>
  <c r="F253" i="4"/>
  <c r="G126" i="1"/>
  <c r="G244" i="1"/>
  <c r="F239" i="4"/>
  <c r="F42" i="4"/>
  <c r="F125" i="4"/>
  <c r="F273" i="4"/>
  <c r="F286" i="4"/>
  <c r="D110" i="5"/>
  <c r="D32" i="5"/>
  <c r="D58" i="5"/>
  <c r="F89" i="4" l="1"/>
  <c r="F241" i="4"/>
  <c r="F236" i="4"/>
  <c r="F263" i="4"/>
  <c r="F245" i="4"/>
  <c r="F54" i="4"/>
  <c r="F176" i="4"/>
  <c r="D198" i="2"/>
  <c r="D311" i="1" l="1"/>
  <c r="C311" i="1"/>
  <c r="D317" i="4"/>
  <c r="C317" i="4"/>
  <c r="E84" i="5" l="1"/>
  <c r="G84" i="5" s="1"/>
  <c r="J93" i="2"/>
  <c r="E93" i="2"/>
  <c r="M94" i="1"/>
  <c r="L93" i="4" s="1"/>
  <c r="M229" i="1"/>
  <c r="F229" i="1"/>
  <c r="H93" i="4"/>
  <c r="M47" i="1"/>
  <c r="L46" i="4" s="1"/>
  <c r="H46" i="4"/>
  <c r="F50" i="1"/>
  <c r="L49" i="4"/>
  <c r="H49" i="4"/>
  <c r="G49" i="4"/>
  <c r="J49" i="2"/>
  <c r="E49" i="2"/>
  <c r="M221" i="1"/>
  <c r="L220" i="4" s="1"/>
  <c r="E220" i="4"/>
  <c r="J219" i="2"/>
  <c r="E219" i="2"/>
  <c r="C221" i="1" s="1"/>
  <c r="M206" i="1"/>
  <c r="L205" i="4" s="1"/>
  <c r="H205" i="4"/>
  <c r="E205" i="4"/>
  <c r="J204" i="2"/>
  <c r="E204" i="2"/>
  <c r="C206" i="1" s="1"/>
  <c r="M33" i="1"/>
  <c r="L32" i="4" s="1"/>
  <c r="F33" i="1"/>
  <c r="H32" i="4"/>
  <c r="G32" i="4"/>
  <c r="J32" i="2"/>
  <c r="E32" i="2"/>
  <c r="E93" i="4"/>
  <c r="G46" i="4"/>
  <c r="G93" i="4" l="1"/>
  <c r="G205" i="4"/>
  <c r="I205" i="4" s="1"/>
  <c r="D221" i="1"/>
  <c r="F221" i="1" s="1"/>
  <c r="G220" i="4"/>
  <c r="D206" i="1"/>
  <c r="F206" i="1" s="1"/>
  <c r="H220" i="4"/>
  <c r="I206" i="4"/>
  <c r="L227" i="4"/>
  <c r="H50" i="1"/>
  <c r="J50" i="1" s="1"/>
  <c r="H33" i="1"/>
  <c r="J33" i="1" s="1"/>
  <c r="H229" i="1"/>
  <c r="J229" i="1" s="1"/>
  <c r="G32" i="2"/>
  <c r="I32" i="2" s="1"/>
  <c r="K32" i="2" s="1"/>
  <c r="G204" i="2"/>
  <c r="I204" i="2" s="1"/>
  <c r="K204" i="2" s="1"/>
  <c r="G219" i="2"/>
  <c r="I219" i="2" s="1"/>
  <c r="K219" i="2" s="1"/>
  <c r="G49" i="2"/>
  <c r="I49" i="2" s="1"/>
  <c r="K49" i="2" s="1"/>
  <c r="G93" i="2"/>
  <c r="I93" i="2" s="1"/>
  <c r="K93" i="2" s="1"/>
  <c r="I46" i="4"/>
  <c r="I32" i="4"/>
  <c r="I93" i="4"/>
  <c r="I49" i="4"/>
  <c r="C94" i="1"/>
  <c r="J227" i="2"/>
  <c r="E227" i="2"/>
  <c r="J46" i="2"/>
  <c r="E46" i="2"/>
  <c r="G46" i="2" s="1"/>
  <c r="E234" i="2"/>
  <c r="G234" i="2" s="1"/>
  <c r="I234" i="2" s="1"/>
  <c r="J234" i="2"/>
  <c r="F236" i="1"/>
  <c r="H236" i="1" s="1"/>
  <c r="J236" i="1" s="1"/>
  <c r="M236" i="1"/>
  <c r="E234" i="4"/>
  <c r="H234" i="4"/>
  <c r="D121" i="2"/>
  <c r="E121" i="2" s="1"/>
  <c r="G121" i="2" s="1"/>
  <c r="I121" i="2" s="1"/>
  <c r="J121" i="2"/>
  <c r="H121" i="4"/>
  <c r="M122" i="1"/>
  <c r="L121" i="4" s="1"/>
  <c r="E121" i="4"/>
  <c r="G234" i="4" l="1"/>
  <c r="H221" i="1"/>
  <c r="J221" i="1" s="1"/>
  <c r="H206" i="1"/>
  <c r="J206" i="1" s="1"/>
  <c r="G121" i="4"/>
  <c r="I121" i="4" s="1"/>
  <c r="D94" i="1"/>
  <c r="F94" i="1" s="1"/>
  <c r="I220" i="4"/>
  <c r="L234" i="4"/>
  <c r="K234" i="2"/>
  <c r="G227" i="2"/>
  <c r="I227" i="2" s="1"/>
  <c r="K227" i="2" s="1"/>
  <c r="C229" i="1"/>
  <c r="K121" i="2"/>
  <c r="C236" i="1"/>
  <c r="C122" i="1"/>
  <c r="I234" i="4"/>
  <c r="C47" i="1"/>
  <c r="F47" i="1" s="1"/>
  <c r="H94" i="1" l="1"/>
  <c r="J94" i="1" s="1"/>
  <c r="D122" i="1"/>
  <c r="F122" i="1" s="1"/>
  <c r="H47" i="1"/>
  <c r="J47" i="1" s="1"/>
  <c r="I46" i="2"/>
  <c r="H122" i="1" l="1"/>
  <c r="J122" i="1" s="1"/>
  <c r="K46" i="2"/>
  <c r="E287" i="2"/>
  <c r="L39" i="4"/>
  <c r="H39" i="4"/>
  <c r="G39" i="4"/>
  <c r="J39" i="2"/>
  <c r="E39" i="2"/>
  <c r="E103" i="5"/>
  <c r="G103" i="5" s="1"/>
  <c r="E77" i="5"/>
  <c r="G77" i="5" s="1"/>
  <c r="E51" i="5"/>
  <c r="G51" i="5" s="1"/>
  <c r="E25" i="5"/>
  <c r="G25" i="5" l="1"/>
  <c r="I25" i="5" s="1"/>
  <c r="G287" i="2"/>
  <c r="I287" i="2" s="1"/>
  <c r="G39" i="2"/>
  <c r="I39" i="2" s="1"/>
  <c r="K39" i="2" s="1"/>
  <c r="I39" i="4"/>
  <c r="C40" i="1"/>
  <c r="D270" i="2"/>
  <c r="M141" i="1"/>
  <c r="L140" i="4" s="1"/>
  <c r="H140" i="4"/>
  <c r="E140" i="4"/>
  <c r="J140" i="2"/>
  <c r="E140" i="2"/>
  <c r="J232" i="2"/>
  <c r="E232" i="2"/>
  <c r="G232" i="2" s="1"/>
  <c r="J230" i="2"/>
  <c r="D230" i="2"/>
  <c r="E230" i="2" s="1"/>
  <c r="G230" i="2" s="1"/>
  <c r="J142" i="2"/>
  <c r="E142" i="2"/>
  <c r="G142" i="2" s="1"/>
  <c r="J141" i="2"/>
  <c r="E141" i="2"/>
  <c r="G141" i="2" s="1"/>
  <c r="J113" i="2"/>
  <c r="E113" i="2"/>
  <c r="G113" i="2" s="1"/>
  <c r="M234" i="1"/>
  <c r="M232" i="1"/>
  <c r="I232" i="1"/>
  <c r="I239" i="1" s="1"/>
  <c r="L142" i="4"/>
  <c r="H142" i="4"/>
  <c r="M142" i="1"/>
  <c r="L141" i="4" s="1"/>
  <c r="H141" i="4"/>
  <c r="L113" i="4"/>
  <c r="H113" i="4"/>
  <c r="E232" i="4"/>
  <c r="E230" i="4"/>
  <c r="E142" i="4"/>
  <c r="E141" i="4"/>
  <c r="E113" i="4"/>
  <c r="G232" i="4" l="1"/>
  <c r="G230" i="4"/>
  <c r="G113" i="4"/>
  <c r="G141" i="4"/>
  <c r="I141" i="4" s="1"/>
  <c r="G142" i="4"/>
  <c r="I142" i="4" s="1"/>
  <c r="G140" i="4"/>
  <c r="I140" i="4" s="1"/>
  <c r="D40" i="1"/>
  <c r="F40" i="1" s="1"/>
  <c r="L230" i="4"/>
  <c r="H232" i="4"/>
  <c r="I232" i="4" s="1"/>
  <c r="I218" i="4"/>
  <c r="L232" i="4"/>
  <c r="H230" i="4"/>
  <c r="I215" i="4"/>
  <c r="G140" i="2"/>
  <c r="I140" i="2" s="1"/>
  <c r="K140" i="2" s="1"/>
  <c r="I113" i="4"/>
  <c r="I103" i="5"/>
  <c r="I77" i="5"/>
  <c r="I51" i="5"/>
  <c r="C141" i="1"/>
  <c r="I232" i="2"/>
  <c r="K232" i="2" s="1"/>
  <c r="C234" i="1"/>
  <c r="I230" i="2"/>
  <c r="K230" i="2" s="1"/>
  <c r="C232" i="1"/>
  <c r="I142" i="2"/>
  <c r="K142" i="2" s="1"/>
  <c r="C143" i="1"/>
  <c r="I141" i="2"/>
  <c r="K141" i="2" s="1"/>
  <c r="C142" i="1"/>
  <c r="I113" i="2"/>
  <c r="K113" i="2" s="1"/>
  <c r="C114" i="1"/>
  <c r="D236" i="4"/>
  <c r="D241" i="4"/>
  <c r="D245" i="4"/>
  <c r="D249" i="4"/>
  <c r="D269" i="2"/>
  <c r="E269" i="2" s="1"/>
  <c r="C271" i="1" s="1"/>
  <c r="D262" i="2"/>
  <c r="E262" i="2" s="1"/>
  <c r="D261" i="2"/>
  <c r="E261" i="2" s="1"/>
  <c r="C263" i="1" s="1"/>
  <c r="D253" i="2"/>
  <c r="E253" i="2" s="1"/>
  <c r="D231" i="2"/>
  <c r="E231" i="2" s="1"/>
  <c r="C233" i="1" s="1"/>
  <c r="D229" i="2"/>
  <c r="D136" i="2"/>
  <c r="D97" i="2"/>
  <c r="D45" i="2"/>
  <c r="K105" i="5"/>
  <c r="K79" i="5"/>
  <c r="K27" i="5"/>
  <c r="G105" i="5"/>
  <c r="G79" i="5"/>
  <c r="K53" i="5"/>
  <c r="G53" i="5"/>
  <c r="D284" i="2"/>
  <c r="E284" i="2" s="1"/>
  <c r="D283" i="2"/>
  <c r="E283" i="2" s="1"/>
  <c r="D279" i="2"/>
  <c r="H123" i="5"/>
  <c r="F123" i="5"/>
  <c r="D123" i="5"/>
  <c r="C123" i="5"/>
  <c r="E122" i="5"/>
  <c r="G122" i="5" s="1"/>
  <c r="I122" i="5" s="1"/>
  <c r="E121" i="5"/>
  <c r="G121" i="5" s="1"/>
  <c r="I121" i="5" s="1"/>
  <c r="E120" i="5"/>
  <c r="H106" i="4"/>
  <c r="H105" i="4"/>
  <c r="H104" i="4"/>
  <c r="H103" i="4"/>
  <c r="H102" i="4"/>
  <c r="H101" i="4"/>
  <c r="H86" i="4"/>
  <c r="H82" i="4"/>
  <c r="H78" i="4"/>
  <c r="H79" i="4" s="1"/>
  <c r="H67" i="4"/>
  <c r="H66" i="4"/>
  <c r="H64" i="4"/>
  <c r="E191" i="4"/>
  <c r="M192" i="1"/>
  <c r="L191" i="4" s="1"/>
  <c r="H191" i="4"/>
  <c r="J191" i="2"/>
  <c r="D191" i="2"/>
  <c r="E191" i="2" s="1"/>
  <c r="E271" i="4"/>
  <c r="E270" i="4"/>
  <c r="E267" i="4"/>
  <c r="L271" i="4"/>
  <c r="H271" i="4"/>
  <c r="L270" i="4"/>
  <c r="H270" i="4"/>
  <c r="L267" i="4"/>
  <c r="H267" i="4"/>
  <c r="J268" i="2"/>
  <c r="E268" i="2"/>
  <c r="J272" i="2"/>
  <c r="E272" i="2"/>
  <c r="J271" i="2"/>
  <c r="E271" i="2"/>
  <c r="C273" i="1" s="1"/>
  <c r="E117" i="4"/>
  <c r="M118" i="1"/>
  <c r="L117" i="4" s="1"/>
  <c r="H117" i="4"/>
  <c r="J117" i="2"/>
  <c r="D117" i="2"/>
  <c r="E117" i="2" s="1"/>
  <c r="G117" i="2" s="1"/>
  <c r="I117" i="2" s="1"/>
  <c r="L282" i="4"/>
  <c r="L281" i="4"/>
  <c r="L280" i="4"/>
  <c r="L51" i="4"/>
  <c r="L48" i="4"/>
  <c r="L38" i="4"/>
  <c r="L272" i="4"/>
  <c r="L269" i="4"/>
  <c r="L268" i="4"/>
  <c r="M269" i="1"/>
  <c r="L266" i="4" s="1"/>
  <c r="L261" i="4"/>
  <c r="L260" i="4"/>
  <c r="L259" i="4"/>
  <c r="L258" i="4"/>
  <c r="L257" i="4"/>
  <c r="L256" i="4"/>
  <c r="L255" i="4"/>
  <c r="L254" i="4"/>
  <c r="L253" i="4"/>
  <c r="L252" i="4"/>
  <c r="M251" i="1"/>
  <c r="L248" i="4" s="1"/>
  <c r="M247" i="1"/>
  <c r="L244" i="4" s="1"/>
  <c r="M243" i="1"/>
  <c r="L240" i="4" s="1"/>
  <c r="M242" i="1"/>
  <c r="L239" i="4" s="1"/>
  <c r="M238" i="1"/>
  <c r="L233" i="4"/>
  <c r="M233" i="1"/>
  <c r="M231" i="1"/>
  <c r="M230" i="1"/>
  <c r="M228" i="1"/>
  <c r="M223" i="1"/>
  <c r="L222" i="4" s="1"/>
  <c r="M205" i="1"/>
  <c r="L204" i="4" s="1"/>
  <c r="M204" i="1"/>
  <c r="L203" i="4" s="1"/>
  <c r="M203" i="1"/>
  <c r="L202" i="4" s="1"/>
  <c r="M202" i="1"/>
  <c r="L201" i="4" s="1"/>
  <c r="M200" i="1"/>
  <c r="L199" i="4" s="1"/>
  <c r="M199" i="1"/>
  <c r="L198" i="4" s="1"/>
  <c r="M198" i="1"/>
  <c r="L197" i="4" s="1"/>
  <c r="L193" i="4"/>
  <c r="M190" i="1"/>
  <c r="L189" i="4" s="1"/>
  <c r="M187" i="1"/>
  <c r="L186" i="4" s="1"/>
  <c r="M186" i="1"/>
  <c r="L185" i="4" s="1"/>
  <c r="M184" i="1"/>
  <c r="L183" i="4" s="1"/>
  <c r="L182" i="4"/>
  <c r="L181" i="4"/>
  <c r="M181" i="1"/>
  <c r="L180" i="4" s="1"/>
  <c r="M180" i="1"/>
  <c r="L179" i="4" s="1"/>
  <c r="M176" i="1"/>
  <c r="L175" i="4" s="1"/>
  <c r="M140" i="1"/>
  <c r="L139" i="4" s="1"/>
  <c r="M139" i="1"/>
  <c r="L138" i="4" s="1"/>
  <c r="M138" i="1"/>
  <c r="L137" i="4" s="1"/>
  <c r="M137" i="1"/>
  <c r="L136" i="4" s="1"/>
  <c r="M136" i="1"/>
  <c r="L135" i="4" s="1"/>
  <c r="M133" i="1"/>
  <c r="L132" i="4" s="1"/>
  <c r="M132" i="1"/>
  <c r="L131" i="4" s="1"/>
  <c r="L130" i="4"/>
  <c r="M130" i="1"/>
  <c r="L129" i="4" s="1"/>
  <c r="M129" i="1"/>
  <c r="L128" i="4" s="1"/>
  <c r="M125" i="1"/>
  <c r="L124" i="4" s="1"/>
  <c r="M124" i="1"/>
  <c r="L123" i="4" s="1"/>
  <c r="L122" i="4"/>
  <c r="M121" i="1"/>
  <c r="L120" i="4" s="1"/>
  <c r="M120" i="1"/>
  <c r="L119" i="4" s="1"/>
  <c r="M119" i="1"/>
  <c r="L118" i="4" s="1"/>
  <c r="M115" i="1"/>
  <c r="L114" i="4" s="1"/>
  <c r="M113" i="1"/>
  <c r="L112" i="4" s="1"/>
  <c r="M112" i="1"/>
  <c r="L111" i="4" s="1"/>
  <c r="M110" i="1"/>
  <c r="M108" i="1"/>
  <c r="L107" i="4" s="1"/>
  <c r="M107" i="1"/>
  <c r="L106" i="4" s="1"/>
  <c r="M106" i="1"/>
  <c r="L105" i="4" s="1"/>
  <c r="M105" i="1"/>
  <c r="L104" i="4" s="1"/>
  <c r="M104" i="1"/>
  <c r="L103" i="4" s="1"/>
  <c r="L102" i="4"/>
  <c r="M102" i="1"/>
  <c r="L101" i="4" s="1"/>
  <c r="M98" i="1"/>
  <c r="L97" i="4" s="1"/>
  <c r="M93" i="1"/>
  <c r="M87" i="1"/>
  <c r="L86" i="4" s="1"/>
  <c r="M83" i="1"/>
  <c r="L82" i="4" s="1"/>
  <c r="M79" i="1"/>
  <c r="L78" i="4" s="1"/>
  <c r="L73" i="4"/>
  <c r="M70" i="1"/>
  <c r="L69" i="4" s="1"/>
  <c r="M69" i="1"/>
  <c r="L68" i="4" s="1"/>
  <c r="M68" i="1"/>
  <c r="L67" i="4" s="1"/>
  <c r="M67" i="1"/>
  <c r="L66" i="4" s="1"/>
  <c r="M66" i="1"/>
  <c r="M65" i="1"/>
  <c r="L64" i="4" s="1"/>
  <c r="M61" i="1"/>
  <c r="L60" i="4" s="1"/>
  <c r="M60" i="1"/>
  <c r="L59" i="4" s="1"/>
  <c r="M59" i="1"/>
  <c r="L58" i="4" s="1"/>
  <c r="M58" i="1"/>
  <c r="L57" i="4" s="1"/>
  <c r="M54" i="1"/>
  <c r="L53" i="4" s="1"/>
  <c r="M53" i="1"/>
  <c r="L52" i="4" s="1"/>
  <c r="M51" i="1"/>
  <c r="L50" i="4" s="1"/>
  <c r="M48" i="1"/>
  <c r="L47" i="4" s="1"/>
  <c r="M46" i="1"/>
  <c r="L45" i="4" s="1"/>
  <c r="M42" i="1"/>
  <c r="M41" i="1"/>
  <c r="L40" i="4" s="1"/>
  <c r="L34" i="4"/>
  <c r="L33" i="4"/>
  <c r="M32" i="1"/>
  <c r="M31" i="1"/>
  <c r="L30" i="4" s="1"/>
  <c r="M30" i="1"/>
  <c r="L29" i="4" s="1"/>
  <c r="M29" i="1"/>
  <c r="L28" i="4" s="1"/>
  <c r="M28" i="1"/>
  <c r="M26" i="1"/>
  <c r="L25" i="4" s="1"/>
  <c r="M24" i="1"/>
  <c r="L23" i="4" s="1"/>
  <c r="M23" i="1"/>
  <c r="L22" i="4" s="1"/>
  <c r="H222" i="2"/>
  <c r="F222" i="2"/>
  <c r="C125" i="2"/>
  <c r="H70" i="2"/>
  <c r="F70" i="2"/>
  <c r="D70" i="2"/>
  <c r="C70" i="2"/>
  <c r="C61" i="2"/>
  <c r="C54" i="2"/>
  <c r="C42" i="2"/>
  <c r="J69" i="2"/>
  <c r="E69" i="2"/>
  <c r="G69" i="2" s="1"/>
  <c r="I69" i="2" s="1"/>
  <c r="J65" i="2"/>
  <c r="G65" i="2"/>
  <c r="I65" i="2" s="1"/>
  <c r="J53" i="2"/>
  <c r="E53" i="2"/>
  <c r="G53" i="2" s="1"/>
  <c r="I53" i="2" s="1"/>
  <c r="J51" i="2"/>
  <c r="E51" i="2"/>
  <c r="G51" i="2" s="1"/>
  <c r="I51" i="2" s="1"/>
  <c r="J48" i="2"/>
  <c r="E48" i="2"/>
  <c r="G48" i="2" s="1"/>
  <c r="I48" i="2" s="1"/>
  <c r="J25" i="2"/>
  <c r="E25" i="2"/>
  <c r="G25" i="2" s="1"/>
  <c r="I25" i="2" s="1"/>
  <c r="J23" i="2"/>
  <c r="E23" i="2"/>
  <c r="G23" i="2" s="1"/>
  <c r="I23" i="2" s="1"/>
  <c r="H285" i="4"/>
  <c r="E285" i="4"/>
  <c r="G285" i="4" s="1"/>
  <c r="H283" i="4"/>
  <c r="E283" i="4"/>
  <c r="G283" i="4" s="1"/>
  <c r="H282" i="4"/>
  <c r="E282" i="4"/>
  <c r="G282" i="4" s="1"/>
  <c r="H281" i="4"/>
  <c r="E281" i="4"/>
  <c r="G281" i="4" s="1"/>
  <c r="H280" i="4"/>
  <c r="E280" i="4"/>
  <c r="G280" i="4" s="1"/>
  <c r="E272" i="4"/>
  <c r="E269" i="4"/>
  <c r="E268" i="4"/>
  <c r="E266" i="4"/>
  <c r="E262" i="4"/>
  <c r="G262" i="4" s="1"/>
  <c r="E261" i="4"/>
  <c r="E260" i="4"/>
  <c r="E259" i="4"/>
  <c r="E258" i="4"/>
  <c r="E257" i="4"/>
  <c r="E256" i="4"/>
  <c r="E255" i="4"/>
  <c r="E254" i="4"/>
  <c r="E253" i="4"/>
  <c r="G253" i="4" s="1"/>
  <c r="E252" i="4"/>
  <c r="E248" i="4"/>
  <c r="E244" i="4"/>
  <c r="E240" i="4"/>
  <c r="E239" i="4"/>
  <c r="G239" i="4" s="1"/>
  <c r="E235" i="4"/>
  <c r="E233" i="4"/>
  <c r="H231" i="4"/>
  <c r="E231" i="4"/>
  <c r="H229" i="4"/>
  <c r="E229" i="4"/>
  <c r="H228" i="4"/>
  <c r="E228" i="4"/>
  <c r="H226" i="4"/>
  <c r="E226" i="4"/>
  <c r="E222" i="4"/>
  <c r="E204" i="4"/>
  <c r="E203" i="4"/>
  <c r="E202" i="4"/>
  <c r="E201" i="4"/>
  <c r="E199" i="4"/>
  <c r="E198" i="4"/>
  <c r="E197" i="4"/>
  <c r="E193" i="4"/>
  <c r="E186" i="4"/>
  <c r="E185" i="4"/>
  <c r="E183" i="4"/>
  <c r="E182" i="4"/>
  <c r="E181" i="4"/>
  <c r="E180" i="4"/>
  <c r="E179" i="4"/>
  <c r="E175" i="4"/>
  <c r="E139" i="4"/>
  <c r="E138" i="4"/>
  <c r="E137" i="4"/>
  <c r="E136" i="4"/>
  <c r="E135" i="4"/>
  <c r="E132" i="4"/>
  <c r="E131" i="4"/>
  <c r="E130" i="4"/>
  <c r="E129" i="4"/>
  <c r="E128" i="4"/>
  <c r="E124" i="4"/>
  <c r="E123" i="4"/>
  <c r="E122" i="4"/>
  <c r="E120" i="4"/>
  <c r="E119" i="4"/>
  <c r="E118" i="4"/>
  <c r="E114" i="4"/>
  <c r="E112" i="4"/>
  <c r="E111" i="4"/>
  <c r="E109" i="4"/>
  <c r="E107" i="4"/>
  <c r="E106" i="4"/>
  <c r="E105" i="4"/>
  <c r="E104" i="4"/>
  <c r="E103" i="4"/>
  <c r="E102" i="4"/>
  <c r="E101" i="4"/>
  <c r="H97" i="4"/>
  <c r="E97" i="4"/>
  <c r="E92" i="4"/>
  <c r="E86" i="4"/>
  <c r="G82" i="4"/>
  <c r="E78" i="4"/>
  <c r="E79" i="4" s="1"/>
  <c r="H73" i="4"/>
  <c r="H75" i="4" s="1"/>
  <c r="E73" i="4"/>
  <c r="H69" i="4"/>
  <c r="E69" i="4"/>
  <c r="G68" i="4"/>
  <c r="G67" i="4"/>
  <c r="G66" i="4"/>
  <c r="H65" i="4"/>
  <c r="G65" i="4"/>
  <c r="G64" i="4"/>
  <c r="H60" i="4"/>
  <c r="E60" i="4"/>
  <c r="H59" i="4"/>
  <c r="E59" i="4"/>
  <c r="H58" i="4"/>
  <c r="E58" i="4"/>
  <c r="H57" i="4"/>
  <c r="E57" i="4"/>
  <c r="G53" i="4"/>
  <c r="G52" i="4"/>
  <c r="G51" i="4"/>
  <c r="G50" i="4"/>
  <c r="G48" i="4"/>
  <c r="G47" i="4"/>
  <c r="H45" i="4"/>
  <c r="G45" i="4"/>
  <c r="D273" i="4"/>
  <c r="D263" i="4"/>
  <c r="D176" i="4"/>
  <c r="D125" i="4"/>
  <c r="D98" i="4"/>
  <c r="D94" i="4"/>
  <c r="D83" i="4"/>
  <c r="D70" i="4"/>
  <c r="D61" i="4"/>
  <c r="D54" i="4"/>
  <c r="H41" i="4"/>
  <c r="G41" i="4"/>
  <c r="H40" i="4"/>
  <c r="G40" i="4"/>
  <c r="H38" i="4"/>
  <c r="G38" i="4"/>
  <c r="G34" i="4"/>
  <c r="H33" i="4"/>
  <c r="G33" i="4"/>
  <c r="G31" i="4"/>
  <c r="G30" i="4"/>
  <c r="G29" i="4"/>
  <c r="E28" i="4"/>
  <c r="G27" i="4"/>
  <c r="H25" i="4"/>
  <c r="G25" i="4"/>
  <c r="G24" i="4"/>
  <c r="H23" i="4"/>
  <c r="G23" i="4"/>
  <c r="C286" i="4"/>
  <c r="C273" i="4"/>
  <c r="C263" i="4"/>
  <c r="C249" i="4"/>
  <c r="C245" i="4"/>
  <c r="C241" i="4"/>
  <c r="C236" i="4"/>
  <c r="C176" i="4"/>
  <c r="C125" i="4"/>
  <c r="C98" i="4"/>
  <c r="C94" i="4"/>
  <c r="C83" i="4"/>
  <c r="C70" i="4"/>
  <c r="C61" i="4"/>
  <c r="C54" i="4"/>
  <c r="C42" i="4"/>
  <c r="A22" i="4"/>
  <c r="A23" i="4" s="1"/>
  <c r="A24" i="4" s="1"/>
  <c r="A25" i="4" s="1"/>
  <c r="E244" i="1"/>
  <c r="H268" i="4"/>
  <c r="H261" i="4"/>
  <c r="H259" i="4"/>
  <c r="H235" i="4"/>
  <c r="H233" i="4"/>
  <c r="H199" i="4"/>
  <c r="H198" i="4"/>
  <c r="H186" i="4"/>
  <c r="H185" i="4"/>
  <c r="H181" i="4"/>
  <c r="H139" i="4"/>
  <c r="H138" i="4"/>
  <c r="H137" i="4"/>
  <c r="H131" i="4"/>
  <c r="H130" i="4"/>
  <c r="H114" i="4"/>
  <c r="H111" i="4"/>
  <c r="H31" i="4"/>
  <c r="H30" i="4"/>
  <c r="J269" i="2"/>
  <c r="J262" i="2"/>
  <c r="J260" i="2"/>
  <c r="E260" i="2"/>
  <c r="C262" i="1" s="1"/>
  <c r="J236" i="2"/>
  <c r="E236" i="2"/>
  <c r="J233" i="2"/>
  <c r="E233" i="2"/>
  <c r="J221" i="2"/>
  <c r="E221" i="2"/>
  <c r="G221" i="2" s="1"/>
  <c r="I221" i="2" s="1"/>
  <c r="J198" i="2"/>
  <c r="E198" i="2"/>
  <c r="G198" i="2" s="1"/>
  <c r="J197" i="2"/>
  <c r="E197" i="2"/>
  <c r="J186" i="2"/>
  <c r="E186" i="2"/>
  <c r="J185" i="2"/>
  <c r="E185" i="2"/>
  <c r="F186" i="1"/>
  <c r="H186" i="1" s="1"/>
  <c r="J186" i="1" s="1"/>
  <c r="J181" i="2"/>
  <c r="E181" i="2"/>
  <c r="J139" i="2"/>
  <c r="E139" i="2"/>
  <c r="J138" i="2"/>
  <c r="E138" i="2"/>
  <c r="J137" i="2"/>
  <c r="E137" i="2"/>
  <c r="J131" i="2"/>
  <c r="E131" i="2"/>
  <c r="C132" i="1" s="1"/>
  <c r="J130" i="2"/>
  <c r="E130" i="2"/>
  <c r="G130" i="2" s="1"/>
  <c r="I130" i="2" s="1"/>
  <c r="J114" i="2"/>
  <c r="E114" i="2"/>
  <c r="C115" i="1" s="1"/>
  <c r="J111" i="2"/>
  <c r="E111" i="2"/>
  <c r="J105" i="2"/>
  <c r="E105" i="2"/>
  <c r="J103" i="2"/>
  <c r="E103" i="2"/>
  <c r="J67" i="2"/>
  <c r="C68" i="1"/>
  <c r="J66" i="2"/>
  <c r="G66" i="2"/>
  <c r="J40" i="2"/>
  <c r="E40" i="2"/>
  <c r="C41" i="1" s="1"/>
  <c r="J31" i="2"/>
  <c r="E31" i="2"/>
  <c r="J30" i="2"/>
  <c r="E30" i="2"/>
  <c r="H242" i="2"/>
  <c r="F242" i="2"/>
  <c r="D242" i="2"/>
  <c r="C242" i="2"/>
  <c r="D320" i="4"/>
  <c r="C320" i="4"/>
  <c r="D319" i="4"/>
  <c r="C319" i="4"/>
  <c r="D318" i="4"/>
  <c r="C318" i="4"/>
  <c r="D155" i="5"/>
  <c r="C155" i="5"/>
  <c r="D154" i="5"/>
  <c r="C154" i="5"/>
  <c r="D153" i="5"/>
  <c r="C153" i="5"/>
  <c r="D314" i="1"/>
  <c r="C314" i="1"/>
  <c r="D313" i="1"/>
  <c r="C313" i="1"/>
  <c r="D312" i="1"/>
  <c r="C312" i="1"/>
  <c r="J291" i="2"/>
  <c r="J273" i="2"/>
  <c r="J270" i="2"/>
  <c r="J267" i="2"/>
  <c r="J263" i="2"/>
  <c r="J261" i="2"/>
  <c r="J259" i="2"/>
  <c r="J258" i="2"/>
  <c r="J257" i="2"/>
  <c r="J256" i="2"/>
  <c r="J255" i="2"/>
  <c r="J254" i="2"/>
  <c r="J253" i="2"/>
  <c r="J249" i="2"/>
  <c r="J245" i="2"/>
  <c r="J241" i="2"/>
  <c r="J240" i="2"/>
  <c r="J231" i="2"/>
  <c r="J229" i="2"/>
  <c r="J228" i="2"/>
  <c r="J226" i="2"/>
  <c r="J203" i="2"/>
  <c r="J202" i="2"/>
  <c r="J201" i="2"/>
  <c r="J200" i="2"/>
  <c r="J196" i="2"/>
  <c r="J192" i="2"/>
  <c r="J189" i="2"/>
  <c r="J183" i="2"/>
  <c r="J182" i="2"/>
  <c r="J180" i="2"/>
  <c r="J179" i="2"/>
  <c r="J175" i="2"/>
  <c r="J136" i="2"/>
  <c r="J135" i="2"/>
  <c r="J132" i="2"/>
  <c r="J129" i="2"/>
  <c r="J128" i="2"/>
  <c r="J124" i="2"/>
  <c r="J123" i="2"/>
  <c r="J122" i="2"/>
  <c r="J120" i="2"/>
  <c r="J119" i="2"/>
  <c r="J118" i="2"/>
  <c r="J112" i="2"/>
  <c r="J109" i="2"/>
  <c r="J107" i="2"/>
  <c r="J106" i="2"/>
  <c r="J104" i="2"/>
  <c r="J102" i="2"/>
  <c r="J101" i="2"/>
  <c r="J97" i="2"/>
  <c r="J92" i="2"/>
  <c r="J86" i="2"/>
  <c r="J82" i="2"/>
  <c r="J78" i="2"/>
  <c r="J73" i="2"/>
  <c r="J68" i="2"/>
  <c r="J64" i="2"/>
  <c r="J60" i="2"/>
  <c r="J59" i="2"/>
  <c r="J58" i="2"/>
  <c r="J57" i="2"/>
  <c r="J52" i="2"/>
  <c r="J50" i="2"/>
  <c r="J47" i="2"/>
  <c r="J45" i="2"/>
  <c r="J41" i="2"/>
  <c r="J38" i="2"/>
  <c r="J34" i="2"/>
  <c r="J33" i="2"/>
  <c r="J29" i="2"/>
  <c r="J28" i="2"/>
  <c r="J27" i="2"/>
  <c r="J24" i="2"/>
  <c r="J22" i="2"/>
  <c r="C12" i="4"/>
  <c r="I12" i="4" s="1"/>
  <c r="A4" i="4"/>
  <c r="C10" i="5"/>
  <c r="B3" i="5"/>
  <c r="C13" i="1"/>
  <c r="J13" i="1" s="1"/>
  <c r="A5" i="1"/>
  <c r="C12" i="2"/>
  <c r="I12" i="2" s="1"/>
  <c r="I13" i="6"/>
  <c r="A4" i="2"/>
  <c r="D308" i="4"/>
  <c r="D302" i="1"/>
  <c r="D312" i="4"/>
  <c r="H266" i="4"/>
  <c r="H183" i="4"/>
  <c r="H34" i="4"/>
  <c r="D306" i="1"/>
  <c r="D316" i="4"/>
  <c r="C315" i="4"/>
  <c r="C314" i="4"/>
  <c r="C313" i="4"/>
  <c r="C312" i="4"/>
  <c r="C311" i="4"/>
  <c r="C310" i="4"/>
  <c r="C309" i="4"/>
  <c r="C308" i="4"/>
  <c r="C307" i="4"/>
  <c r="C306" i="4"/>
  <c r="C316" i="4"/>
  <c r="C151" i="5"/>
  <c r="C150" i="5"/>
  <c r="C149" i="5"/>
  <c r="C148" i="5"/>
  <c r="C147" i="5"/>
  <c r="C146" i="5"/>
  <c r="C145" i="5"/>
  <c r="C144" i="5"/>
  <c r="C143" i="5"/>
  <c r="C142" i="5"/>
  <c r="C152" i="5"/>
  <c r="C309" i="1"/>
  <c r="C308" i="1"/>
  <c r="C307" i="1"/>
  <c r="C306" i="1"/>
  <c r="C305" i="1"/>
  <c r="C304" i="1"/>
  <c r="C303" i="1"/>
  <c r="C302" i="1"/>
  <c r="C301" i="1"/>
  <c r="C300" i="1"/>
  <c r="K218" i="1" s="1"/>
  <c r="L218" i="1" s="1"/>
  <c r="C310" i="1"/>
  <c r="D310" i="1"/>
  <c r="K14" i="6"/>
  <c r="K17" i="6"/>
  <c r="D142" i="5"/>
  <c r="J98" i="5" s="1"/>
  <c r="C19" i="5"/>
  <c r="D19" i="5"/>
  <c r="F19" i="5"/>
  <c r="H19" i="5"/>
  <c r="D144" i="5"/>
  <c r="D307" i="4"/>
  <c r="H201" i="4"/>
  <c r="H202" i="4"/>
  <c r="D314" i="4"/>
  <c r="D306" i="4"/>
  <c r="D313" i="4"/>
  <c r="H179" i="4"/>
  <c r="H180" i="4"/>
  <c r="H182" i="4"/>
  <c r="H197" i="4"/>
  <c r="H203" i="4"/>
  <c r="H204" i="4"/>
  <c r="H24" i="4"/>
  <c r="H27" i="4"/>
  <c r="H28" i="4"/>
  <c r="H29" i="4"/>
  <c r="D309" i="4"/>
  <c r="D310" i="4"/>
  <c r="H47" i="4"/>
  <c r="D300" i="1"/>
  <c r="H50" i="4"/>
  <c r="H52" i="4"/>
  <c r="H107" i="4"/>
  <c r="H109" i="4"/>
  <c r="D315" i="4"/>
  <c r="H112" i="4"/>
  <c r="H118" i="4"/>
  <c r="H119" i="4"/>
  <c r="H120" i="4"/>
  <c r="H122" i="4"/>
  <c r="H123" i="4"/>
  <c r="H124" i="4"/>
  <c r="H129" i="4"/>
  <c r="H132" i="4"/>
  <c r="H135" i="4"/>
  <c r="H136" i="4"/>
  <c r="I176" i="1"/>
  <c r="H175" i="4" s="1"/>
  <c r="H176" i="4" s="1"/>
  <c r="H239" i="4"/>
  <c r="D311" i="4"/>
  <c r="H248" i="4"/>
  <c r="H249" i="4" s="1"/>
  <c r="H253" i="4"/>
  <c r="H254" i="4"/>
  <c r="H255" i="4"/>
  <c r="H256" i="4"/>
  <c r="H257" i="4"/>
  <c r="H258" i="4"/>
  <c r="H260" i="4"/>
  <c r="H262" i="4"/>
  <c r="H269" i="4"/>
  <c r="D301" i="1"/>
  <c r="D308" i="1"/>
  <c r="D307" i="1"/>
  <c r="D303" i="1"/>
  <c r="D304" i="1"/>
  <c r="F54" i="1"/>
  <c r="H53" i="4"/>
  <c r="D309" i="1"/>
  <c r="D305" i="1"/>
  <c r="D152" i="5"/>
  <c r="H189" i="4"/>
  <c r="E13" i="2"/>
  <c r="C14" i="6"/>
  <c r="D14" i="6"/>
  <c r="F14" i="6"/>
  <c r="H14" i="6"/>
  <c r="C17" i="6"/>
  <c r="F17" i="6"/>
  <c r="H17" i="6"/>
  <c r="H42" i="2"/>
  <c r="E17" i="5"/>
  <c r="G17" i="5" s="1"/>
  <c r="I17" i="5" s="1"/>
  <c r="E18" i="5"/>
  <c r="G18" i="5" s="1"/>
  <c r="I18" i="5" s="1"/>
  <c r="E21" i="5"/>
  <c r="G21" i="5" s="1"/>
  <c r="I21" i="5" s="1"/>
  <c r="E20" i="5"/>
  <c r="G20" i="5" s="1"/>
  <c r="I20" i="5" s="1"/>
  <c r="E32" i="5"/>
  <c r="G32" i="5" s="1"/>
  <c r="I32" i="5" s="1"/>
  <c r="D29" i="5"/>
  <c r="E29" i="5" s="1"/>
  <c r="E30" i="5"/>
  <c r="E43" i="5"/>
  <c r="E44" i="5"/>
  <c r="G44" i="5" s="1"/>
  <c r="I44" i="5" s="1"/>
  <c r="K42" i="5"/>
  <c r="E46" i="5"/>
  <c r="G46" i="5" s="1"/>
  <c r="I46" i="5" s="1"/>
  <c r="E47" i="5"/>
  <c r="G47" i="5" s="1"/>
  <c r="I47" i="5" s="1"/>
  <c r="D55" i="5"/>
  <c r="E55" i="5" s="1"/>
  <c r="E56" i="5"/>
  <c r="G56" i="5" s="1"/>
  <c r="I56" i="5" s="1"/>
  <c r="E57" i="5"/>
  <c r="E58" i="5"/>
  <c r="G58" i="5" s="1"/>
  <c r="I58" i="5" s="1"/>
  <c r="E69" i="5"/>
  <c r="G69" i="5" s="1"/>
  <c r="I69" i="5" s="1"/>
  <c r="E70" i="5"/>
  <c r="F70" i="5"/>
  <c r="E71" i="5"/>
  <c r="K68" i="5"/>
  <c r="E73" i="5"/>
  <c r="G73" i="5" s="1"/>
  <c r="I73" i="5" s="1"/>
  <c r="D82" i="5"/>
  <c r="E82" i="5" s="1"/>
  <c r="G82" i="5" s="1"/>
  <c r="I82" i="5" s="1"/>
  <c r="E83" i="5"/>
  <c r="G83" i="5" s="1"/>
  <c r="I83" i="5" s="1"/>
  <c r="D85" i="5"/>
  <c r="E85" i="5" s="1"/>
  <c r="E95" i="5"/>
  <c r="G95" i="5" s="1"/>
  <c r="I95" i="5" s="1"/>
  <c r="C96" i="5"/>
  <c r="D96" i="5"/>
  <c r="F96" i="5"/>
  <c r="H96" i="5"/>
  <c r="K94" i="5"/>
  <c r="E98" i="5"/>
  <c r="G98" i="5" s="1"/>
  <c r="I98" i="5" s="1"/>
  <c r="E99" i="5"/>
  <c r="G99" i="5" s="1"/>
  <c r="I99" i="5" s="1"/>
  <c r="E108" i="5"/>
  <c r="G108" i="5" s="1"/>
  <c r="I108" i="5" s="1"/>
  <c r="E109" i="5"/>
  <c r="E110" i="5"/>
  <c r="G110" i="5" s="1"/>
  <c r="I110" i="5" s="1"/>
  <c r="C42" i="5"/>
  <c r="C68" i="5" s="1"/>
  <c r="E68" i="5" s="1"/>
  <c r="C94" i="5"/>
  <c r="D27" i="5"/>
  <c r="D42" i="5"/>
  <c r="D53" i="5"/>
  <c r="D94" i="5"/>
  <c r="D101" i="5"/>
  <c r="D105" i="5"/>
  <c r="D107" i="5" s="1"/>
  <c r="D79" i="5"/>
  <c r="F27" i="5"/>
  <c r="F42" i="5"/>
  <c r="F53" i="5"/>
  <c r="F68" i="5"/>
  <c r="F79" i="5"/>
  <c r="F94" i="5"/>
  <c r="F105" i="5"/>
  <c r="F107" i="5" s="1"/>
  <c r="F135" i="5" s="1"/>
  <c r="H42" i="5"/>
  <c r="E16" i="5"/>
  <c r="G16" i="5" s="1"/>
  <c r="I16" i="5" s="1"/>
  <c r="H68" i="5" s="1"/>
  <c r="H94" i="5"/>
  <c r="E71" i="1"/>
  <c r="D151" i="5"/>
  <c r="D150" i="5"/>
  <c r="D149" i="5"/>
  <c r="D148" i="5"/>
  <c r="D147" i="5"/>
  <c r="D146" i="5"/>
  <c r="D145" i="5"/>
  <c r="D143" i="5"/>
  <c r="G22" i="4"/>
  <c r="H51" i="4"/>
  <c r="F52" i="1"/>
  <c r="H48" i="4"/>
  <c r="F49" i="1"/>
  <c r="F66" i="1"/>
  <c r="F70" i="1"/>
  <c r="A23" i="1"/>
  <c r="A24" i="1" s="1"/>
  <c r="A25" i="1" s="1"/>
  <c r="A26" i="1" s="1"/>
  <c r="F288" i="1"/>
  <c r="H288" i="1" s="1"/>
  <c r="J288" i="1" s="1"/>
  <c r="F286" i="1"/>
  <c r="H286" i="1" s="1"/>
  <c r="J286" i="1" s="1"/>
  <c r="F285" i="1"/>
  <c r="H285" i="1" s="1"/>
  <c r="J285" i="1" s="1"/>
  <c r="F284" i="1"/>
  <c r="H284" i="1" s="1"/>
  <c r="J284" i="1" s="1"/>
  <c r="F283" i="1"/>
  <c r="H283" i="1" s="1"/>
  <c r="J283" i="1" s="1"/>
  <c r="F233" i="1"/>
  <c r="H233" i="1" s="1"/>
  <c r="J233" i="1" s="1"/>
  <c r="F231" i="1"/>
  <c r="H231" i="1" s="1"/>
  <c r="J231" i="1" s="1"/>
  <c r="F230" i="1"/>
  <c r="H230" i="1" s="1"/>
  <c r="J230" i="1" s="1"/>
  <c r="F228" i="1"/>
  <c r="H228" i="1" s="1"/>
  <c r="J228" i="1" s="1"/>
  <c r="F203" i="1"/>
  <c r="H203" i="1" s="1"/>
  <c r="F202" i="1"/>
  <c r="H202" i="1" s="1"/>
  <c r="F74" i="1"/>
  <c r="F34" i="1"/>
  <c r="F26" i="1"/>
  <c r="F24" i="1"/>
  <c r="H24" i="1" s="1"/>
  <c r="J24" i="1" s="1"/>
  <c r="I289" i="1"/>
  <c r="F36" i="6"/>
  <c r="D286" i="4"/>
  <c r="D36" i="6" s="1"/>
  <c r="D42" i="4"/>
  <c r="I252" i="1"/>
  <c r="I62" i="1"/>
  <c r="I99" i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D289" i="1"/>
  <c r="C289" i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277" i="2" s="1"/>
  <c r="A278" i="2" s="1"/>
  <c r="A279" i="2" s="1"/>
  <c r="A280" i="2" s="1"/>
  <c r="A281" i="2" s="1"/>
  <c r="A282" i="2" s="1"/>
  <c r="A283" i="2" s="1"/>
  <c r="A284" i="2" s="1"/>
  <c r="C79" i="2"/>
  <c r="C83" i="2"/>
  <c r="C94" i="2"/>
  <c r="C98" i="2"/>
  <c r="C176" i="2"/>
  <c r="C246" i="2"/>
  <c r="C250" i="2"/>
  <c r="C264" i="2"/>
  <c r="C274" i="2"/>
  <c r="D192" i="2"/>
  <c r="E192" i="2" s="1"/>
  <c r="G192" i="2" s="1"/>
  <c r="I192" i="2" s="1"/>
  <c r="D118" i="2"/>
  <c r="E22" i="2"/>
  <c r="D42" i="2"/>
  <c r="D61" i="2"/>
  <c r="D79" i="2"/>
  <c r="D83" i="2"/>
  <c r="D94" i="2"/>
  <c r="D176" i="2"/>
  <c r="D246" i="2"/>
  <c r="D250" i="2"/>
  <c r="F42" i="2"/>
  <c r="F54" i="2"/>
  <c r="F61" i="2"/>
  <c r="F79" i="2"/>
  <c r="F83" i="2"/>
  <c r="F94" i="2"/>
  <c r="F98" i="2"/>
  <c r="F125" i="2"/>
  <c r="F176" i="2"/>
  <c r="F246" i="2"/>
  <c r="E249" i="2"/>
  <c r="E250" i="2" s="1"/>
  <c r="F250" i="2"/>
  <c r="F264" i="2"/>
  <c r="F274" i="2"/>
  <c r="D15" i="6"/>
  <c r="D16" i="2"/>
  <c r="E119" i="2"/>
  <c r="E120" i="2"/>
  <c r="C121" i="1" s="1"/>
  <c r="E123" i="2"/>
  <c r="E124" i="2"/>
  <c r="E196" i="2"/>
  <c r="H54" i="2"/>
  <c r="H61" i="2"/>
  <c r="H79" i="2"/>
  <c r="H83" i="2"/>
  <c r="H94" i="2"/>
  <c r="H98" i="2"/>
  <c r="H176" i="2"/>
  <c r="H246" i="2"/>
  <c r="H250" i="2"/>
  <c r="H264" i="2"/>
  <c r="H274" i="2"/>
  <c r="E291" i="2"/>
  <c r="G291" i="2" s="1"/>
  <c r="E14" i="2"/>
  <c r="G14" i="2" s="1"/>
  <c r="E24" i="2"/>
  <c r="E27" i="2"/>
  <c r="C28" i="1" s="1"/>
  <c r="E28" i="2"/>
  <c r="E33" i="2"/>
  <c r="G27" i="5"/>
  <c r="E27" i="5"/>
  <c r="E53" i="5"/>
  <c r="E79" i="5"/>
  <c r="E105" i="5"/>
  <c r="E68" i="2"/>
  <c r="G68" i="2" s="1"/>
  <c r="I68" i="2" s="1"/>
  <c r="E175" i="2"/>
  <c r="G175" i="2" s="1"/>
  <c r="I175" i="2" s="1"/>
  <c r="E241" i="2"/>
  <c r="E273" i="2"/>
  <c r="C275" i="1" s="1"/>
  <c r="E270" i="2"/>
  <c r="E267" i="2"/>
  <c r="G267" i="2" s="1"/>
  <c r="E263" i="2"/>
  <c r="E259" i="2"/>
  <c r="C261" i="1" s="1"/>
  <c r="E258" i="2"/>
  <c r="C260" i="1" s="1"/>
  <c r="E257" i="2"/>
  <c r="C259" i="1" s="1"/>
  <c r="E256" i="2"/>
  <c r="E255" i="2"/>
  <c r="E254" i="2"/>
  <c r="C256" i="1" s="1"/>
  <c r="E245" i="2"/>
  <c r="E240" i="2"/>
  <c r="G240" i="2" s="1"/>
  <c r="E228" i="2"/>
  <c r="E226" i="2"/>
  <c r="G226" i="2" s="1"/>
  <c r="E203" i="2"/>
  <c r="G203" i="2" s="1"/>
  <c r="I203" i="2" s="1"/>
  <c r="E202" i="2"/>
  <c r="E201" i="2"/>
  <c r="C203" i="1" s="1"/>
  <c r="E200" i="2"/>
  <c r="E189" i="2"/>
  <c r="G189" i="2" s="1"/>
  <c r="I189" i="2" s="1"/>
  <c r="E183" i="2"/>
  <c r="E182" i="2"/>
  <c r="E180" i="2"/>
  <c r="E179" i="2"/>
  <c r="G179" i="2" s="1"/>
  <c r="I179" i="2" s="1"/>
  <c r="E135" i="2"/>
  <c r="E132" i="2"/>
  <c r="E129" i="2"/>
  <c r="G129" i="2" s="1"/>
  <c r="E122" i="2"/>
  <c r="E112" i="2"/>
  <c r="C113" i="1" s="1"/>
  <c r="E109" i="2"/>
  <c r="E107" i="2"/>
  <c r="E106" i="2"/>
  <c r="E104" i="2"/>
  <c r="C105" i="1" s="1"/>
  <c r="E102" i="2"/>
  <c r="E101" i="2"/>
  <c r="E92" i="2"/>
  <c r="G82" i="2"/>
  <c r="I82" i="2" s="1"/>
  <c r="I83" i="2" s="1"/>
  <c r="E73" i="2"/>
  <c r="E64" i="2"/>
  <c r="G64" i="2" s="1"/>
  <c r="I64" i="2" s="1"/>
  <c r="E60" i="2"/>
  <c r="E59" i="2"/>
  <c r="E58" i="2"/>
  <c r="E57" i="2"/>
  <c r="E52" i="2"/>
  <c r="C53" i="1" s="1"/>
  <c r="E50" i="2"/>
  <c r="F51" i="1"/>
  <c r="E47" i="2"/>
  <c r="E41" i="2"/>
  <c r="E38" i="2"/>
  <c r="E34" i="2"/>
  <c r="C35" i="1" s="1"/>
  <c r="E29" i="2"/>
  <c r="E80" i="1"/>
  <c r="E84" i="1"/>
  <c r="E95" i="1"/>
  <c r="E177" i="1"/>
  <c r="E248" i="1"/>
  <c r="E43" i="1"/>
  <c r="E55" i="1"/>
  <c r="E62" i="1"/>
  <c r="E99" i="1"/>
  <c r="E126" i="1"/>
  <c r="E252" i="1"/>
  <c r="E266" i="1"/>
  <c r="E276" i="1"/>
  <c r="E289" i="1"/>
  <c r="C14" i="5"/>
  <c r="C15" i="6"/>
  <c r="H125" i="2"/>
  <c r="F235" i="1"/>
  <c r="H235" i="1" s="1"/>
  <c r="J235" i="1" s="1"/>
  <c r="E81" i="5"/>
  <c r="G81" i="5" s="1"/>
  <c r="H81" i="5" s="1"/>
  <c r="D237" i="2" l="1"/>
  <c r="H54" i="1"/>
  <c r="J54" i="1" s="1"/>
  <c r="H49" i="1"/>
  <c r="J49" i="1" s="1"/>
  <c r="K196" i="1"/>
  <c r="J217" i="4"/>
  <c r="K217" i="4" s="1"/>
  <c r="H51" i="1"/>
  <c r="H34" i="1"/>
  <c r="J34" i="1" s="1"/>
  <c r="D234" i="1"/>
  <c r="F234" i="1" s="1"/>
  <c r="D232" i="1"/>
  <c r="H40" i="1"/>
  <c r="J40" i="1" s="1"/>
  <c r="I230" i="4"/>
  <c r="G235" i="4"/>
  <c r="I235" i="4" s="1"/>
  <c r="G248" i="4"/>
  <c r="I248" i="4" s="1"/>
  <c r="G255" i="4"/>
  <c r="I255" i="4" s="1"/>
  <c r="G259" i="4"/>
  <c r="I259" i="4" s="1"/>
  <c r="G270" i="4"/>
  <c r="I270" i="4" s="1"/>
  <c r="G228" i="4"/>
  <c r="I228" i="4" s="1"/>
  <c r="G231" i="4"/>
  <c r="I231" i="4" s="1"/>
  <c r="G252" i="4"/>
  <c r="G256" i="4"/>
  <c r="I256" i="4" s="1"/>
  <c r="G260" i="4"/>
  <c r="I260" i="4" s="1"/>
  <c r="G268" i="4"/>
  <c r="I268" i="4" s="1"/>
  <c r="G271" i="4"/>
  <c r="I271" i="4" s="1"/>
  <c r="G257" i="4"/>
  <c r="I257" i="4" s="1"/>
  <c r="G261" i="4"/>
  <c r="I261" i="4" s="1"/>
  <c r="G269" i="4"/>
  <c r="I269" i="4" s="1"/>
  <c r="G226" i="4"/>
  <c r="G229" i="4"/>
  <c r="G233" i="4"/>
  <c r="I233" i="4" s="1"/>
  <c r="G254" i="4"/>
  <c r="I254" i="4" s="1"/>
  <c r="G258" i="4"/>
  <c r="I258" i="4" s="1"/>
  <c r="G272" i="4"/>
  <c r="G267" i="4"/>
  <c r="I267" i="4" s="1"/>
  <c r="D256" i="1"/>
  <c r="F256" i="1" s="1"/>
  <c r="G57" i="4"/>
  <c r="G59" i="4"/>
  <c r="I59" i="4" s="1"/>
  <c r="G101" i="4"/>
  <c r="I101" i="4" s="1"/>
  <c r="G111" i="4"/>
  <c r="I111" i="4" s="1"/>
  <c r="G124" i="4"/>
  <c r="I124" i="4" s="1"/>
  <c r="G131" i="4"/>
  <c r="I131" i="4" s="1"/>
  <c r="G137" i="4"/>
  <c r="G183" i="4"/>
  <c r="I183" i="4" s="1"/>
  <c r="G202" i="4"/>
  <c r="I202" i="4" s="1"/>
  <c r="G102" i="4"/>
  <c r="I102" i="4" s="1"/>
  <c r="G106" i="4"/>
  <c r="I106" i="4" s="1"/>
  <c r="G120" i="4"/>
  <c r="I120" i="4" s="1"/>
  <c r="G132" i="4"/>
  <c r="I132" i="4" s="1"/>
  <c r="G180" i="4"/>
  <c r="I180" i="4" s="1"/>
  <c r="G185" i="4"/>
  <c r="I185" i="4" s="1"/>
  <c r="G203" i="4"/>
  <c r="I203" i="4" s="1"/>
  <c r="J192" i="4"/>
  <c r="J87" i="4"/>
  <c r="J88" i="4"/>
  <c r="K88" i="4" s="1"/>
  <c r="J108" i="4"/>
  <c r="K108" i="4" s="1"/>
  <c r="J188" i="4"/>
  <c r="K188" i="4" s="1"/>
  <c r="J187" i="4"/>
  <c r="K187" i="4" s="1"/>
  <c r="J190" i="4"/>
  <c r="K190" i="4" s="1"/>
  <c r="G58" i="4"/>
  <c r="I58" i="4" s="1"/>
  <c r="G60" i="4"/>
  <c r="G69" i="4"/>
  <c r="I69" i="4" s="1"/>
  <c r="G78" i="4"/>
  <c r="G79" i="4" s="1"/>
  <c r="G103" i="4"/>
  <c r="G107" i="4"/>
  <c r="I107" i="4" s="1"/>
  <c r="G114" i="4"/>
  <c r="I114" i="4" s="1"/>
  <c r="G122" i="4"/>
  <c r="I122" i="4" s="1"/>
  <c r="G129" i="4"/>
  <c r="I129" i="4" s="1"/>
  <c r="G135" i="4"/>
  <c r="I135" i="4" s="1"/>
  <c r="G139" i="4"/>
  <c r="I139" i="4" s="1"/>
  <c r="G181" i="4"/>
  <c r="I181" i="4" s="1"/>
  <c r="G186" i="4"/>
  <c r="G199" i="4"/>
  <c r="I199" i="4" s="1"/>
  <c r="G204" i="4"/>
  <c r="I204" i="4" s="1"/>
  <c r="G28" i="4"/>
  <c r="G42" i="4" s="1"/>
  <c r="G105" i="4"/>
  <c r="I105" i="4" s="1"/>
  <c r="G119" i="4"/>
  <c r="I119" i="4" s="1"/>
  <c r="G197" i="4"/>
  <c r="I197" i="4" s="1"/>
  <c r="G92" i="4"/>
  <c r="G94" i="4" s="1"/>
  <c r="G112" i="4"/>
  <c r="I112" i="4" s="1"/>
  <c r="G138" i="4"/>
  <c r="I138" i="4" s="1"/>
  <c r="G198" i="4"/>
  <c r="I198" i="4" s="1"/>
  <c r="G104" i="4"/>
  <c r="I104" i="4" s="1"/>
  <c r="G109" i="4"/>
  <c r="G118" i="4"/>
  <c r="I118" i="4" s="1"/>
  <c r="G123" i="4"/>
  <c r="I123" i="4" s="1"/>
  <c r="G130" i="4"/>
  <c r="I130" i="4" s="1"/>
  <c r="G136" i="4"/>
  <c r="I136" i="4" s="1"/>
  <c r="G175" i="4"/>
  <c r="G176" i="4" s="1"/>
  <c r="G182" i="4"/>
  <c r="I182" i="4" s="1"/>
  <c r="G201" i="4"/>
  <c r="I201" i="4" s="1"/>
  <c r="G222" i="4"/>
  <c r="G117" i="4"/>
  <c r="I117" i="4" s="1"/>
  <c r="G191" i="4"/>
  <c r="I191" i="4" s="1"/>
  <c r="D35" i="1"/>
  <c r="F35" i="1" s="1"/>
  <c r="D261" i="1"/>
  <c r="F261" i="1" s="1"/>
  <c r="H261" i="1" s="1"/>
  <c r="J261" i="1" s="1"/>
  <c r="D263" i="1"/>
  <c r="F263" i="1" s="1"/>
  <c r="H263" i="1" s="1"/>
  <c r="J263" i="1" s="1"/>
  <c r="D105" i="1"/>
  <c r="F105" i="1" s="1"/>
  <c r="H105" i="1" s="1"/>
  <c r="J105" i="1" s="1"/>
  <c r="D121" i="1"/>
  <c r="F121" i="1" s="1"/>
  <c r="H121" i="1" s="1"/>
  <c r="J121" i="1" s="1"/>
  <c r="K227" i="1"/>
  <c r="L227" i="1" s="1"/>
  <c r="K36" i="1"/>
  <c r="L36" i="1" s="1"/>
  <c r="K88" i="1"/>
  <c r="L88" i="1" s="1"/>
  <c r="K27" i="1"/>
  <c r="L27" i="1" s="1"/>
  <c r="K109" i="1"/>
  <c r="L109" i="1" s="1"/>
  <c r="K89" i="1"/>
  <c r="L89" i="1" s="1"/>
  <c r="K222" i="1"/>
  <c r="L222" i="1" s="1"/>
  <c r="K191" i="1"/>
  <c r="L191" i="1" s="1"/>
  <c r="K189" i="1"/>
  <c r="L189" i="1" s="1"/>
  <c r="K166" i="1"/>
  <c r="L166" i="1" s="1"/>
  <c r="K237" i="1"/>
  <c r="L237" i="1" s="1"/>
  <c r="K188" i="1"/>
  <c r="L188" i="1" s="1"/>
  <c r="K169" i="1"/>
  <c r="L169" i="1" s="1"/>
  <c r="K168" i="1"/>
  <c r="L168" i="1" s="1"/>
  <c r="K165" i="1"/>
  <c r="L165" i="1" s="1"/>
  <c r="K167" i="1"/>
  <c r="L167" i="1" s="1"/>
  <c r="K170" i="1"/>
  <c r="L170" i="1" s="1"/>
  <c r="D273" i="1"/>
  <c r="F273" i="1" s="1"/>
  <c r="H273" i="1" s="1"/>
  <c r="J273" i="1" s="1"/>
  <c r="D142" i="1"/>
  <c r="F142" i="1" s="1"/>
  <c r="D141" i="1"/>
  <c r="F141" i="1" s="1"/>
  <c r="D53" i="1"/>
  <c r="F53" i="1" s="1"/>
  <c r="D259" i="1"/>
  <c r="F259" i="1" s="1"/>
  <c r="H259" i="1" s="1"/>
  <c r="J259" i="1" s="1"/>
  <c r="D41" i="1"/>
  <c r="F41" i="1" s="1"/>
  <c r="D68" i="1"/>
  <c r="F68" i="1" s="1"/>
  <c r="D115" i="1"/>
  <c r="F115" i="1" s="1"/>
  <c r="H115" i="1" s="1"/>
  <c r="J115" i="1" s="1"/>
  <c r="D132" i="1"/>
  <c r="F132" i="1" s="1"/>
  <c r="H132" i="1" s="1"/>
  <c r="J132" i="1" s="1"/>
  <c r="D271" i="1"/>
  <c r="F271" i="1" s="1"/>
  <c r="H271" i="1" s="1"/>
  <c r="J271" i="1" s="1"/>
  <c r="D275" i="1"/>
  <c r="F275" i="1" s="1"/>
  <c r="H275" i="1" s="1"/>
  <c r="J275" i="1" s="1"/>
  <c r="D113" i="1"/>
  <c r="F113" i="1" s="1"/>
  <c r="H113" i="1" s="1"/>
  <c r="J113" i="1" s="1"/>
  <c r="D260" i="1"/>
  <c r="F260" i="1" s="1"/>
  <c r="H260" i="1" s="1"/>
  <c r="J260" i="1" s="1"/>
  <c r="D28" i="1"/>
  <c r="F28" i="1" s="1"/>
  <c r="D262" i="1"/>
  <c r="F262" i="1" s="1"/>
  <c r="H262" i="1" s="1"/>
  <c r="J262" i="1" s="1"/>
  <c r="D114" i="1"/>
  <c r="F114" i="1" s="1"/>
  <c r="D143" i="1"/>
  <c r="F143" i="1" s="1"/>
  <c r="J166" i="4"/>
  <c r="K166" i="4" s="1"/>
  <c r="J169" i="4"/>
  <c r="K169" i="4" s="1"/>
  <c r="J165" i="4"/>
  <c r="K165" i="4" s="1"/>
  <c r="J168" i="4"/>
  <c r="K168" i="4" s="1"/>
  <c r="J221" i="4"/>
  <c r="K221" i="4" s="1"/>
  <c r="J167" i="4"/>
  <c r="K167" i="4" s="1"/>
  <c r="J164" i="4"/>
  <c r="K164" i="4" s="1"/>
  <c r="J35" i="4"/>
  <c r="K35" i="4" s="1"/>
  <c r="C275" i="4"/>
  <c r="G86" i="4"/>
  <c r="G89" i="4" s="1"/>
  <c r="E89" i="4"/>
  <c r="G179" i="4"/>
  <c r="I179" i="4" s="1"/>
  <c r="E223" i="4"/>
  <c r="L27" i="4"/>
  <c r="J27" i="4" s="1"/>
  <c r="L26" i="4"/>
  <c r="J26" i="4" s="1"/>
  <c r="K26" i="4" s="1"/>
  <c r="K220" i="1"/>
  <c r="L220" i="1" s="1"/>
  <c r="K215" i="1"/>
  <c r="L215" i="1" s="1"/>
  <c r="K211" i="1"/>
  <c r="L211" i="1" s="1"/>
  <c r="K207" i="1"/>
  <c r="L207" i="1" s="1"/>
  <c r="K212" i="1"/>
  <c r="L212" i="1" s="1"/>
  <c r="K210" i="1"/>
  <c r="L210" i="1" s="1"/>
  <c r="K216" i="1"/>
  <c r="L216" i="1" s="1"/>
  <c r="K209" i="1"/>
  <c r="L209" i="1" s="1"/>
  <c r="K214" i="1"/>
  <c r="L214" i="1" s="1"/>
  <c r="K213" i="1"/>
  <c r="L213" i="1" s="1"/>
  <c r="K219" i="1"/>
  <c r="L219" i="1" s="1"/>
  <c r="K208" i="1"/>
  <c r="L208" i="1" s="1"/>
  <c r="K217" i="1"/>
  <c r="L217" i="1" s="1"/>
  <c r="J214" i="4"/>
  <c r="K214" i="4" s="1"/>
  <c r="K219" i="4"/>
  <c r="K213" i="4"/>
  <c r="J211" i="4"/>
  <c r="K211" i="4" s="1"/>
  <c r="K209" i="4"/>
  <c r="K212" i="4"/>
  <c r="K210" i="4"/>
  <c r="K215" i="4"/>
  <c r="K218" i="4"/>
  <c r="J216" i="4"/>
  <c r="K216" i="4" s="1"/>
  <c r="K206" i="4"/>
  <c r="J208" i="4"/>
  <c r="L228" i="4"/>
  <c r="J228" i="4" s="1"/>
  <c r="L235" i="4"/>
  <c r="J235" i="4" s="1"/>
  <c r="L229" i="4"/>
  <c r="J229" i="4" s="1"/>
  <c r="H222" i="4"/>
  <c r="I207" i="4"/>
  <c r="L231" i="4"/>
  <c r="J231" i="4" s="1"/>
  <c r="L226" i="4"/>
  <c r="J226" i="4" s="1"/>
  <c r="G55" i="5"/>
  <c r="J31" i="5"/>
  <c r="K31" i="5" s="1"/>
  <c r="G57" i="5"/>
  <c r="I57" i="5" s="1"/>
  <c r="G120" i="5"/>
  <c r="I120" i="5" s="1"/>
  <c r="G30" i="5"/>
  <c r="I30" i="5" s="1"/>
  <c r="H74" i="1"/>
  <c r="F76" i="1"/>
  <c r="J143" i="4"/>
  <c r="K143" i="4" s="1"/>
  <c r="K144" i="1"/>
  <c r="L144" i="1" s="1"/>
  <c r="K145" i="1"/>
  <c r="L145" i="1" s="1"/>
  <c r="K146" i="1"/>
  <c r="J144" i="4"/>
  <c r="K144" i="4" s="1"/>
  <c r="J145" i="4"/>
  <c r="K145" i="4" s="1"/>
  <c r="K117" i="1"/>
  <c r="L117" i="1" s="1"/>
  <c r="K201" i="1"/>
  <c r="L201" i="1" s="1"/>
  <c r="K116" i="1"/>
  <c r="L116" i="1" s="1"/>
  <c r="G256" i="2"/>
  <c r="I256" i="2" s="1"/>
  <c r="K256" i="2" s="1"/>
  <c r="C258" i="1"/>
  <c r="G263" i="2"/>
  <c r="I263" i="2" s="1"/>
  <c r="K263" i="2" s="1"/>
  <c r="C265" i="1"/>
  <c r="J200" i="4"/>
  <c r="K200" i="4" s="1"/>
  <c r="J37" i="4"/>
  <c r="K37" i="4" s="1"/>
  <c r="G268" i="2"/>
  <c r="I268" i="2" s="1"/>
  <c r="K268" i="2" s="1"/>
  <c r="C270" i="1"/>
  <c r="G253" i="2"/>
  <c r="C255" i="1"/>
  <c r="G270" i="2"/>
  <c r="I270" i="2" s="1"/>
  <c r="K270" i="2" s="1"/>
  <c r="C272" i="1"/>
  <c r="G255" i="2"/>
  <c r="I255" i="2" s="1"/>
  <c r="K255" i="2" s="1"/>
  <c r="C257" i="1"/>
  <c r="G73" i="4"/>
  <c r="G75" i="4" s="1"/>
  <c r="E75" i="4"/>
  <c r="G272" i="2"/>
  <c r="I272" i="2" s="1"/>
  <c r="K272" i="2" s="1"/>
  <c r="C274" i="1"/>
  <c r="G262" i="2"/>
  <c r="I262" i="2" s="1"/>
  <c r="K262" i="2" s="1"/>
  <c r="C264" i="1"/>
  <c r="K38" i="1"/>
  <c r="L38" i="1" s="1"/>
  <c r="K194" i="1"/>
  <c r="L194" i="1" s="1"/>
  <c r="K195" i="1"/>
  <c r="L195" i="1" s="1"/>
  <c r="J194" i="4"/>
  <c r="K194" i="4" s="1"/>
  <c r="J195" i="4"/>
  <c r="K195" i="4" s="1"/>
  <c r="K158" i="1"/>
  <c r="L158" i="1" s="1"/>
  <c r="K156" i="1"/>
  <c r="L156" i="1" s="1"/>
  <c r="L155" i="1"/>
  <c r="K154" i="1"/>
  <c r="L154" i="1" s="1"/>
  <c r="K151" i="1"/>
  <c r="L151" i="1" s="1"/>
  <c r="K149" i="1"/>
  <c r="L149" i="1" s="1"/>
  <c r="K147" i="1"/>
  <c r="L147" i="1" s="1"/>
  <c r="K159" i="1"/>
  <c r="L159" i="1" s="1"/>
  <c r="K157" i="1"/>
  <c r="L157" i="1" s="1"/>
  <c r="K153" i="1"/>
  <c r="L153" i="1" s="1"/>
  <c r="K152" i="1"/>
  <c r="L152" i="1" s="1"/>
  <c r="K150" i="1"/>
  <c r="L150" i="1" s="1"/>
  <c r="L148" i="1"/>
  <c r="K255" i="1"/>
  <c r="K261" i="1"/>
  <c r="K163" i="1"/>
  <c r="L163" i="1" s="1"/>
  <c r="K262" i="1"/>
  <c r="K259" i="1"/>
  <c r="K275" i="1"/>
  <c r="K260" i="1"/>
  <c r="K272" i="1"/>
  <c r="K265" i="1"/>
  <c r="K171" i="1"/>
  <c r="L171" i="1" s="1"/>
  <c r="K270" i="1"/>
  <c r="K164" i="1"/>
  <c r="L164" i="1" s="1"/>
  <c r="K75" i="1"/>
  <c r="K263" i="1"/>
  <c r="K161" i="1"/>
  <c r="L161" i="1" s="1"/>
  <c r="K258" i="1"/>
  <c r="K160" i="1"/>
  <c r="L160" i="1" s="1"/>
  <c r="K271" i="1"/>
  <c r="K256" i="1"/>
  <c r="K264" i="1"/>
  <c r="K257" i="1"/>
  <c r="K273" i="1"/>
  <c r="K274" i="1"/>
  <c r="K162" i="1"/>
  <c r="L162" i="1" s="1"/>
  <c r="K37" i="1"/>
  <c r="J74" i="4"/>
  <c r="K74" i="4" s="1"/>
  <c r="E94" i="5"/>
  <c r="G94" i="5" s="1"/>
  <c r="I94" i="5" s="1"/>
  <c r="K287" i="1"/>
  <c r="L287" i="1" s="1"/>
  <c r="J156" i="4"/>
  <c r="K156" i="4" s="1"/>
  <c r="J148" i="4"/>
  <c r="K148" i="4" s="1"/>
  <c r="J161" i="4"/>
  <c r="K161" i="4" s="1"/>
  <c r="J152" i="4"/>
  <c r="K152" i="4" s="1"/>
  <c r="J149" i="4"/>
  <c r="K149" i="4" s="1"/>
  <c r="J157" i="4"/>
  <c r="K157" i="4" s="1"/>
  <c r="J284" i="4"/>
  <c r="K284" i="4" s="1"/>
  <c r="K154" i="4"/>
  <c r="J160" i="4"/>
  <c r="K160" i="4" s="1"/>
  <c r="J159" i="4"/>
  <c r="K159" i="4" s="1"/>
  <c r="K147" i="4"/>
  <c r="J36" i="4"/>
  <c r="K36" i="4" s="1"/>
  <c r="J151" i="4"/>
  <c r="K151" i="4" s="1"/>
  <c r="J170" i="4"/>
  <c r="K170" i="4" s="1"/>
  <c r="J158" i="4"/>
  <c r="K158" i="4" s="1"/>
  <c r="J155" i="4"/>
  <c r="K155" i="4" s="1"/>
  <c r="J146" i="4"/>
  <c r="K146" i="4" s="1"/>
  <c r="J153" i="4"/>
  <c r="K153" i="4" s="1"/>
  <c r="J150" i="4"/>
  <c r="K150" i="4" s="1"/>
  <c r="J163" i="4"/>
  <c r="K163" i="4" s="1"/>
  <c r="J162" i="4"/>
  <c r="K162" i="4" s="1"/>
  <c r="G73" i="2"/>
  <c r="G75" i="2" s="1"/>
  <c r="E75" i="2"/>
  <c r="C180" i="1"/>
  <c r="D54" i="2"/>
  <c r="D222" i="2"/>
  <c r="E279" i="2"/>
  <c r="C18" i="6"/>
  <c r="D17" i="6"/>
  <c r="D18" i="6" s="1"/>
  <c r="D17" i="2"/>
  <c r="D14" i="5" s="1"/>
  <c r="G13" i="2"/>
  <c r="E107" i="5"/>
  <c r="D26" i="6"/>
  <c r="G68" i="5"/>
  <c r="I68" i="5" s="1"/>
  <c r="C72" i="5"/>
  <c r="C97" i="5"/>
  <c r="C45" i="5"/>
  <c r="J97" i="5"/>
  <c r="J45" i="5"/>
  <c r="J72" i="5"/>
  <c r="F45" i="5"/>
  <c r="F72" i="5"/>
  <c r="F97" i="5"/>
  <c r="H72" i="5"/>
  <c r="H97" i="5"/>
  <c r="H45" i="5"/>
  <c r="E42" i="5"/>
  <c r="G42" i="5" s="1"/>
  <c r="I42" i="5" s="1"/>
  <c r="E96" i="5"/>
  <c r="G96" i="5" s="1"/>
  <c r="I96" i="5" s="1"/>
  <c r="G71" i="5"/>
  <c r="I71" i="5" s="1"/>
  <c r="D97" i="5"/>
  <c r="D45" i="5"/>
  <c r="D72" i="5"/>
  <c r="K197" i="1"/>
  <c r="L197" i="1" s="1"/>
  <c r="K135" i="1"/>
  <c r="L135" i="1" s="1"/>
  <c r="K134" i="1"/>
  <c r="L134" i="1" s="1"/>
  <c r="K111" i="1"/>
  <c r="L111" i="1" s="1"/>
  <c r="K185" i="1"/>
  <c r="L185" i="1" s="1"/>
  <c r="G29" i="5"/>
  <c r="F26" i="6"/>
  <c r="G193" i="1"/>
  <c r="F192" i="4" s="1"/>
  <c r="G192" i="4" s="1"/>
  <c r="I192" i="4" s="1"/>
  <c r="G70" i="5"/>
  <c r="I70" i="5" s="1"/>
  <c r="K98" i="5"/>
  <c r="J134" i="4"/>
  <c r="K134" i="4" s="1"/>
  <c r="J116" i="4"/>
  <c r="K116" i="4" s="1"/>
  <c r="J184" i="4"/>
  <c r="K184" i="4" s="1"/>
  <c r="J110" i="4"/>
  <c r="K110" i="4" s="1"/>
  <c r="J115" i="4"/>
  <c r="K115" i="4" s="1"/>
  <c r="J196" i="4"/>
  <c r="K196" i="4" s="1"/>
  <c r="J133" i="4"/>
  <c r="K133" i="4" s="1"/>
  <c r="E83" i="4"/>
  <c r="E176" i="4"/>
  <c r="C228" i="1"/>
  <c r="H87" i="4"/>
  <c r="I87" i="4" s="1"/>
  <c r="E123" i="5"/>
  <c r="G109" i="5"/>
  <c r="I109" i="5" s="1"/>
  <c r="G85" i="5"/>
  <c r="I85" i="5" s="1"/>
  <c r="G43" i="5"/>
  <c r="I43" i="5" s="1"/>
  <c r="D274" i="2"/>
  <c r="F289" i="1"/>
  <c r="E45" i="2"/>
  <c r="G45" i="2" s="1"/>
  <c r="C223" i="1"/>
  <c r="K82" i="2"/>
  <c r="I14" i="2"/>
  <c r="K14" i="2" s="1"/>
  <c r="K17" i="2" s="1"/>
  <c r="E136" i="2"/>
  <c r="G136" i="2" s="1"/>
  <c r="I136" i="2" s="1"/>
  <c r="K136" i="2" s="1"/>
  <c r="D172" i="2"/>
  <c r="H26" i="1"/>
  <c r="J26" i="1" s="1"/>
  <c r="C200" i="1"/>
  <c r="C190" i="1"/>
  <c r="K175" i="2"/>
  <c r="E286" i="4"/>
  <c r="E273" i="4"/>
  <c r="G266" i="4"/>
  <c r="I266" i="4" s="1"/>
  <c r="G244" i="4"/>
  <c r="G245" i="4" s="1"/>
  <c r="E241" i="4"/>
  <c r="G240" i="4"/>
  <c r="G241" i="4" s="1"/>
  <c r="E98" i="4"/>
  <c r="G97" i="4"/>
  <c r="I97" i="4" s="1"/>
  <c r="H128" i="4"/>
  <c r="H172" i="4" s="1"/>
  <c r="I173" i="1"/>
  <c r="K200" i="1"/>
  <c r="J51" i="1"/>
  <c r="G128" i="2"/>
  <c r="I128" i="2" s="1"/>
  <c r="G128" i="4"/>
  <c r="E172" i="4"/>
  <c r="K68" i="2"/>
  <c r="G191" i="2"/>
  <c r="I191" i="2" s="1"/>
  <c r="K191" i="2" s="1"/>
  <c r="C192" i="1"/>
  <c r="K192" i="2"/>
  <c r="E176" i="2"/>
  <c r="G176" i="2"/>
  <c r="E229" i="2"/>
  <c r="G229" i="2" s="1"/>
  <c r="I229" i="2" s="1"/>
  <c r="K229" i="2" s="1"/>
  <c r="C118" i="1"/>
  <c r="C269" i="1"/>
  <c r="C176" i="1"/>
  <c r="E97" i="2"/>
  <c r="D264" i="2"/>
  <c r="D98" i="2"/>
  <c r="K189" i="2"/>
  <c r="J30" i="5"/>
  <c r="C69" i="1"/>
  <c r="C131" i="1"/>
  <c r="K58" i="1"/>
  <c r="I84" i="1"/>
  <c r="J202" i="1"/>
  <c r="K184" i="1"/>
  <c r="J46" i="5"/>
  <c r="K46" i="5" s="1"/>
  <c r="J95" i="5"/>
  <c r="K95" i="5" s="1"/>
  <c r="C65" i="1"/>
  <c r="C130" i="1"/>
  <c r="K285" i="1"/>
  <c r="L285" i="1" s="1"/>
  <c r="J109" i="5"/>
  <c r="J18" i="5"/>
  <c r="K18" i="5" s="1"/>
  <c r="K120" i="1"/>
  <c r="I38" i="4"/>
  <c r="I177" i="1"/>
  <c r="K118" i="1"/>
  <c r="H98" i="4"/>
  <c r="J121" i="5"/>
  <c r="K121" i="5" s="1"/>
  <c r="K115" i="1"/>
  <c r="K137" i="1"/>
  <c r="K105" i="1"/>
  <c r="K30" i="1"/>
  <c r="J70" i="5"/>
  <c r="K108" i="1"/>
  <c r="K130" i="1"/>
  <c r="J83" i="5"/>
  <c r="K83" i="5" s="1"/>
  <c r="K284" i="1"/>
  <c r="L284" i="1" s="1"/>
  <c r="I80" i="1"/>
  <c r="K251" i="1"/>
  <c r="J55" i="5"/>
  <c r="K202" i="1"/>
  <c r="K123" i="1"/>
  <c r="K70" i="1"/>
  <c r="J29" i="5"/>
  <c r="J57" i="5"/>
  <c r="K129" i="1"/>
  <c r="K83" i="1"/>
  <c r="G135" i="2"/>
  <c r="I135" i="2" s="1"/>
  <c r="K135" i="2" s="1"/>
  <c r="C136" i="1"/>
  <c r="H52" i="1"/>
  <c r="J52" i="1" s="1"/>
  <c r="H70" i="1"/>
  <c r="J70" i="1" s="1"/>
  <c r="K288" i="1"/>
  <c r="K46" i="1"/>
  <c r="K67" i="1"/>
  <c r="K110" i="1"/>
  <c r="G38" i="2"/>
  <c r="I38" i="2" s="1"/>
  <c r="K38" i="2" s="1"/>
  <c r="C39" i="1"/>
  <c r="G60" i="2"/>
  <c r="I60" i="2" s="1"/>
  <c r="K60" i="2" s="1"/>
  <c r="C61" i="1"/>
  <c r="E13" i="1"/>
  <c r="I55" i="1"/>
  <c r="J203" i="1"/>
  <c r="H66" i="1"/>
  <c r="J66" i="1" s="1"/>
  <c r="J99" i="5"/>
  <c r="K99" i="5" s="1"/>
  <c r="J56" i="5"/>
  <c r="K56" i="5" s="1"/>
  <c r="J43" i="5"/>
  <c r="J21" i="5"/>
  <c r="K21" i="5" s="1"/>
  <c r="J47" i="5"/>
  <c r="K47" i="5" s="1"/>
  <c r="J122" i="5"/>
  <c r="K122" i="5" s="1"/>
  <c r="K235" i="1"/>
  <c r="L235" i="1" s="1"/>
  <c r="K192" i="1"/>
  <c r="K193" i="1"/>
  <c r="K136" i="1"/>
  <c r="K121" i="1"/>
  <c r="K98" i="1"/>
  <c r="K60" i="1"/>
  <c r="K24" i="1"/>
  <c r="L24" i="1" s="1"/>
  <c r="K25" i="2"/>
  <c r="K93" i="1"/>
  <c r="L109" i="4"/>
  <c r="J109" i="4" s="1"/>
  <c r="L262" i="4"/>
  <c r="J262" i="4" s="1"/>
  <c r="K31" i="1"/>
  <c r="K182" i="1"/>
  <c r="K233" i="1"/>
  <c r="L233" i="1" s="1"/>
  <c r="K180" i="1"/>
  <c r="K125" i="1"/>
  <c r="K87" i="1"/>
  <c r="K283" i="1"/>
  <c r="L283" i="1" s="1"/>
  <c r="K48" i="2"/>
  <c r="K32" i="1"/>
  <c r="I65" i="4"/>
  <c r="I48" i="4"/>
  <c r="K35" i="1"/>
  <c r="J19" i="5"/>
  <c r="K68" i="1"/>
  <c r="K41" i="1"/>
  <c r="K112" i="1"/>
  <c r="K103" i="1"/>
  <c r="K187" i="1"/>
  <c r="K138" i="1"/>
  <c r="K106" i="1"/>
  <c r="K228" i="1"/>
  <c r="L228" i="1" s="1"/>
  <c r="K102" i="1"/>
  <c r="K139" i="1"/>
  <c r="K230" i="1"/>
  <c r="L230" i="1" s="1"/>
  <c r="K113" i="1"/>
  <c r="K186" i="1"/>
  <c r="L186" i="1" s="1"/>
  <c r="K132" i="1"/>
  <c r="K204" i="1"/>
  <c r="K183" i="1"/>
  <c r="K65" i="2"/>
  <c r="K242" i="1"/>
  <c r="K65" i="1"/>
  <c r="K25" i="1"/>
  <c r="K130" i="2"/>
  <c r="K243" i="1"/>
  <c r="K69" i="1"/>
  <c r="K54" i="1"/>
  <c r="L54" i="1" s="1"/>
  <c r="K28" i="1"/>
  <c r="K203" i="2"/>
  <c r="K53" i="2"/>
  <c r="K117" i="2"/>
  <c r="K223" i="1"/>
  <c r="K23" i="2"/>
  <c r="K74" i="1"/>
  <c r="K61" i="1"/>
  <c r="K53" i="1"/>
  <c r="K29" i="1"/>
  <c r="K23" i="1"/>
  <c r="K64" i="2"/>
  <c r="K179" i="2"/>
  <c r="K51" i="2"/>
  <c r="K69" i="2"/>
  <c r="G58" i="2"/>
  <c r="I58" i="2" s="1"/>
  <c r="K58" i="2" s="1"/>
  <c r="C59" i="1"/>
  <c r="C123" i="1"/>
  <c r="G122" i="2"/>
  <c r="I122" i="2" s="1"/>
  <c r="K122" i="2" s="1"/>
  <c r="C133" i="1"/>
  <c r="G132" i="2"/>
  <c r="I132" i="2" s="1"/>
  <c r="K132" i="2" s="1"/>
  <c r="G180" i="2"/>
  <c r="I180" i="2" s="1"/>
  <c r="K180" i="2" s="1"/>
  <c r="C181" i="1"/>
  <c r="G258" i="2"/>
  <c r="I258" i="2" s="1"/>
  <c r="K258" i="2" s="1"/>
  <c r="C125" i="1"/>
  <c r="G124" i="2"/>
  <c r="I124" i="2" s="1"/>
  <c r="K124" i="2" s="1"/>
  <c r="G119" i="2"/>
  <c r="I119" i="2" s="1"/>
  <c r="K119" i="2" s="1"/>
  <c r="H240" i="4"/>
  <c r="I244" i="1"/>
  <c r="C140" i="1"/>
  <c r="G139" i="2"/>
  <c r="I139" i="2" s="1"/>
  <c r="K139" i="2" s="1"/>
  <c r="G186" i="2"/>
  <c r="I186" i="2" s="1"/>
  <c r="K186" i="2" s="1"/>
  <c r="C187" i="1"/>
  <c r="G271" i="2"/>
  <c r="I271" i="2" s="1"/>
  <c r="K271" i="2" s="1"/>
  <c r="H68" i="4"/>
  <c r="I68" i="4" s="1"/>
  <c r="I71" i="1"/>
  <c r="H92" i="4"/>
  <c r="I95" i="1"/>
  <c r="K203" i="1"/>
  <c r="I126" i="1"/>
  <c r="I176" i="2"/>
  <c r="C48" i="1"/>
  <c r="G47" i="2"/>
  <c r="I47" i="2" s="1"/>
  <c r="K47" i="2" s="1"/>
  <c r="G57" i="2"/>
  <c r="I57" i="2" s="1"/>
  <c r="K57" i="2" s="1"/>
  <c r="C58" i="1"/>
  <c r="G102" i="2"/>
  <c r="I102" i="2" s="1"/>
  <c r="K102" i="2" s="1"/>
  <c r="C103" i="1"/>
  <c r="G228" i="2"/>
  <c r="H252" i="4"/>
  <c r="I266" i="1"/>
  <c r="K286" i="1"/>
  <c r="L286" i="1" s="1"/>
  <c r="K107" i="1"/>
  <c r="K119" i="1"/>
  <c r="K124" i="1"/>
  <c r="K133" i="1"/>
  <c r="K176" i="1"/>
  <c r="K181" i="1"/>
  <c r="K198" i="1"/>
  <c r="K231" i="1"/>
  <c r="L231" i="1" s="1"/>
  <c r="K104" i="1"/>
  <c r="K131" i="1"/>
  <c r="K140" i="1"/>
  <c r="K199" i="1"/>
  <c r="K238" i="1"/>
  <c r="K269" i="1"/>
  <c r="J110" i="5"/>
  <c r="K110" i="5" s="1"/>
  <c r="J107" i="5"/>
  <c r="J96" i="5"/>
  <c r="J85" i="5"/>
  <c r="J120" i="5"/>
  <c r="J108" i="5"/>
  <c r="K108" i="5" s="1"/>
  <c r="J82" i="5"/>
  <c r="K82" i="5" s="1"/>
  <c r="J71" i="5"/>
  <c r="J58" i="5"/>
  <c r="K58" i="5" s="1"/>
  <c r="J44" i="5"/>
  <c r="K44" i="5" s="1"/>
  <c r="H83" i="4"/>
  <c r="I82" i="4"/>
  <c r="L41" i="4"/>
  <c r="J41" i="4" s="1"/>
  <c r="K42" i="1"/>
  <c r="G261" i="2"/>
  <c r="I261" i="2" s="1"/>
  <c r="K261" i="2" s="1"/>
  <c r="G109" i="2"/>
  <c r="I109" i="2" s="1"/>
  <c r="K109" i="2" s="1"/>
  <c r="C110" i="1"/>
  <c r="G200" i="2"/>
  <c r="I200" i="2" s="1"/>
  <c r="K200" i="2" s="1"/>
  <c r="C202" i="1"/>
  <c r="G254" i="2"/>
  <c r="I254" i="2" s="1"/>
  <c r="K254" i="2" s="1"/>
  <c r="G273" i="2"/>
  <c r="I273" i="2" s="1"/>
  <c r="K273" i="2" s="1"/>
  <c r="E118" i="2"/>
  <c r="E125" i="2" s="1"/>
  <c r="D125" i="2"/>
  <c r="G30" i="2"/>
  <c r="I30" i="2" s="1"/>
  <c r="K30" i="2" s="1"/>
  <c r="C31" i="1"/>
  <c r="G103" i="2"/>
  <c r="I103" i="2" s="1"/>
  <c r="K103" i="2" s="1"/>
  <c r="G111" i="2"/>
  <c r="I111" i="2" s="1"/>
  <c r="K111" i="2" s="1"/>
  <c r="E274" i="2"/>
  <c r="C42" i="1"/>
  <c r="G41" i="2"/>
  <c r="I41" i="2" s="1"/>
  <c r="K41" i="2" s="1"/>
  <c r="H22" i="4"/>
  <c r="I22" i="4" s="1"/>
  <c r="I43" i="1"/>
  <c r="H272" i="4"/>
  <c r="I276" i="1"/>
  <c r="K221" i="2"/>
  <c r="L65" i="4"/>
  <c r="J65" i="4" s="1"/>
  <c r="K66" i="1"/>
  <c r="E83" i="2"/>
  <c r="G83" i="2"/>
  <c r="G34" i="2"/>
  <c r="I34" i="2" s="1"/>
  <c r="K34" i="2" s="1"/>
  <c r="G52" i="2"/>
  <c r="I52" i="2" s="1"/>
  <c r="K52" i="2" s="1"/>
  <c r="C60" i="1"/>
  <c r="D60" i="1" s="1"/>
  <c r="G59" i="2"/>
  <c r="C83" i="1"/>
  <c r="D83" i="1" s="1"/>
  <c r="C102" i="1"/>
  <c r="D102" i="1" s="1"/>
  <c r="G101" i="2"/>
  <c r="I101" i="2" s="1"/>
  <c r="C108" i="1"/>
  <c r="D108" i="1" s="1"/>
  <c r="F108" i="1" s="1"/>
  <c r="H108" i="1" s="1"/>
  <c r="G107" i="2"/>
  <c r="I107" i="2" s="1"/>
  <c r="K107" i="2" s="1"/>
  <c r="C183" i="1"/>
  <c r="G182" i="2"/>
  <c r="I182" i="2" s="1"/>
  <c r="K182" i="2" s="1"/>
  <c r="C193" i="1"/>
  <c r="D193" i="1" s="1"/>
  <c r="C205" i="1"/>
  <c r="C247" i="1"/>
  <c r="D247" i="1" s="1"/>
  <c r="G245" i="2"/>
  <c r="G259" i="2"/>
  <c r="I259" i="2" s="1"/>
  <c r="K259" i="2" s="1"/>
  <c r="C79" i="1"/>
  <c r="G78" i="2"/>
  <c r="G27" i="2"/>
  <c r="I27" i="2" s="1"/>
  <c r="K27" i="2" s="1"/>
  <c r="G283" i="2"/>
  <c r="I283" i="2" s="1"/>
  <c r="C87" i="1"/>
  <c r="D87" i="1" s="1"/>
  <c r="D90" i="1" s="1"/>
  <c r="G86" i="2"/>
  <c r="C124" i="1"/>
  <c r="G123" i="2"/>
  <c r="I123" i="2" s="1"/>
  <c r="K123" i="2" s="1"/>
  <c r="E19" i="5"/>
  <c r="G19" i="5" s="1"/>
  <c r="I19" i="5" s="1"/>
  <c r="J227" i="4"/>
  <c r="K227" i="4" s="1"/>
  <c r="G40" i="2"/>
  <c r="I40" i="2" s="1"/>
  <c r="K40" i="2" s="1"/>
  <c r="G233" i="2"/>
  <c r="I233" i="2" s="1"/>
  <c r="K233" i="2" s="1"/>
  <c r="C235" i="1"/>
  <c r="G260" i="2"/>
  <c r="I260" i="2" s="1"/>
  <c r="K260" i="2" s="1"/>
  <c r="L31" i="4"/>
  <c r="J31" i="4" s="1"/>
  <c r="L92" i="4"/>
  <c r="J92" i="4" s="1"/>
  <c r="G104" i="2"/>
  <c r="I104" i="2" s="1"/>
  <c r="K104" i="2" s="1"/>
  <c r="G112" i="2"/>
  <c r="I112" i="2" s="1"/>
  <c r="K112" i="2" s="1"/>
  <c r="G201" i="2"/>
  <c r="I201" i="2" s="1"/>
  <c r="K201" i="2" s="1"/>
  <c r="C243" i="1"/>
  <c r="G241" i="2"/>
  <c r="I241" i="2" s="1"/>
  <c r="K241" i="2" s="1"/>
  <c r="G33" i="2"/>
  <c r="H244" i="4"/>
  <c r="H245" i="4" s="1"/>
  <c r="I248" i="1"/>
  <c r="K47" i="1"/>
  <c r="L47" i="1" s="1"/>
  <c r="G105" i="2"/>
  <c r="I105" i="2" s="1"/>
  <c r="K105" i="2" s="1"/>
  <c r="C106" i="1"/>
  <c r="G131" i="2"/>
  <c r="I131" i="2" s="1"/>
  <c r="K131" i="2" s="1"/>
  <c r="G138" i="2"/>
  <c r="I138" i="2" s="1"/>
  <c r="K138" i="2" s="1"/>
  <c r="G185" i="2"/>
  <c r="K247" i="1"/>
  <c r="K205" i="1"/>
  <c r="K79" i="1"/>
  <c r="K59" i="1"/>
  <c r="K48" i="1"/>
  <c r="K34" i="1"/>
  <c r="L34" i="1" s="1"/>
  <c r="K26" i="1"/>
  <c r="J17" i="5"/>
  <c r="K17" i="5" s="1"/>
  <c r="J20" i="5"/>
  <c r="K20" i="5" s="1"/>
  <c r="J32" i="5"/>
  <c r="K32" i="5" s="1"/>
  <c r="J69" i="5"/>
  <c r="K69" i="5" s="1"/>
  <c r="J73" i="5"/>
  <c r="K73" i="5" s="1"/>
  <c r="C30" i="1"/>
  <c r="G29" i="2"/>
  <c r="I29" i="2" s="1"/>
  <c r="K29" i="2" s="1"/>
  <c r="G50" i="2"/>
  <c r="C93" i="1"/>
  <c r="D93" i="1" s="1"/>
  <c r="G92" i="2"/>
  <c r="C107" i="1"/>
  <c r="G106" i="2"/>
  <c r="I106" i="2" s="1"/>
  <c r="K106" i="2" s="1"/>
  <c r="C184" i="1"/>
  <c r="G183" i="2"/>
  <c r="I183" i="2" s="1"/>
  <c r="K183" i="2" s="1"/>
  <c r="C204" i="1"/>
  <c r="G202" i="2"/>
  <c r="I202" i="2" s="1"/>
  <c r="K202" i="2" s="1"/>
  <c r="G231" i="2"/>
  <c r="I231" i="2" s="1"/>
  <c r="K231" i="2" s="1"/>
  <c r="G257" i="2"/>
  <c r="I257" i="2" s="1"/>
  <c r="K257" i="2" s="1"/>
  <c r="C29" i="1"/>
  <c r="G28" i="2"/>
  <c r="I28" i="2" s="1"/>
  <c r="K28" i="2" s="1"/>
  <c r="G120" i="2"/>
  <c r="I120" i="2" s="1"/>
  <c r="K120" i="2" s="1"/>
  <c r="G249" i="2"/>
  <c r="C251" i="1"/>
  <c r="D251" i="1" s="1"/>
  <c r="G22" i="2"/>
  <c r="I22" i="2" s="1"/>
  <c r="K22" i="2" s="1"/>
  <c r="G114" i="2"/>
  <c r="I114" i="2" s="1"/>
  <c r="K114" i="2" s="1"/>
  <c r="C238" i="1"/>
  <c r="D238" i="1" s="1"/>
  <c r="G236" i="2"/>
  <c r="I236" i="2" s="1"/>
  <c r="K236" i="2" s="1"/>
  <c r="G269" i="2"/>
  <c r="I269" i="2" s="1"/>
  <c r="K269" i="2" s="1"/>
  <c r="I262" i="4"/>
  <c r="G284" i="2"/>
  <c r="I284" i="2" s="1"/>
  <c r="C25" i="1"/>
  <c r="G24" i="2"/>
  <c r="I24" i="2" s="1"/>
  <c r="K24" i="2" s="1"/>
  <c r="C198" i="1"/>
  <c r="G196" i="2"/>
  <c r="I196" i="2" s="1"/>
  <c r="K196" i="2" s="1"/>
  <c r="K229" i="1"/>
  <c r="L229" i="1" s="1"/>
  <c r="J30" i="4"/>
  <c r="G31" i="2"/>
  <c r="I31" i="2" s="1"/>
  <c r="K31" i="2" s="1"/>
  <c r="G67" i="2"/>
  <c r="I67" i="2" s="1"/>
  <c r="K67" i="2" s="1"/>
  <c r="G137" i="2"/>
  <c r="I137" i="2" s="1"/>
  <c r="K137" i="2" s="1"/>
  <c r="C182" i="1"/>
  <c r="G181" i="2"/>
  <c r="I181" i="2" s="1"/>
  <c r="K181" i="2" s="1"/>
  <c r="C199" i="1"/>
  <c r="G197" i="2"/>
  <c r="I197" i="2" s="1"/>
  <c r="K197" i="2" s="1"/>
  <c r="E15" i="6"/>
  <c r="E70" i="4"/>
  <c r="H289" i="1"/>
  <c r="E263" i="4"/>
  <c r="E249" i="4"/>
  <c r="E245" i="4"/>
  <c r="I137" i="4"/>
  <c r="E125" i="4"/>
  <c r="E61" i="4"/>
  <c r="E54" i="4"/>
  <c r="E42" i="4"/>
  <c r="J52" i="4"/>
  <c r="J82" i="4"/>
  <c r="J138" i="4"/>
  <c r="I29" i="4"/>
  <c r="J191" i="4"/>
  <c r="J285" i="4"/>
  <c r="J34" i="4"/>
  <c r="J102" i="4"/>
  <c r="J180" i="4"/>
  <c r="J258" i="4"/>
  <c r="J283" i="4"/>
  <c r="J201" i="4"/>
  <c r="J78" i="4"/>
  <c r="I25" i="4"/>
  <c r="I45" i="4"/>
  <c r="I189" i="4"/>
  <c r="I229" i="4"/>
  <c r="I52" i="4"/>
  <c r="J253" i="4"/>
  <c r="I186" i="4"/>
  <c r="J112" i="4"/>
  <c r="J128" i="4"/>
  <c r="J182" i="4"/>
  <c r="J244" i="4"/>
  <c r="J254" i="4"/>
  <c r="J272" i="4"/>
  <c r="J53" i="4"/>
  <c r="I23" i="4"/>
  <c r="I30" i="4"/>
  <c r="I47" i="4"/>
  <c r="I103" i="4"/>
  <c r="I109" i="4"/>
  <c r="I253" i="4"/>
  <c r="I283" i="4"/>
  <c r="J40" i="4"/>
  <c r="G286" i="4"/>
  <c r="I31" i="4"/>
  <c r="J282" i="4"/>
  <c r="J257" i="4"/>
  <c r="J240" i="4"/>
  <c r="J66" i="4"/>
  <c r="J24" i="4"/>
  <c r="I24" i="4"/>
  <c r="H286" i="4"/>
  <c r="H36" i="6" s="1"/>
  <c r="H54" i="4"/>
  <c r="H236" i="4"/>
  <c r="I280" i="4"/>
  <c r="I34" i="4"/>
  <c r="E94" i="4"/>
  <c r="E236" i="4"/>
  <c r="J64" i="4"/>
  <c r="C36" i="6"/>
  <c r="E36" i="6" s="1"/>
  <c r="I60" i="4"/>
  <c r="I27" i="4"/>
  <c r="J123" i="4"/>
  <c r="J23" i="4"/>
  <c r="J25" i="4"/>
  <c r="J28" i="4"/>
  <c r="J33" i="4"/>
  <c r="J50" i="4"/>
  <c r="J58" i="4"/>
  <c r="J60" i="4"/>
  <c r="J67" i="4"/>
  <c r="J69" i="4"/>
  <c r="J86" i="4"/>
  <c r="I50" i="4"/>
  <c r="G249" i="4"/>
  <c r="J269" i="4"/>
  <c r="J261" i="4"/>
  <c r="J198" i="4"/>
  <c r="J136" i="4"/>
  <c r="G54" i="4"/>
  <c r="J239" i="4"/>
  <c r="J204" i="4"/>
  <c r="J281" i="4"/>
  <c r="J268" i="4"/>
  <c r="J260" i="4"/>
  <c r="J256" i="4"/>
  <c r="J252" i="4"/>
  <c r="J222" i="4"/>
  <c r="J193" i="4"/>
  <c r="J132" i="4"/>
  <c r="J120" i="4"/>
  <c r="J106" i="4"/>
  <c r="J73" i="4"/>
  <c r="J59" i="4"/>
  <c r="J45" i="4"/>
  <c r="J22" i="4"/>
  <c r="J117" i="4"/>
  <c r="J271" i="4"/>
  <c r="I64" i="4"/>
  <c r="H125" i="4"/>
  <c r="I33" i="4"/>
  <c r="I40" i="4"/>
  <c r="I53" i="4"/>
  <c r="I66" i="4"/>
  <c r="I226" i="4"/>
  <c r="I282" i="4"/>
  <c r="J280" i="4"/>
  <c r="J266" i="4"/>
  <c r="J259" i="4"/>
  <c r="J255" i="4"/>
  <c r="J203" i="4"/>
  <c r="J185" i="4"/>
  <c r="J175" i="4"/>
  <c r="J130" i="4"/>
  <c r="J118" i="4"/>
  <c r="J104" i="4"/>
  <c r="J68" i="4"/>
  <c r="J57" i="4"/>
  <c r="J270" i="4"/>
  <c r="I239" i="4"/>
  <c r="J267" i="4"/>
  <c r="J97" i="4"/>
  <c r="J103" i="4"/>
  <c r="J107" i="4"/>
  <c r="J114" i="4"/>
  <c r="J122" i="4"/>
  <c r="J129" i="4"/>
  <c r="J135" i="4"/>
  <c r="J139" i="4"/>
  <c r="J179" i="4"/>
  <c r="J183" i="4"/>
  <c r="J197" i="4"/>
  <c r="J202" i="4"/>
  <c r="J233" i="4"/>
  <c r="J248" i="4"/>
  <c r="J101" i="4"/>
  <c r="J105" i="4"/>
  <c r="J111" i="4"/>
  <c r="J119" i="4"/>
  <c r="J124" i="4"/>
  <c r="J131" i="4"/>
  <c r="J137" i="4"/>
  <c r="J181" i="4"/>
  <c r="J186" i="4"/>
  <c r="J199" i="4"/>
  <c r="I281" i="4"/>
  <c r="J29" i="4"/>
  <c r="J47" i="4"/>
  <c r="J48" i="4"/>
  <c r="J49" i="4"/>
  <c r="K49" i="4" s="1"/>
  <c r="J39" i="4"/>
  <c r="K39" i="4" s="1"/>
  <c r="H61" i="4"/>
  <c r="I67" i="4"/>
  <c r="J38" i="4"/>
  <c r="D275" i="4"/>
  <c r="I51" i="4"/>
  <c r="I41" i="4"/>
  <c r="J189" i="4"/>
  <c r="J51" i="4"/>
  <c r="I285" i="4"/>
  <c r="G83" i="4"/>
  <c r="I57" i="4"/>
  <c r="J289" i="1"/>
  <c r="I291" i="2"/>
  <c r="C186" i="1"/>
  <c r="C139" i="1"/>
  <c r="C138" i="1"/>
  <c r="C129" i="1"/>
  <c r="D129" i="1" s="1"/>
  <c r="C120" i="1"/>
  <c r="C112" i="1"/>
  <c r="C104" i="1"/>
  <c r="E79" i="2"/>
  <c r="C74" i="1"/>
  <c r="C76" i="1" s="1"/>
  <c r="C67" i="1"/>
  <c r="C34" i="1"/>
  <c r="C32" i="1"/>
  <c r="I267" i="2"/>
  <c r="E264" i="2"/>
  <c r="E246" i="2"/>
  <c r="I240" i="2"/>
  <c r="C242" i="1"/>
  <c r="D242" i="1" s="1"/>
  <c r="E242" i="2"/>
  <c r="C230" i="1"/>
  <c r="I226" i="2"/>
  <c r="I129" i="2"/>
  <c r="E94" i="2"/>
  <c r="I66" i="2"/>
  <c r="E70" i="2"/>
  <c r="E61" i="2"/>
  <c r="C51" i="1"/>
  <c r="E16" i="2"/>
  <c r="G16" i="2" s="1"/>
  <c r="C66" i="5"/>
  <c r="C40" i="5"/>
  <c r="C92" i="5"/>
  <c r="E14" i="6"/>
  <c r="E42" i="2"/>
  <c r="C23" i="1"/>
  <c r="D23" i="1" s="1"/>
  <c r="I198" i="2"/>
  <c r="E222" i="2"/>
  <c r="K52" i="1"/>
  <c r="K50" i="1"/>
  <c r="L50" i="1" s="1"/>
  <c r="K49" i="1"/>
  <c r="L49" i="1" s="1"/>
  <c r="K40" i="1"/>
  <c r="K39" i="1"/>
  <c r="K51" i="1"/>
  <c r="K190" i="1"/>
  <c r="K94" i="1"/>
  <c r="L94" i="1" s="1"/>
  <c r="H276" i="2"/>
  <c r="F276" i="2"/>
  <c r="J220" i="4"/>
  <c r="K220" i="4" s="1"/>
  <c r="K221" i="1"/>
  <c r="L221" i="1" s="1"/>
  <c r="K206" i="1"/>
  <c r="L206" i="1" s="1"/>
  <c r="J205" i="4"/>
  <c r="K205" i="4" s="1"/>
  <c r="K33" i="1"/>
  <c r="L33" i="1" s="1"/>
  <c r="J32" i="4"/>
  <c r="K32" i="4" s="1"/>
  <c r="J93" i="4"/>
  <c r="K93" i="4" s="1"/>
  <c r="J46" i="4"/>
  <c r="K46" i="4" s="1"/>
  <c r="C276" i="2"/>
  <c r="K236" i="1"/>
  <c r="L236" i="1" s="1"/>
  <c r="J234" i="4"/>
  <c r="K234" i="4" s="1"/>
  <c r="K122" i="1"/>
  <c r="L122" i="1" s="1"/>
  <c r="J121" i="4"/>
  <c r="K121" i="4" s="1"/>
  <c r="K141" i="1"/>
  <c r="J103" i="5"/>
  <c r="K103" i="5" s="1"/>
  <c r="J77" i="5"/>
  <c r="K77" i="5" s="1"/>
  <c r="J51" i="5"/>
  <c r="K51" i="5" s="1"/>
  <c r="J25" i="5"/>
  <c r="K25" i="5" s="1"/>
  <c r="J140" i="4"/>
  <c r="K140" i="4" s="1"/>
  <c r="K234" i="1"/>
  <c r="K232" i="1"/>
  <c r="K143" i="1"/>
  <c r="K142" i="1"/>
  <c r="K114" i="1"/>
  <c r="J232" i="4"/>
  <c r="K232" i="4" s="1"/>
  <c r="J230" i="4"/>
  <c r="K230" i="4" s="1"/>
  <c r="J142" i="4"/>
  <c r="K142" i="4" s="1"/>
  <c r="J141" i="4"/>
  <c r="K141" i="4" s="1"/>
  <c r="J113" i="4"/>
  <c r="K113" i="4" s="1"/>
  <c r="G70" i="4" l="1"/>
  <c r="D239" i="1"/>
  <c r="L40" i="1"/>
  <c r="H234" i="1"/>
  <c r="J234" i="1" s="1"/>
  <c r="D176" i="1"/>
  <c r="F176" i="1" s="1"/>
  <c r="F232" i="1"/>
  <c r="I78" i="4"/>
  <c r="I79" i="4" s="1"/>
  <c r="D223" i="1"/>
  <c r="F223" i="1" s="1"/>
  <c r="K87" i="4"/>
  <c r="H68" i="1"/>
  <c r="J68" i="1" s="1"/>
  <c r="G236" i="4"/>
  <c r="I28" i="4"/>
  <c r="K28" i="4" s="1"/>
  <c r="I272" i="4"/>
  <c r="H28" i="1"/>
  <c r="J28" i="1" s="1"/>
  <c r="H41" i="1"/>
  <c r="J41" i="1" s="1"/>
  <c r="L41" i="1" s="1"/>
  <c r="G263" i="4"/>
  <c r="I92" i="4"/>
  <c r="K92" i="4" s="1"/>
  <c r="I252" i="4"/>
  <c r="I263" i="4" s="1"/>
  <c r="G61" i="4"/>
  <c r="G125" i="4"/>
  <c r="I175" i="4"/>
  <c r="K175" i="4" s="1"/>
  <c r="K192" i="4"/>
  <c r="I222" i="4"/>
  <c r="E135" i="5"/>
  <c r="E26" i="6" s="1"/>
  <c r="E196" i="1"/>
  <c r="F196" i="1" s="1"/>
  <c r="H256" i="1"/>
  <c r="J256" i="1" s="1"/>
  <c r="L256" i="1" s="1"/>
  <c r="E237" i="2"/>
  <c r="I228" i="2"/>
  <c r="G237" i="2"/>
  <c r="H143" i="1"/>
  <c r="J143" i="1" s="1"/>
  <c r="L143" i="1" s="1"/>
  <c r="H141" i="1"/>
  <c r="J141" i="1" s="1"/>
  <c r="H142" i="1"/>
  <c r="J142" i="1" s="1"/>
  <c r="L142" i="1" s="1"/>
  <c r="H114" i="1"/>
  <c r="J114" i="1" s="1"/>
  <c r="L114" i="1" s="1"/>
  <c r="H53" i="1"/>
  <c r="J53" i="1" s="1"/>
  <c r="H35" i="1"/>
  <c r="J35" i="1" s="1"/>
  <c r="L35" i="1" s="1"/>
  <c r="G172" i="4"/>
  <c r="H89" i="4"/>
  <c r="L259" i="1"/>
  <c r="D138" i="1"/>
  <c r="F138" i="1" s="1"/>
  <c r="D181" i="1"/>
  <c r="D112" i="1"/>
  <c r="F112" i="1" s="1"/>
  <c r="D139" i="1"/>
  <c r="F139" i="1" s="1"/>
  <c r="D29" i="1"/>
  <c r="F29" i="1" s="1"/>
  <c r="D107" i="1"/>
  <c r="F107" i="1" s="1"/>
  <c r="D124" i="1"/>
  <c r="F124" i="1" s="1"/>
  <c r="D31" i="1"/>
  <c r="F31" i="1" s="1"/>
  <c r="D110" i="1"/>
  <c r="F110" i="1" s="1"/>
  <c r="D58" i="1"/>
  <c r="D140" i="1"/>
  <c r="F140" i="1" s="1"/>
  <c r="D123" i="1"/>
  <c r="F123" i="1" s="1"/>
  <c r="D200" i="1"/>
  <c r="F200" i="1" s="1"/>
  <c r="L262" i="1"/>
  <c r="D274" i="1"/>
  <c r="F274" i="1" s="1"/>
  <c r="D257" i="1"/>
  <c r="F257" i="1" s="1"/>
  <c r="D255" i="1"/>
  <c r="F255" i="1" s="1"/>
  <c r="D258" i="1"/>
  <c r="F258" i="1" s="1"/>
  <c r="D120" i="1"/>
  <c r="F120" i="1" s="1"/>
  <c r="D198" i="1"/>
  <c r="F198" i="1" s="1"/>
  <c r="D30" i="1"/>
  <c r="F30" i="1" s="1"/>
  <c r="D183" i="1"/>
  <c r="F183" i="1" s="1"/>
  <c r="D187" i="1"/>
  <c r="F187" i="1" s="1"/>
  <c r="D125" i="1"/>
  <c r="F125" i="1" s="1"/>
  <c r="D59" i="1"/>
  <c r="F59" i="1" s="1"/>
  <c r="D65" i="1"/>
  <c r="F65" i="1" s="1"/>
  <c r="D69" i="1"/>
  <c r="D118" i="1"/>
  <c r="F118" i="1" s="1"/>
  <c r="L260" i="1"/>
  <c r="D104" i="1"/>
  <c r="F104" i="1" s="1"/>
  <c r="D25" i="1"/>
  <c r="F25" i="1" s="1"/>
  <c r="D190" i="1"/>
  <c r="F190" i="1" s="1"/>
  <c r="D67" i="1"/>
  <c r="F67" i="1" s="1"/>
  <c r="D199" i="1"/>
  <c r="F199" i="1" s="1"/>
  <c r="D204" i="1"/>
  <c r="F204" i="1" s="1"/>
  <c r="D48" i="1"/>
  <c r="F48" i="1" s="1"/>
  <c r="D61" i="1"/>
  <c r="F61" i="1" s="1"/>
  <c r="D130" i="1"/>
  <c r="F130" i="1" s="1"/>
  <c r="D131" i="1"/>
  <c r="F131" i="1" s="1"/>
  <c r="D269" i="1"/>
  <c r="D180" i="1"/>
  <c r="F180" i="1" s="1"/>
  <c r="D32" i="1"/>
  <c r="F32" i="1" s="1"/>
  <c r="I86" i="4"/>
  <c r="I89" i="4" s="1"/>
  <c r="D182" i="1"/>
  <c r="F182" i="1" s="1"/>
  <c r="D184" i="1"/>
  <c r="F184" i="1" s="1"/>
  <c r="D106" i="1"/>
  <c r="F106" i="1" s="1"/>
  <c r="D243" i="1"/>
  <c r="F243" i="1" s="1"/>
  <c r="C80" i="1"/>
  <c r="D79" i="1"/>
  <c r="D80" i="1" s="1"/>
  <c r="D205" i="1"/>
  <c r="F205" i="1" s="1"/>
  <c r="D42" i="1"/>
  <c r="F42" i="1" s="1"/>
  <c r="D103" i="1"/>
  <c r="F103" i="1" s="1"/>
  <c r="D133" i="1"/>
  <c r="F133" i="1" s="1"/>
  <c r="D39" i="1"/>
  <c r="F39" i="1" s="1"/>
  <c r="D136" i="1"/>
  <c r="F136" i="1" s="1"/>
  <c r="D192" i="1"/>
  <c r="F192" i="1" s="1"/>
  <c r="L273" i="1"/>
  <c r="L271" i="1"/>
  <c r="L263" i="1"/>
  <c r="L275" i="1"/>
  <c r="L261" i="1"/>
  <c r="D264" i="1"/>
  <c r="F264" i="1" s="1"/>
  <c r="D272" i="1"/>
  <c r="F272" i="1" s="1"/>
  <c r="D270" i="1"/>
  <c r="F270" i="1" s="1"/>
  <c r="D265" i="1"/>
  <c r="F265" i="1" s="1"/>
  <c r="F87" i="1"/>
  <c r="C90" i="1"/>
  <c r="I86" i="2"/>
  <c r="G89" i="2"/>
  <c r="K207" i="4"/>
  <c r="K57" i="5"/>
  <c r="I55" i="5"/>
  <c r="G123" i="5"/>
  <c r="K30" i="5"/>
  <c r="J74" i="1"/>
  <c r="J76" i="1" s="1"/>
  <c r="H76" i="1"/>
  <c r="L146" i="1"/>
  <c r="I73" i="4"/>
  <c r="L37" i="1"/>
  <c r="L75" i="1"/>
  <c r="L288" i="1"/>
  <c r="I73" i="2"/>
  <c r="I75" i="2" s="1"/>
  <c r="G242" i="2"/>
  <c r="C177" i="1"/>
  <c r="G279" i="2"/>
  <c r="K83" i="2"/>
  <c r="E45" i="5"/>
  <c r="G45" i="5" s="1"/>
  <c r="I45" i="5" s="1"/>
  <c r="K45" i="5" s="1"/>
  <c r="E17" i="6"/>
  <c r="G17" i="6" s="1"/>
  <c r="I17" i="6" s="1"/>
  <c r="E17" i="2"/>
  <c r="G14" i="6"/>
  <c r="I13" i="2"/>
  <c r="G17" i="2"/>
  <c r="G107" i="5"/>
  <c r="I107" i="5" s="1"/>
  <c r="I135" i="5" s="1"/>
  <c r="E72" i="5"/>
  <c r="G72" i="5" s="1"/>
  <c r="I72" i="5" s="1"/>
  <c r="K72" i="5" s="1"/>
  <c r="K71" i="5"/>
  <c r="K96" i="5"/>
  <c r="K70" i="5"/>
  <c r="E97" i="5"/>
  <c r="G97" i="5" s="1"/>
  <c r="I97" i="5" s="1"/>
  <c r="K97" i="5" s="1"/>
  <c r="K176" i="2"/>
  <c r="G224" i="1"/>
  <c r="I29" i="5"/>
  <c r="K85" i="5"/>
  <c r="K253" i="4"/>
  <c r="I98" i="4"/>
  <c r="I83" i="4"/>
  <c r="K203" i="4"/>
  <c r="L202" i="1"/>
  <c r="E54" i="2"/>
  <c r="I45" i="2"/>
  <c r="G273" i="4"/>
  <c r="K109" i="5"/>
  <c r="K43" i="5"/>
  <c r="I240" i="4"/>
  <c r="C231" i="1"/>
  <c r="C239" i="1" s="1"/>
  <c r="E172" i="2"/>
  <c r="C46" i="1"/>
  <c r="G274" i="2"/>
  <c r="L26" i="1"/>
  <c r="K14" i="5"/>
  <c r="K40" i="5" s="1"/>
  <c r="K15" i="6"/>
  <c r="K18" i="6" s="1"/>
  <c r="C137" i="1"/>
  <c r="G98" i="4"/>
  <c r="D276" i="2"/>
  <c r="D15" i="5" s="1"/>
  <c r="K186" i="4"/>
  <c r="K97" i="4"/>
  <c r="C248" i="1"/>
  <c r="I33" i="2"/>
  <c r="K33" i="2" s="1"/>
  <c r="L51" i="1"/>
  <c r="I128" i="4"/>
  <c r="K53" i="4"/>
  <c r="H241" i="4"/>
  <c r="L53" i="1"/>
  <c r="K128" i="2"/>
  <c r="I172" i="2"/>
  <c r="G172" i="2"/>
  <c r="H70" i="4"/>
  <c r="G97" i="2"/>
  <c r="E98" i="2"/>
  <c r="C98" i="1"/>
  <c r="D98" i="1" s="1"/>
  <c r="L121" i="1"/>
  <c r="L115" i="1"/>
  <c r="H94" i="4"/>
  <c r="K179" i="4"/>
  <c r="K50" i="4"/>
  <c r="K82" i="4"/>
  <c r="C276" i="1"/>
  <c r="K38" i="4"/>
  <c r="K131" i="4"/>
  <c r="K69" i="4"/>
  <c r="G54" i="2"/>
  <c r="K48" i="4"/>
  <c r="K197" i="4"/>
  <c r="I244" i="4"/>
  <c r="K256" i="4"/>
  <c r="L70" i="1"/>
  <c r="K267" i="4"/>
  <c r="K199" i="4"/>
  <c r="K222" i="4"/>
  <c r="H273" i="4"/>
  <c r="K254" i="4"/>
  <c r="K231" i="4"/>
  <c r="C71" i="1"/>
  <c r="F238" i="1"/>
  <c r="K235" i="4"/>
  <c r="K181" i="4"/>
  <c r="K65" i="4"/>
  <c r="K283" i="4"/>
  <c r="L132" i="1"/>
  <c r="L105" i="1"/>
  <c r="L234" i="1"/>
  <c r="L52" i="1"/>
  <c r="G42" i="2"/>
  <c r="K233" i="4"/>
  <c r="L66" i="1"/>
  <c r="K118" i="4"/>
  <c r="K262" i="4"/>
  <c r="C95" i="1"/>
  <c r="K19" i="5"/>
  <c r="L203" i="1"/>
  <c r="K34" i="4"/>
  <c r="L68" i="1"/>
  <c r="L113" i="1"/>
  <c r="K138" i="4"/>
  <c r="L28" i="1"/>
  <c r="K191" i="4"/>
  <c r="K272" i="4"/>
  <c r="L141" i="1"/>
  <c r="K182" i="4"/>
  <c r="K285" i="4"/>
  <c r="I249" i="2"/>
  <c r="G250" i="2"/>
  <c r="G118" i="2"/>
  <c r="I118" i="2" s="1"/>
  <c r="K118" i="2" s="1"/>
  <c r="C119" i="1"/>
  <c r="C62" i="1"/>
  <c r="G70" i="2"/>
  <c r="K271" i="4"/>
  <c r="K51" i="4"/>
  <c r="H263" i="4"/>
  <c r="K112" i="4"/>
  <c r="K40" i="4"/>
  <c r="H42" i="4"/>
  <c r="K268" i="4"/>
  <c r="C84" i="1"/>
  <c r="C224" i="1"/>
  <c r="K58" i="4"/>
  <c r="K27" i="4"/>
  <c r="K269" i="4"/>
  <c r="K30" i="4"/>
  <c r="C252" i="1"/>
  <c r="J108" i="1"/>
  <c r="L108" i="1" s="1"/>
  <c r="D92" i="5"/>
  <c r="E92" i="5" s="1"/>
  <c r="H14" i="5"/>
  <c r="H92" i="5" s="1"/>
  <c r="F15" i="6"/>
  <c r="F18" i="6" s="1"/>
  <c r="F14" i="5"/>
  <c r="G36" i="6"/>
  <c r="I36" i="6" s="1"/>
  <c r="H15" i="6"/>
  <c r="H18" i="6" s="1"/>
  <c r="K180" i="4"/>
  <c r="K135" i="4"/>
  <c r="K136" i="4"/>
  <c r="K107" i="4"/>
  <c r="K103" i="4"/>
  <c r="K120" i="4"/>
  <c r="K68" i="4"/>
  <c r="K29" i="4"/>
  <c r="K259" i="4"/>
  <c r="K189" i="4"/>
  <c r="K137" i="4"/>
  <c r="K105" i="4"/>
  <c r="K111" i="4"/>
  <c r="I94" i="4"/>
  <c r="K78" i="4"/>
  <c r="K79" i="4" s="1"/>
  <c r="E275" i="4"/>
  <c r="E290" i="4" s="1"/>
  <c r="I54" i="4"/>
  <c r="K45" i="4"/>
  <c r="K228" i="4"/>
  <c r="K47" i="4"/>
  <c r="K104" i="4"/>
  <c r="K185" i="4"/>
  <c r="K261" i="4"/>
  <c r="K60" i="4"/>
  <c r="K123" i="4"/>
  <c r="K109" i="4"/>
  <c r="K258" i="4"/>
  <c r="K52" i="4"/>
  <c r="K25" i="4"/>
  <c r="K270" i="4"/>
  <c r="K132" i="4"/>
  <c r="K117" i="4"/>
  <c r="K229" i="4"/>
  <c r="K226" i="4"/>
  <c r="K119" i="4"/>
  <c r="K202" i="4"/>
  <c r="K102" i="4"/>
  <c r="K23" i="4"/>
  <c r="K24" i="4"/>
  <c r="K257" i="4"/>
  <c r="K280" i="4"/>
  <c r="K282" i="4"/>
  <c r="K129" i="4"/>
  <c r="K198" i="4"/>
  <c r="K139" i="4"/>
  <c r="K114" i="4"/>
  <c r="K204" i="4"/>
  <c r="K66" i="4"/>
  <c r="K33" i="4"/>
  <c r="K201" i="4"/>
  <c r="I273" i="4"/>
  <c r="K59" i="4"/>
  <c r="K64" i="4"/>
  <c r="K31" i="4"/>
  <c r="K124" i="4"/>
  <c r="C34" i="6"/>
  <c r="C290" i="4"/>
  <c r="I125" i="4"/>
  <c r="I70" i="4"/>
  <c r="K67" i="4"/>
  <c r="K130" i="4"/>
  <c r="K183" i="4"/>
  <c r="I61" i="4"/>
  <c r="I286" i="4"/>
  <c r="K101" i="4"/>
  <c r="K41" i="4"/>
  <c r="D34" i="6"/>
  <c r="D290" i="4"/>
  <c r="K106" i="4"/>
  <c r="K255" i="4"/>
  <c r="K122" i="4"/>
  <c r="K57" i="4"/>
  <c r="K239" i="4"/>
  <c r="I236" i="4"/>
  <c r="K281" i="4"/>
  <c r="K266" i="4"/>
  <c r="K260" i="4"/>
  <c r="K22" i="4"/>
  <c r="K248" i="4"/>
  <c r="I249" i="4"/>
  <c r="I123" i="5"/>
  <c r="K120" i="5"/>
  <c r="K291" i="2"/>
  <c r="I185" i="2"/>
  <c r="I222" i="2" s="1"/>
  <c r="G222" i="2"/>
  <c r="D66" i="5"/>
  <c r="E66" i="5" s="1"/>
  <c r="D40" i="5"/>
  <c r="E40" i="5" s="1"/>
  <c r="E14" i="5"/>
  <c r="I274" i="2"/>
  <c r="K267" i="2"/>
  <c r="C266" i="1"/>
  <c r="I253" i="2"/>
  <c r="G264" i="2"/>
  <c r="G246" i="2"/>
  <c r="I245" i="2"/>
  <c r="F247" i="1"/>
  <c r="D248" i="1"/>
  <c r="C244" i="1"/>
  <c r="I242" i="2"/>
  <c r="K240" i="2"/>
  <c r="K226" i="2"/>
  <c r="K129" i="2"/>
  <c r="K101" i="2"/>
  <c r="F102" i="1"/>
  <c r="I92" i="2"/>
  <c r="G94" i="2"/>
  <c r="F93" i="1"/>
  <c r="D95" i="1"/>
  <c r="I78" i="2"/>
  <c r="G79" i="2"/>
  <c r="K66" i="2"/>
  <c r="I70" i="2"/>
  <c r="G61" i="2"/>
  <c r="I59" i="2"/>
  <c r="F60" i="1"/>
  <c r="I50" i="2"/>
  <c r="C43" i="1"/>
  <c r="K198" i="2"/>
  <c r="F15" i="5"/>
  <c r="H15" i="5"/>
  <c r="C15" i="5"/>
  <c r="I42" i="4" l="1"/>
  <c r="F177" i="1"/>
  <c r="H223" i="1"/>
  <c r="J223" i="1" s="1"/>
  <c r="L223" i="1" s="1"/>
  <c r="H39" i="1"/>
  <c r="J39" i="1" s="1"/>
  <c r="L39" i="1" s="1"/>
  <c r="H60" i="1"/>
  <c r="H270" i="1"/>
  <c r="J270" i="1" s="1"/>
  <c r="L270" i="1" s="1"/>
  <c r="H61" i="1"/>
  <c r="J61" i="1" s="1"/>
  <c r="L61" i="1" s="1"/>
  <c r="K252" i="4"/>
  <c r="K263" i="4" s="1"/>
  <c r="I176" i="4"/>
  <c r="H59" i="1"/>
  <c r="J59" i="1" s="1"/>
  <c r="H258" i="1"/>
  <c r="J258" i="1" s="1"/>
  <c r="L258" i="1" s="1"/>
  <c r="F239" i="1"/>
  <c r="H232" i="1"/>
  <c r="H272" i="1"/>
  <c r="J272" i="1" s="1"/>
  <c r="L272" i="1" s="1"/>
  <c r="H30" i="1"/>
  <c r="J30" i="1" s="1"/>
  <c r="L30" i="1" s="1"/>
  <c r="H255" i="1"/>
  <c r="J255" i="1" s="1"/>
  <c r="L255" i="1" s="1"/>
  <c r="H29" i="1"/>
  <c r="J29" i="1" s="1"/>
  <c r="L29" i="1" s="1"/>
  <c r="H264" i="1"/>
  <c r="J264" i="1" s="1"/>
  <c r="L264" i="1" s="1"/>
  <c r="H243" i="1"/>
  <c r="J243" i="1" s="1"/>
  <c r="L243" i="1" s="1"/>
  <c r="H257" i="1"/>
  <c r="J257" i="1" s="1"/>
  <c r="L257" i="1" s="1"/>
  <c r="D177" i="1"/>
  <c r="H238" i="1"/>
  <c r="J238" i="1" s="1"/>
  <c r="H32" i="1"/>
  <c r="J32" i="1" s="1"/>
  <c r="L32" i="1" s="1"/>
  <c r="H65" i="1"/>
  <c r="J65" i="1" s="1"/>
  <c r="L65" i="1" s="1"/>
  <c r="H274" i="1"/>
  <c r="J274" i="1" s="1"/>
  <c r="L274" i="1" s="1"/>
  <c r="E224" i="1"/>
  <c r="E278" i="1" s="1"/>
  <c r="E293" i="1" s="1"/>
  <c r="K86" i="4"/>
  <c r="K89" i="4" s="1"/>
  <c r="H196" i="1"/>
  <c r="J196" i="1" s="1"/>
  <c r="L196" i="1" s="1"/>
  <c r="K107" i="5"/>
  <c r="H265" i="1"/>
  <c r="J265" i="1" s="1"/>
  <c r="L265" i="1" s="1"/>
  <c r="H247" i="1"/>
  <c r="K228" i="2"/>
  <c r="I237" i="2"/>
  <c r="H199" i="1"/>
  <c r="J199" i="1" s="1"/>
  <c r="L199" i="1" s="1"/>
  <c r="H192" i="1"/>
  <c r="J192" i="1" s="1"/>
  <c r="L192" i="1" s="1"/>
  <c r="H180" i="1"/>
  <c r="J180" i="1" s="1"/>
  <c r="L180" i="1" s="1"/>
  <c r="H183" i="1"/>
  <c r="J183" i="1" s="1"/>
  <c r="L183" i="1" s="1"/>
  <c r="H182" i="1"/>
  <c r="J182" i="1" s="1"/>
  <c r="L182" i="1" s="1"/>
  <c r="H190" i="1"/>
  <c r="J190" i="1" s="1"/>
  <c r="L190" i="1" s="1"/>
  <c r="H200" i="1"/>
  <c r="H205" i="1"/>
  <c r="J205" i="1" s="1"/>
  <c r="L205" i="1" s="1"/>
  <c r="H184" i="1"/>
  <c r="J184" i="1" s="1"/>
  <c r="L184" i="1" s="1"/>
  <c r="H204" i="1"/>
  <c r="J204" i="1" s="1"/>
  <c r="L204" i="1" s="1"/>
  <c r="H187" i="1"/>
  <c r="J187" i="1" s="1"/>
  <c r="L187" i="1" s="1"/>
  <c r="H198" i="1"/>
  <c r="J198" i="1" s="1"/>
  <c r="L198" i="1" s="1"/>
  <c r="H136" i="1"/>
  <c r="J136" i="1" s="1"/>
  <c r="L136" i="1" s="1"/>
  <c r="H138" i="1"/>
  <c r="J138" i="1" s="1"/>
  <c r="L138" i="1" s="1"/>
  <c r="H139" i="1"/>
  <c r="J139" i="1" s="1"/>
  <c r="L139" i="1" s="1"/>
  <c r="H130" i="1"/>
  <c r="J130" i="1" s="1"/>
  <c r="L130" i="1" s="1"/>
  <c r="H140" i="1"/>
  <c r="J140" i="1" s="1"/>
  <c r="L140" i="1" s="1"/>
  <c r="H131" i="1"/>
  <c r="J131" i="1" s="1"/>
  <c r="L131" i="1" s="1"/>
  <c r="H133" i="1"/>
  <c r="J133" i="1" s="1"/>
  <c r="L133" i="1" s="1"/>
  <c r="H123" i="1"/>
  <c r="J123" i="1" s="1"/>
  <c r="L123" i="1" s="1"/>
  <c r="H102" i="1"/>
  <c r="H104" i="1"/>
  <c r="J104" i="1" s="1"/>
  <c r="L104" i="1" s="1"/>
  <c r="H120" i="1"/>
  <c r="J120" i="1" s="1"/>
  <c r="L120" i="1" s="1"/>
  <c r="H124" i="1"/>
  <c r="J124" i="1" s="1"/>
  <c r="L124" i="1" s="1"/>
  <c r="H112" i="1"/>
  <c r="J112" i="1" s="1"/>
  <c r="L112" i="1" s="1"/>
  <c r="H107" i="1"/>
  <c r="J107" i="1" s="1"/>
  <c r="L107" i="1" s="1"/>
  <c r="H106" i="1"/>
  <c r="J106" i="1" s="1"/>
  <c r="L106" i="1" s="1"/>
  <c r="H103" i="1"/>
  <c r="J103" i="1" s="1"/>
  <c r="L103" i="1" s="1"/>
  <c r="H118" i="1"/>
  <c r="J118" i="1" s="1"/>
  <c r="L118" i="1" s="1"/>
  <c r="H125" i="1"/>
  <c r="J125" i="1" s="1"/>
  <c r="L125" i="1" s="1"/>
  <c r="H110" i="1"/>
  <c r="J110" i="1" s="1"/>
  <c r="L110" i="1" s="1"/>
  <c r="H93" i="1"/>
  <c r="H67" i="1"/>
  <c r="J67" i="1" s="1"/>
  <c r="H48" i="1"/>
  <c r="J48" i="1" s="1"/>
  <c r="L48" i="1" s="1"/>
  <c r="H42" i="1"/>
  <c r="J42" i="1" s="1"/>
  <c r="L42" i="1" s="1"/>
  <c r="H31" i="1"/>
  <c r="J31" i="1" s="1"/>
  <c r="L31" i="1" s="1"/>
  <c r="H25" i="1"/>
  <c r="J25" i="1" s="1"/>
  <c r="L25" i="1" s="1"/>
  <c r="D71" i="1"/>
  <c r="D62" i="1"/>
  <c r="D224" i="1"/>
  <c r="D276" i="1"/>
  <c r="F269" i="1"/>
  <c r="F181" i="1"/>
  <c r="D119" i="1"/>
  <c r="D126" i="1" s="1"/>
  <c r="C55" i="1"/>
  <c r="D46" i="1"/>
  <c r="F46" i="1" s="1"/>
  <c r="F69" i="1"/>
  <c r="D137" i="1"/>
  <c r="F137" i="1" s="1"/>
  <c r="H87" i="1"/>
  <c r="H90" i="1" s="1"/>
  <c r="F90" i="1"/>
  <c r="F58" i="1"/>
  <c r="K86" i="2"/>
  <c r="K89" i="2" s="1"/>
  <c r="I89" i="2"/>
  <c r="G278" i="1"/>
  <c r="G293" i="1" s="1"/>
  <c r="F208" i="4"/>
  <c r="G208" i="4" s="1"/>
  <c r="H135" i="5"/>
  <c r="G135" i="5"/>
  <c r="G26" i="6" s="1"/>
  <c r="K55" i="5"/>
  <c r="L74" i="1"/>
  <c r="K73" i="4"/>
  <c r="K75" i="4" s="1"/>
  <c r="I75" i="4"/>
  <c r="K73" i="2"/>
  <c r="L289" i="1"/>
  <c r="C173" i="1"/>
  <c r="I26" i="6"/>
  <c r="E18" i="6"/>
  <c r="I279" i="2"/>
  <c r="G193" i="4"/>
  <c r="K29" i="5"/>
  <c r="F193" i="1"/>
  <c r="K244" i="4"/>
  <c r="I241" i="4"/>
  <c r="I172" i="4"/>
  <c r="L59" i="1"/>
  <c r="K240" i="4"/>
  <c r="K45" i="2"/>
  <c r="I54" i="2"/>
  <c r="K128" i="4"/>
  <c r="E276" i="2"/>
  <c r="I42" i="2"/>
  <c r="K92" i="5"/>
  <c r="K66" i="5"/>
  <c r="K98" i="4"/>
  <c r="F79" i="1"/>
  <c r="H176" i="1"/>
  <c r="J176" i="1" s="1"/>
  <c r="F129" i="1"/>
  <c r="K242" i="2"/>
  <c r="K172" i="2"/>
  <c r="K70" i="2"/>
  <c r="K274" i="2"/>
  <c r="K123" i="5"/>
  <c r="K83" i="4"/>
  <c r="I245" i="4"/>
  <c r="C99" i="1"/>
  <c r="G98" i="2"/>
  <c r="I97" i="2"/>
  <c r="G125" i="2"/>
  <c r="C126" i="1"/>
  <c r="K94" i="4"/>
  <c r="K273" i="4"/>
  <c r="K125" i="2"/>
  <c r="K54" i="4"/>
  <c r="F83" i="1"/>
  <c r="D84" i="1"/>
  <c r="I125" i="2"/>
  <c r="F251" i="1"/>
  <c r="D252" i="1"/>
  <c r="I250" i="2"/>
  <c r="K249" i="2"/>
  <c r="H66" i="5"/>
  <c r="H40" i="5"/>
  <c r="G15" i="6"/>
  <c r="I15" i="6" s="1"/>
  <c r="G14" i="5"/>
  <c r="I14" i="5" s="1"/>
  <c r="F40" i="5"/>
  <c r="G40" i="5" s="1"/>
  <c r="F66" i="5"/>
  <c r="G66" i="5" s="1"/>
  <c r="F92" i="5"/>
  <c r="G92" i="5" s="1"/>
  <c r="I92" i="5" s="1"/>
  <c r="K236" i="4"/>
  <c r="K42" i="4"/>
  <c r="K125" i="4"/>
  <c r="E34" i="6"/>
  <c r="K176" i="4"/>
  <c r="K61" i="4"/>
  <c r="K249" i="4"/>
  <c r="K70" i="4"/>
  <c r="K286" i="4"/>
  <c r="K36" i="6" s="1"/>
  <c r="K185" i="2"/>
  <c r="K42" i="2"/>
  <c r="I264" i="2"/>
  <c r="K253" i="2"/>
  <c r="D266" i="1"/>
  <c r="F248" i="1"/>
  <c r="I246" i="2"/>
  <c r="K245" i="2"/>
  <c r="F242" i="1"/>
  <c r="D244" i="1"/>
  <c r="F95" i="1"/>
  <c r="K92" i="2"/>
  <c r="I94" i="2"/>
  <c r="K78" i="2"/>
  <c r="I79" i="2"/>
  <c r="I61" i="2"/>
  <c r="K59" i="2"/>
  <c r="K50" i="2"/>
  <c r="I16" i="2"/>
  <c r="I17" i="2" s="1"/>
  <c r="I14" i="6"/>
  <c r="F23" i="1"/>
  <c r="D43" i="1"/>
  <c r="J200" i="1"/>
  <c r="H67" i="5"/>
  <c r="H41" i="5"/>
  <c r="H93" i="5"/>
  <c r="H100" i="5" s="1"/>
  <c r="H102" i="5" s="1"/>
  <c r="H104" i="5" s="1"/>
  <c r="H22" i="5"/>
  <c r="H24" i="5" s="1"/>
  <c r="H26" i="5" s="1"/>
  <c r="F67" i="5"/>
  <c r="F22" i="5"/>
  <c r="F24" i="5" s="1"/>
  <c r="F26" i="5" s="1"/>
  <c r="F28" i="5" s="1"/>
  <c r="F33" i="5" s="1"/>
  <c r="F41" i="5"/>
  <c r="F93" i="5"/>
  <c r="D67" i="5"/>
  <c r="D74" i="5" s="1"/>
  <c r="D41" i="5"/>
  <c r="D48" i="5" s="1"/>
  <c r="D93" i="5"/>
  <c r="D100" i="5" s="1"/>
  <c r="D22" i="5"/>
  <c r="C67" i="5"/>
  <c r="C41" i="5"/>
  <c r="C93" i="5"/>
  <c r="C22" i="5"/>
  <c r="C24" i="5" s="1"/>
  <c r="E15" i="5"/>
  <c r="G15" i="5" s="1"/>
  <c r="H26" i="6" l="1"/>
  <c r="I193" i="1"/>
  <c r="H58" i="1"/>
  <c r="J58" i="1" s="1"/>
  <c r="L58" i="1" s="1"/>
  <c r="J232" i="1"/>
  <c r="H239" i="1"/>
  <c r="H23" i="1"/>
  <c r="K135" i="5"/>
  <c r="K26" i="6" s="1"/>
  <c r="H242" i="1"/>
  <c r="K237" i="2"/>
  <c r="H181" i="1"/>
  <c r="J181" i="1" s="1"/>
  <c r="L181" i="1" s="1"/>
  <c r="D173" i="1"/>
  <c r="H137" i="1"/>
  <c r="J137" i="1" s="1"/>
  <c r="L137" i="1" s="1"/>
  <c r="H79" i="1"/>
  <c r="J79" i="1" s="1"/>
  <c r="H69" i="1"/>
  <c r="J69" i="1" s="1"/>
  <c r="L69" i="1" s="1"/>
  <c r="H46" i="1"/>
  <c r="F62" i="1"/>
  <c r="J87" i="1"/>
  <c r="J90" i="1" s="1"/>
  <c r="F119" i="1"/>
  <c r="F71" i="1"/>
  <c r="H269" i="1"/>
  <c r="F276" i="1"/>
  <c r="G223" i="4"/>
  <c r="G275" i="4" s="1"/>
  <c r="G290" i="4" s="1"/>
  <c r="F223" i="4"/>
  <c r="F275" i="4" s="1"/>
  <c r="F34" i="6" s="1"/>
  <c r="L76" i="1"/>
  <c r="C26" i="5"/>
  <c r="C28" i="5" s="1"/>
  <c r="C33" i="5" s="1"/>
  <c r="I224" i="1"/>
  <c r="K75" i="2"/>
  <c r="I18" i="6"/>
  <c r="K245" i="4"/>
  <c r="G18" i="6"/>
  <c r="H193" i="1"/>
  <c r="F224" i="1"/>
  <c r="K241" i="4"/>
  <c r="C278" i="1"/>
  <c r="C293" i="1" s="1"/>
  <c r="H177" i="1"/>
  <c r="D55" i="1"/>
  <c r="K172" i="4"/>
  <c r="F80" i="1"/>
  <c r="H129" i="1"/>
  <c r="F173" i="1"/>
  <c r="K264" i="2"/>
  <c r="K61" i="2"/>
  <c r="K79" i="2"/>
  <c r="K246" i="2"/>
  <c r="K250" i="2"/>
  <c r="K94" i="2"/>
  <c r="D99" i="1"/>
  <c r="F98" i="1"/>
  <c r="G276" i="2"/>
  <c r="I98" i="2"/>
  <c r="I276" i="2" s="1"/>
  <c r="K97" i="2"/>
  <c r="H74" i="5"/>
  <c r="H76" i="5" s="1"/>
  <c r="H78" i="5" s="1"/>
  <c r="I40" i="5"/>
  <c r="H251" i="1"/>
  <c r="F252" i="1"/>
  <c r="L176" i="1"/>
  <c r="J177" i="1"/>
  <c r="H83" i="1"/>
  <c r="F84" i="1"/>
  <c r="H48" i="5"/>
  <c r="H50" i="5" s="1"/>
  <c r="H52" i="5" s="1"/>
  <c r="I66" i="5"/>
  <c r="F74" i="5"/>
  <c r="F76" i="5" s="1"/>
  <c r="F78" i="5" s="1"/>
  <c r="F80" i="5" s="1"/>
  <c r="F100" i="5"/>
  <c r="F102" i="5" s="1"/>
  <c r="F104" i="5" s="1"/>
  <c r="F106" i="5" s="1"/>
  <c r="F111" i="5" s="1"/>
  <c r="F48" i="5"/>
  <c r="F50" i="5" s="1"/>
  <c r="F52" i="5" s="1"/>
  <c r="F54" i="5" s="1"/>
  <c r="F59" i="5" s="1"/>
  <c r="K222" i="2"/>
  <c r="K54" i="2"/>
  <c r="F266" i="1"/>
  <c r="J247" i="1"/>
  <c r="H248" i="1"/>
  <c r="F244" i="1"/>
  <c r="L238" i="1"/>
  <c r="J102" i="1"/>
  <c r="H95" i="1"/>
  <c r="J93" i="1"/>
  <c r="L87" i="1"/>
  <c r="L67" i="1"/>
  <c r="J71" i="1"/>
  <c r="J60" i="1"/>
  <c r="H62" i="1"/>
  <c r="F55" i="1"/>
  <c r="F43" i="1"/>
  <c r="L200" i="1"/>
  <c r="E22" i="5"/>
  <c r="E24" i="5" s="1"/>
  <c r="E26" i="5" s="1"/>
  <c r="E28" i="5" s="1"/>
  <c r="C100" i="5"/>
  <c r="C102" i="5" s="1"/>
  <c r="E93" i="5"/>
  <c r="G93" i="5" s="1"/>
  <c r="C48" i="5"/>
  <c r="C50" i="5" s="1"/>
  <c r="C52" i="5" s="1"/>
  <c r="C54" i="5" s="1"/>
  <c r="C59" i="5" s="1"/>
  <c r="E41" i="5"/>
  <c r="G41" i="5" s="1"/>
  <c r="E67" i="5"/>
  <c r="G67" i="5" s="1"/>
  <c r="C74" i="5"/>
  <c r="C76" i="5" s="1"/>
  <c r="H71" i="1" l="1"/>
  <c r="J239" i="1"/>
  <c r="L232" i="1"/>
  <c r="H80" i="1"/>
  <c r="H119" i="1"/>
  <c r="F126" i="1"/>
  <c r="J269" i="1"/>
  <c r="H276" i="1"/>
  <c r="L90" i="1"/>
  <c r="F290" i="4"/>
  <c r="I278" i="1"/>
  <c r="I293" i="1" s="1"/>
  <c r="I208" i="4"/>
  <c r="K208" i="4" s="1"/>
  <c r="H193" i="4"/>
  <c r="H223" i="4" s="1"/>
  <c r="C104" i="5"/>
  <c r="C106" i="5" s="1"/>
  <c r="C111" i="5" s="1"/>
  <c r="D24" i="5"/>
  <c r="D26" i="5" s="1"/>
  <c r="D28" i="5" s="1"/>
  <c r="D33" i="5" s="1"/>
  <c r="D35" i="5" s="1"/>
  <c r="C78" i="5"/>
  <c r="C80" i="5" s="1"/>
  <c r="C86" i="5" s="1"/>
  <c r="E33" i="5"/>
  <c r="G34" i="6"/>
  <c r="J193" i="1"/>
  <c r="H224" i="1"/>
  <c r="D278" i="1"/>
  <c r="D293" i="1" s="1"/>
  <c r="H173" i="1"/>
  <c r="J129" i="1"/>
  <c r="K98" i="2"/>
  <c r="K276" i="2" s="1"/>
  <c r="H98" i="1"/>
  <c r="F99" i="1"/>
  <c r="L177" i="1"/>
  <c r="H84" i="1"/>
  <c r="J83" i="1"/>
  <c r="H252" i="1"/>
  <c r="J251" i="1"/>
  <c r="H266" i="1"/>
  <c r="J248" i="1"/>
  <c r="L247" i="1"/>
  <c r="H244" i="1"/>
  <c r="J242" i="1"/>
  <c r="L102" i="1"/>
  <c r="J95" i="1"/>
  <c r="L93" i="1"/>
  <c r="J80" i="1"/>
  <c r="L79" i="1"/>
  <c r="L71" i="1"/>
  <c r="L60" i="1"/>
  <c r="J62" i="1"/>
  <c r="J46" i="1"/>
  <c r="H55" i="1"/>
  <c r="J23" i="1"/>
  <c r="H43" i="1"/>
  <c r="E74" i="5"/>
  <c r="E76" i="5" s="1"/>
  <c r="E78" i="5" s="1"/>
  <c r="E80" i="5" s="1"/>
  <c r="E48" i="5"/>
  <c r="E50" i="5" s="1"/>
  <c r="E100" i="5"/>
  <c r="E102" i="5" s="1"/>
  <c r="E104" i="5" s="1"/>
  <c r="E106" i="5" s="1"/>
  <c r="E111" i="5" s="1"/>
  <c r="I15" i="5"/>
  <c r="I22" i="5" s="1"/>
  <c r="I24" i="5" s="1"/>
  <c r="I26" i="5" s="1"/>
  <c r="I28" i="5" s="1"/>
  <c r="G22" i="5"/>
  <c r="G24" i="5" s="1"/>
  <c r="G26" i="5" s="1"/>
  <c r="G28" i="5" s="1"/>
  <c r="G33" i="5" s="1"/>
  <c r="L239" i="1" l="1"/>
  <c r="F278" i="1"/>
  <c r="F293" i="1" s="1"/>
  <c r="J119" i="1"/>
  <c r="H126" i="1"/>
  <c r="J276" i="1"/>
  <c r="L269" i="1"/>
  <c r="H275" i="4"/>
  <c r="H34" i="6" s="1"/>
  <c r="I34" i="6" s="1"/>
  <c r="I193" i="4"/>
  <c r="C129" i="5"/>
  <c r="D102" i="5"/>
  <c r="D104" i="5" s="1"/>
  <c r="D106" i="5" s="1"/>
  <c r="D111" i="5" s="1"/>
  <c r="D113" i="5" s="1"/>
  <c r="D76" i="5"/>
  <c r="D78" i="5" s="1"/>
  <c r="D80" i="5" s="1"/>
  <c r="D86" i="5" s="1"/>
  <c r="E52" i="5"/>
  <c r="E54" i="5" s="1"/>
  <c r="E59" i="5" s="1"/>
  <c r="D50" i="5"/>
  <c r="D52" i="5" s="1"/>
  <c r="D54" i="5" s="1"/>
  <c r="D59" i="5" s="1"/>
  <c r="D61" i="5" s="1"/>
  <c r="L193" i="1"/>
  <c r="J224" i="1"/>
  <c r="J173" i="1"/>
  <c r="L129" i="1"/>
  <c r="H99" i="1"/>
  <c r="J98" i="1"/>
  <c r="J252" i="1"/>
  <c r="L251" i="1"/>
  <c r="J84" i="1"/>
  <c r="L83" i="1"/>
  <c r="K15" i="5"/>
  <c r="J266" i="1"/>
  <c r="L248" i="1"/>
  <c r="L242" i="1"/>
  <c r="J244" i="1"/>
  <c r="L95" i="1"/>
  <c r="L80" i="1"/>
  <c r="L62" i="1"/>
  <c r="J55" i="1"/>
  <c r="L46" i="1"/>
  <c r="L23" i="1"/>
  <c r="J43" i="1"/>
  <c r="H28" i="5"/>
  <c r="H33" i="5" s="1"/>
  <c r="I33" i="5"/>
  <c r="I93" i="5"/>
  <c r="I100" i="5" s="1"/>
  <c r="I102" i="5" s="1"/>
  <c r="I104" i="5" s="1"/>
  <c r="I106" i="5" s="1"/>
  <c r="G100" i="5"/>
  <c r="G102" i="5" s="1"/>
  <c r="G104" i="5" s="1"/>
  <c r="G106" i="5" s="1"/>
  <c r="G111" i="5" s="1"/>
  <c r="I41" i="5"/>
  <c r="I48" i="5" s="1"/>
  <c r="I50" i="5" s="1"/>
  <c r="I52" i="5" s="1"/>
  <c r="I54" i="5" s="1"/>
  <c r="G48" i="5"/>
  <c r="G50" i="5" s="1"/>
  <c r="G52" i="5" s="1"/>
  <c r="G54" i="5" s="1"/>
  <c r="G59" i="5" s="1"/>
  <c r="E86" i="5"/>
  <c r="I67" i="5"/>
  <c r="I74" i="5" s="1"/>
  <c r="I76" i="5" s="1"/>
  <c r="I78" i="5" s="1"/>
  <c r="I80" i="5" s="1"/>
  <c r="G74" i="5"/>
  <c r="G76" i="5" s="1"/>
  <c r="G78" i="5" s="1"/>
  <c r="G80" i="5" s="1"/>
  <c r="E291" i="4" l="1"/>
  <c r="H278" i="1"/>
  <c r="H293" i="1" s="1"/>
  <c r="L119" i="1"/>
  <c r="J126" i="1"/>
  <c r="L276" i="1"/>
  <c r="K193" i="4"/>
  <c r="I223" i="4"/>
  <c r="I275" i="4" s="1"/>
  <c r="I290" i="4" s="1"/>
  <c r="C132" i="5"/>
  <c r="H290" i="4"/>
  <c r="D129" i="5"/>
  <c r="E129" i="5"/>
  <c r="E132" i="5" s="1"/>
  <c r="L224" i="1"/>
  <c r="L173" i="1"/>
  <c r="J99" i="1"/>
  <c r="L98" i="1"/>
  <c r="L252" i="1"/>
  <c r="L84" i="1"/>
  <c r="K67" i="5"/>
  <c r="K22" i="5"/>
  <c r="K24" i="5" s="1"/>
  <c r="K26" i="5" s="1"/>
  <c r="K28" i="5" s="1"/>
  <c r="K33" i="5" s="1"/>
  <c r="K93" i="5"/>
  <c r="K41" i="5"/>
  <c r="L266" i="1"/>
  <c r="L244" i="1"/>
  <c r="L55" i="1"/>
  <c r="L43" i="1"/>
  <c r="G86" i="5"/>
  <c r="I86" i="5"/>
  <c r="H80" i="5"/>
  <c r="I59" i="5"/>
  <c r="H54" i="5"/>
  <c r="H59" i="5" s="1"/>
  <c r="I111" i="5"/>
  <c r="H106" i="5"/>
  <c r="H111" i="5" s="1"/>
  <c r="J278" i="1" l="1"/>
  <c r="J293" i="1" s="1"/>
  <c r="C18" i="2"/>
  <c r="C19" i="2" s="1"/>
  <c r="C280" i="2" s="1"/>
  <c r="C282" i="2" s="1"/>
  <c r="C292" i="2" s="1"/>
  <c r="C32" i="6" s="1"/>
  <c r="C38" i="6" s="1"/>
  <c r="K223" i="4"/>
  <c r="K275" i="4" s="1"/>
  <c r="K34" i="6" s="1"/>
  <c r="L126" i="1"/>
  <c r="D132" i="5"/>
  <c r="I129" i="5"/>
  <c r="G129" i="5"/>
  <c r="G132" i="5" s="1"/>
  <c r="K74" i="5"/>
  <c r="K76" i="5" s="1"/>
  <c r="K78" i="5" s="1"/>
  <c r="K80" i="5" s="1"/>
  <c r="K86" i="5" s="1"/>
  <c r="K48" i="5"/>
  <c r="K50" i="5" s="1"/>
  <c r="K52" i="5" s="1"/>
  <c r="K54" i="5" s="1"/>
  <c r="K59" i="5" s="1"/>
  <c r="K100" i="5"/>
  <c r="K102" i="5" s="1"/>
  <c r="K104" i="5" s="1"/>
  <c r="K106" i="5" s="1"/>
  <c r="K111" i="5" s="1"/>
  <c r="L99" i="1"/>
  <c r="F86" i="5"/>
  <c r="H84" i="5"/>
  <c r="H86" i="5" s="1"/>
  <c r="C19" i="6" l="1"/>
  <c r="C24" i="6" s="1"/>
  <c r="C28" i="6" s="1"/>
  <c r="C42" i="6" s="1"/>
  <c r="I132" i="5"/>
  <c r="L278" i="1"/>
  <c r="L293" i="1" s="1"/>
  <c r="K290" i="4"/>
  <c r="D18" i="2"/>
  <c r="C20" i="6"/>
  <c r="F129" i="5"/>
  <c r="F132" i="5" s="1"/>
  <c r="F18" i="2" s="1"/>
  <c r="K129" i="5"/>
  <c r="K132" i="5" s="1"/>
  <c r="K18" i="2" s="1"/>
  <c r="K19" i="2" s="1"/>
  <c r="K280" i="2" s="1"/>
  <c r="K282" i="2" s="1"/>
  <c r="K292" i="2" s="1"/>
  <c r="K32" i="6" s="1"/>
  <c r="K38" i="6" s="1"/>
  <c r="H129" i="5"/>
  <c r="H132" i="5" s="1"/>
  <c r="H18" i="2" s="1"/>
  <c r="D19" i="2" l="1"/>
  <c r="D280" i="2" s="1"/>
  <c r="D282" i="2" s="1"/>
  <c r="D292" i="2" s="1"/>
  <c r="E18" i="2"/>
  <c r="E19" i="2" s="1"/>
  <c r="E280" i="2" s="1"/>
  <c r="E282" i="2" s="1"/>
  <c r="E292" i="2" s="1"/>
  <c r="D19" i="6"/>
  <c r="F19" i="6"/>
  <c r="F20" i="6" s="1"/>
  <c r="F19" i="2"/>
  <c r="F280" i="2" s="1"/>
  <c r="F282" i="2" s="1"/>
  <c r="F292" i="2" s="1"/>
  <c r="F32" i="6" s="1"/>
  <c r="H19" i="6"/>
  <c r="H20" i="6" s="1"/>
  <c r="H19" i="2"/>
  <c r="H280" i="2" s="1"/>
  <c r="H282" i="2" s="1"/>
  <c r="H292" i="2" s="1"/>
  <c r="H32" i="6" s="1"/>
  <c r="H38" i="6" s="1"/>
  <c r="K19" i="6"/>
  <c r="D32" i="6" l="1"/>
  <c r="D38" i="6" s="1"/>
  <c r="G18" i="2"/>
  <c r="G19" i="2" s="1"/>
  <c r="G280" i="2" s="1"/>
  <c r="G282" i="2" s="1"/>
  <c r="G292" i="2" s="1"/>
  <c r="D20" i="6"/>
  <c r="E19" i="6"/>
  <c r="G19" i="6" s="1"/>
  <c r="G24" i="6" s="1"/>
  <c r="G28" i="6" s="1"/>
  <c r="D24" i="6"/>
  <c r="D28" i="6" s="1"/>
  <c r="F24" i="6"/>
  <c r="F28" i="6" s="1"/>
  <c r="F38" i="6"/>
  <c r="H24" i="6"/>
  <c r="H28" i="6" s="1"/>
  <c r="H42" i="6" s="1"/>
  <c r="K20" i="6"/>
  <c r="K24" i="6"/>
  <c r="K28" i="6" s="1"/>
  <c r="K42" i="6" s="1"/>
  <c r="E32" i="6" l="1"/>
  <c r="E38" i="6" s="1"/>
  <c r="I18" i="2"/>
  <c r="I19" i="2" s="1"/>
  <c r="I280" i="2" s="1"/>
  <c r="I282" i="2" s="1"/>
  <c r="I292" i="2" s="1"/>
  <c r="D42" i="6"/>
  <c r="E20" i="6"/>
  <c r="E24" i="6"/>
  <c r="E28" i="6" s="1"/>
  <c r="I19" i="6"/>
  <c r="I20" i="6" s="1"/>
  <c r="G20" i="6"/>
  <c r="F42" i="6"/>
  <c r="G32" i="6" l="1"/>
  <c r="E42" i="6"/>
  <c r="G38" i="6"/>
  <c r="G42" i="6" s="1"/>
  <c r="I32" i="6"/>
  <c r="I38" i="6" s="1"/>
  <c r="I24" i="6"/>
  <c r="I28" i="6" s="1"/>
  <c r="I42" i="6" l="1"/>
</calcChain>
</file>

<file path=xl/sharedStrings.xml><?xml version="1.0" encoding="utf-8"?>
<sst xmlns="http://schemas.openxmlformats.org/spreadsheetml/2006/main" count="1459" uniqueCount="412">
  <si>
    <t>========================================</t>
  </si>
  <si>
    <t>EXCESS TAX vs BOOK DEPRECIATION</t>
  </si>
  <si>
    <t xml:space="preserve">        210A LIBERALIZED DEPR-REG</t>
  </si>
  <si>
    <t xml:space="preserve">        230A ACRS BENEFIT NORMALIZED</t>
  </si>
  <si>
    <t xml:space="preserve">        230I CAPD INTEREST-SECTION 481(a)-CHANGE IN METHD </t>
  </si>
  <si>
    <t xml:space="preserve">        230J RELOCATION CST-SECTION 481(a)-CHANGE IN METHD</t>
  </si>
  <si>
    <t xml:space="preserve">        230K PJM INTEGRATION-SEC 481(a)-INTANG-DFD LABOR</t>
  </si>
  <si>
    <t xml:space="preserve">        280A EXCESS TX VS S/L BK DEPR</t>
  </si>
  <si>
    <t xml:space="preserve">        280H BK PLANT IN SERVICE - SFAS 143 - ARO</t>
  </si>
  <si>
    <t xml:space="preserve">        295A GAIN/LOSS ON ACRS/MACRS PROPERTY</t>
  </si>
  <si>
    <t xml:space="preserve">        390A CIAC - BOOK RECEIPTS</t>
  </si>
  <si>
    <t>Total EXCESS TAX vs BOOK DEPRECIATION</t>
  </si>
  <si>
    <t>AFUDC / INTEREST CAPITALIZED</t>
  </si>
  <si>
    <t xml:space="preserve">        310A AOFUDC</t>
  </si>
  <si>
    <t xml:space="preserve">        320A ABFUDC</t>
  </si>
  <si>
    <t xml:space="preserve">        380J INT EXP CAPITALIZED FOR TAX</t>
  </si>
  <si>
    <t>Total AFUDC / INTEREST CAPITALIZED</t>
  </si>
  <si>
    <t>MISC OVERHEADS CAPITALIZED</t>
  </si>
  <si>
    <t xml:space="preserve">        350A TXS CAPD</t>
  </si>
  <si>
    <t xml:space="preserve">        360A PENS CAPD</t>
  </si>
  <si>
    <t xml:space="preserve">        360J SEC 481 PENS/OPEB ADJUSTMENT</t>
  </si>
  <si>
    <t xml:space="preserve">        370A SAV PLAN CAPD</t>
  </si>
  <si>
    <t>Total MISC OVERHEADS CAPITALIZED</t>
  </si>
  <si>
    <t>PERCENT REPAIR ALLOWANCE</t>
  </si>
  <si>
    <t xml:space="preserve">        532A PERCENT REPAIR ALLOWANCE</t>
  </si>
  <si>
    <t xml:space="preserve">        534A CAPITALIZED RELOCATION COSTS</t>
  </si>
  <si>
    <t>Total PERCENT REPAIR ALLOWANCE</t>
  </si>
  <si>
    <t>REMOVAL COSTS</t>
  </si>
  <si>
    <t xml:space="preserve">        910K REMOVAL CST</t>
  </si>
  <si>
    <t>Total REMOVAL COSTS</t>
  </si>
  <si>
    <t>ACCELERATED AMORTIZATION</t>
  </si>
  <si>
    <t xml:space="preserve">        533A TX AMORT POLLUTION CONT EQPT</t>
  </si>
  <si>
    <t>Total ACCELERATED AMORTIZATION</t>
  </si>
  <si>
    <t>PROPERTY TAX ADJUSTMENTS</t>
  </si>
  <si>
    <t>Total PROPERTY TAX ADJUSTMENTS</t>
  </si>
  <si>
    <t>REVENUE REFUNDS</t>
  </si>
  <si>
    <t xml:space="preserve">        520A PROVS POSS REV REFDS</t>
  </si>
  <si>
    <t>Total REVENUE REFUNDS</t>
  </si>
  <si>
    <t>DEFERRED FUEL COSTS</t>
  </si>
  <si>
    <t>Total DEFERRED FUEL COSTS</t>
  </si>
  <si>
    <t>EQUITY IN EARNINGS OF SUBSIDIARIES</t>
  </si>
  <si>
    <t xml:space="preserve">        531A EQTY IN SUBSIDIARIES    (US)</t>
  </si>
  <si>
    <t>Total EQUITY IN EARNINGS OF SUBSIDIARIES</t>
  </si>
  <si>
    <t>BOOK ACCRUALS</t>
  </si>
  <si>
    <t xml:space="preserve">        602A PROV WORKER'S COMP</t>
  </si>
  <si>
    <t xml:space="preserve">        605B ACCRUED BK PENSION EXPENSE</t>
  </si>
  <si>
    <t xml:space="preserve">        605E SUPPLEMENTAL EXECUTIVE RETIREMENT PLAN</t>
  </si>
  <si>
    <t xml:space="preserve">        605I ACCRD BK SUP. SAVINGS PLAN EXP</t>
  </si>
  <si>
    <t xml:space="preserve">        605O ACCRUED PSI PLAN EXP</t>
  </si>
  <si>
    <t xml:space="preserve">        610A BK PROV UNCOLL ACCTS</t>
  </si>
  <si>
    <t xml:space="preserve">        613E ACCRUED BOOK VACATION PAY</t>
  </si>
  <si>
    <t xml:space="preserve">        615A ACCRUED INTEREST EXP -STATE</t>
  </si>
  <si>
    <t xml:space="preserve">        615B ACCRUED INTEREST-LONG-TERM - FIN 48</t>
  </si>
  <si>
    <t xml:space="preserve">        615C ACCRUED INTEREST-SHORT-TERM - FIN 48</t>
  </si>
  <si>
    <t xml:space="preserve">        615E ACCRUED STATE INCOME TAX EXP</t>
  </si>
  <si>
    <t xml:space="preserve">        615R REG ASSET - DEFERRED RTO COSTS</t>
  </si>
  <si>
    <t>Total BOOK ACCRUALS</t>
  </si>
  <si>
    <t>BOOK DEFERRALS</t>
  </si>
  <si>
    <t xml:space="preserve">        390F CUST ADV INC FOR TAX</t>
  </si>
  <si>
    <t xml:space="preserve">        630F DEFD BK CONTRACT REVENUE</t>
  </si>
  <si>
    <t xml:space="preserve">        641I ADVANCE RENTAL INC (CUR MO)</t>
  </si>
  <si>
    <t xml:space="preserve">        660X REG ASSET - DEFERRED PJM FEES</t>
  </si>
  <si>
    <t xml:space="preserve">        660Z REG ASSET - DEFERRED EQUITY CARRYING CHGS</t>
  </si>
  <si>
    <t>Total BOOK DEFERRALS</t>
  </si>
  <si>
    <t>BOOK RESERVES</t>
  </si>
  <si>
    <t>Total BOOK RESERVES</t>
  </si>
  <si>
    <t>OTHER MISCELLANEOUS</t>
  </si>
  <si>
    <t xml:space="preserve">        900A LOSS ON REACQUIRED DEBT</t>
  </si>
  <si>
    <t xml:space="preserve">        906A ACCRD SFAS 106 PST RETIRE EXP</t>
  </si>
  <si>
    <t xml:space="preserve">        906K ACCRD SFAS 112 PST EMPLOY BEN</t>
  </si>
  <si>
    <t xml:space="preserve">        906P ACCRD BOOK ARO EXPENSE - SFAS 143</t>
  </si>
  <si>
    <t xml:space="preserve">        910A GAIN ON REACQUIRED DEBT</t>
  </si>
  <si>
    <t xml:space="preserve">        911V ACCRD SIT TX RESERVE-LNG-TERM-FIN 48</t>
  </si>
  <si>
    <t xml:space="preserve">        914A SFAS 109 - DEFD SIT LIABILITY</t>
  </si>
  <si>
    <t xml:space="preserve">        914B REG ASSET - SFAS 109 DSIT LIAB</t>
  </si>
  <si>
    <t xml:space="preserve">        914K REG ASSET - ACCRUED SFAS 112</t>
  </si>
  <si>
    <t>Total OTHER MISCELLANEOUS</t>
  </si>
  <si>
    <t>PERMANENT SCHEDULE M's</t>
  </si>
  <si>
    <t xml:space="preserve">        906B SFAS 106 - POST RETIRE BEN MEDICARE SUBSIDY</t>
  </si>
  <si>
    <t xml:space="preserve">        910B NON-DEDUCT MEALS AND T&amp;E</t>
  </si>
  <si>
    <t xml:space="preserve">        910C NON-DEDUCT FINES&amp;PENALTIES</t>
  </si>
  <si>
    <t xml:space="preserve">        910S NON-DEDUCT LOBBYING</t>
  </si>
  <si>
    <t xml:space="preserve">        970A MANUFACTURING DEDUCTION</t>
  </si>
  <si>
    <t>Total PERMANENT SCHEDULE M's</t>
  </si>
  <si>
    <t>TAX ACCRUALS</t>
  </si>
  <si>
    <t xml:space="preserve">        711N CAPITALIZED SOFTWARE COSTS-TAX</t>
  </si>
  <si>
    <t xml:space="preserve">        711O BOOK LEASES CAPITALIZED FOR TAX</t>
  </si>
  <si>
    <t>Total TAX ACCRUALS</t>
  </si>
  <si>
    <t>TAX DEFERRALS</t>
  </si>
  <si>
    <t xml:space="preserve">        712K CAPITALIZED SOFTWARE COST-BOOK</t>
  </si>
  <si>
    <t>Total TAX DEFERRALS</t>
  </si>
  <si>
    <t>TAX vs BOOK GAIN / LOSS</t>
  </si>
  <si>
    <t>Total TAX vs BOOK GAIN / LOSS</t>
  </si>
  <si>
    <t>MARK-TO-MARKET ADJUSTMENTS</t>
  </si>
  <si>
    <t xml:space="preserve">        575A MTM BK GAIN-B/L-TAX DEFL</t>
  </si>
  <si>
    <t xml:space="preserve">        575E MTM BK GAIN-A/L-TAX DEFL</t>
  </si>
  <si>
    <t xml:space="preserve">        576A MARK &amp; SPREAD-DEFL-283-B/L</t>
  </si>
  <si>
    <t xml:space="preserve">        576C MARK &amp; SPREAD-DEFL-190-B/L</t>
  </si>
  <si>
    <t xml:space="preserve">        576E MARK &amp; SPREAD-DEFL-283-A/L</t>
  </si>
  <si>
    <t xml:space="preserve">        576F MARK &amp; SPREAD-DEFL-190-A/L</t>
  </si>
  <si>
    <t xml:space="preserve">        610U PROV-TRADING CREDIT RISK - A/L</t>
  </si>
  <si>
    <t xml:space="preserve">        610W PROV-TRADING CREDIT RISK - B/L</t>
  </si>
  <si>
    <t xml:space="preserve">        652G REG LIAB-UNREAL MTM GAIN-DEFL</t>
  </si>
  <si>
    <t>Total MARK-TO-MARKET ADJUSTMENTS</t>
  </si>
  <si>
    <t>EMISSION ALLOWANCES</t>
  </si>
  <si>
    <t xml:space="preserve">        638A BOOK &gt; TAX BASIS - EMA-A/C 283</t>
  </si>
  <si>
    <t xml:space="preserve">        639O BOOK &gt; TAX BASIS EMA - 283 (B/L)</t>
  </si>
  <si>
    <t xml:space="preserve">        640K DEFD TAX GAIN-EPA AUCTION</t>
  </si>
  <si>
    <t>Total EMISSION ALLOWANCES</t>
  </si>
  <si>
    <t>Total Book/Tax Income Differences</t>
  </si>
  <si>
    <t>Taxable Income</t>
  </si>
  <si>
    <t>Statutory Rate</t>
  </si>
  <si>
    <t>Tax Before Credits</t>
  </si>
  <si>
    <t>Current Tax</t>
  </si>
  <si>
    <t>Total Company</t>
  </si>
  <si>
    <t>Per Books</t>
  </si>
  <si>
    <t>Computation of Adjusted</t>
  </si>
  <si>
    <t>Current Federal Income Tax Expense</t>
  </si>
  <si>
    <t>Historical Test Year - As Adjusted</t>
  </si>
  <si>
    <t>Line No.</t>
  </si>
  <si>
    <t>Interest Expense Synchronized</t>
  </si>
  <si>
    <t>Other Income &amp; Deductions - Net</t>
  </si>
  <si>
    <t>Electric Utility</t>
  </si>
  <si>
    <t>Assign &amp; Adjust.</t>
  </si>
  <si>
    <t>Less</t>
  </si>
  <si>
    <t>Non-Utility/</t>
  </si>
  <si>
    <t>Non-Applicable</t>
  </si>
  <si>
    <t>After</t>
  </si>
  <si>
    <t>Assignment</t>
  </si>
  <si>
    <t>Rate Case</t>
  </si>
  <si>
    <t>Adjustments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</si>
  <si>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</si>
  <si>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</si>
  <si>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</si>
  <si>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</si>
  <si>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</si>
  <si>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</si>
  <si>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</si>
  <si>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</si>
  <si>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</si>
  <si>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Allocation</t>
  </si>
  <si>
    <t>Factor</t>
  </si>
  <si>
    <t>Allocated</t>
  </si>
  <si>
    <t>Amount</t>
  </si>
  <si>
    <t>Basis</t>
  </si>
  <si>
    <t>(10)</t>
  </si>
  <si>
    <t>SPECIFIC</t>
  </si>
  <si>
    <t>INT SYNC</t>
  </si>
  <si>
    <t>NON-UTIL</t>
  </si>
  <si>
    <t>PROD PLT</t>
  </si>
  <si>
    <t>DIST PLT</t>
  </si>
  <si>
    <t>ENERGY</t>
  </si>
  <si>
    <t>NON-APPLIC</t>
  </si>
  <si>
    <t>NET PLANT</t>
  </si>
  <si>
    <t>LABOR</t>
  </si>
  <si>
    <t>TRAN PLT</t>
  </si>
  <si>
    <t>Deferred Federal Income Tax Expense</t>
  </si>
  <si>
    <t>DEFERRED FEDERAL INCOME TAXES:</t>
  </si>
  <si>
    <t>TOTAL DEFERRED FEDERAL INCOME TAXES</t>
  </si>
  <si>
    <t>DEFERRED INVESTMENT TAX CREDITS:</t>
  </si>
  <si>
    <t>ITC Feedback - Prior Years 10%</t>
  </si>
  <si>
    <t>ITC Feedback - Prior Years 4%</t>
  </si>
  <si>
    <t>TOTAL DEFERRED FIT AND ITC</t>
  </si>
  <si>
    <t>DFIT before</t>
  </si>
  <si>
    <t>(11)</t>
  </si>
  <si>
    <t xml:space="preserve">Based on </t>
  </si>
  <si>
    <t>For 12 Months</t>
  </si>
  <si>
    <t>Sch M Per Books</t>
  </si>
  <si>
    <t>Schedule M</t>
  </si>
  <si>
    <t>x FIT Rate</t>
  </si>
  <si>
    <t xml:space="preserve">        210A-XS EXCESS DFIT - LIBERALIZED DEPR-REG</t>
  </si>
  <si>
    <t xml:space="preserve">        230A-XS EXCESS DIT - ACRS NORM REVERSAL</t>
  </si>
  <si>
    <t>Computation of Per Books</t>
  </si>
  <si>
    <t>Deferred Federal Income Tax and Deferred ITC</t>
  </si>
  <si>
    <t>Per Books DFIT</t>
  </si>
  <si>
    <t xml:space="preserve">DFIT Before </t>
  </si>
  <si>
    <t>Deferred FIT</t>
  </si>
  <si>
    <t>Associated With</t>
  </si>
  <si>
    <t xml:space="preserve">        625A FEDERAL MITIGATION PROGRAMS</t>
  </si>
  <si>
    <t xml:space="preserve">        625B STATE MITIGATION PROGRAMS</t>
  </si>
  <si>
    <t xml:space="preserve">        911Q DEFERRED STATE INCOME TAXES</t>
  </si>
  <si>
    <t xml:space="preserve">Parent Company Loss Allocation </t>
  </si>
  <si>
    <t>STATE INCOME TAXES</t>
  </si>
  <si>
    <t>Jurisdictional</t>
  </si>
  <si>
    <t xml:space="preserve">Non-Utility / </t>
  </si>
  <si>
    <t>Before</t>
  </si>
  <si>
    <t>Assign &amp; Adjust</t>
  </si>
  <si>
    <t>Add (Subtract): Federal Schedule M Adjustments</t>
  </si>
  <si>
    <t>Add (Subtract): Other</t>
  </si>
  <si>
    <t>Add (Subtract): State Income Taxes</t>
  </si>
  <si>
    <t>Add (Subtract): JCWA Depreciation Adjustment</t>
  </si>
  <si>
    <t>Add (Subtract): Federal Domestic Production Activity</t>
  </si>
  <si>
    <t>State Taxable Income Subject to Apportionment</t>
  </si>
  <si>
    <t>Apportionment Factor</t>
  </si>
  <si>
    <t>Apportioned State Taxable Income</t>
  </si>
  <si>
    <t>State Income Tax Rate</t>
  </si>
  <si>
    <t>Current State Income Tax</t>
  </si>
  <si>
    <t>Other Adjustments</t>
  </si>
  <si>
    <t>Illinois State Income Taxes</t>
  </si>
  <si>
    <t>Total State Income Tax  ---  Illinois</t>
  </si>
  <si>
    <t>Kentucky State Income Taxes</t>
  </si>
  <si>
    <t>Add (Subtract): Interest Income - US Obligations</t>
  </si>
  <si>
    <t>Total State Income Tax  ---  Kentucky</t>
  </si>
  <si>
    <t>Michigan State Income Taxes</t>
  </si>
  <si>
    <t>Total State Income Tax  ---  Michigan</t>
  </si>
  <si>
    <t>West Virginia State Income Taxes</t>
  </si>
  <si>
    <t>Total State Income Tax  ---  West Virginia</t>
  </si>
  <si>
    <t>All Other State Income Taxes</t>
  </si>
  <si>
    <t>Total State Income Tax  ---  All States</t>
  </si>
  <si>
    <t>NET ELECTRIC OPERATING INCOME BEFORE INCOME TAX</t>
  </si>
  <si>
    <t>CALCULATED</t>
  </si>
  <si>
    <t>PRE-TAX BOOK INCOME BEFORE FEDERAL INCOME TAX</t>
  </si>
  <si>
    <t>Total Co Electric</t>
  </si>
  <si>
    <t>PRE-TAX BOOK INCOME BEFORE STATE INCOME TAX</t>
  </si>
  <si>
    <t>Book Income Before State Income Tax Expense</t>
  </si>
  <si>
    <t>MBT Surcharge @ 21.99%</t>
  </si>
  <si>
    <t>TOTAL DEFERRED INVESTMENT TAX CREDITS</t>
  </si>
  <si>
    <t>Summary Information</t>
  </si>
  <si>
    <t>Current FIT Expense</t>
  </si>
  <si>
    <t>Deferred FIT Expense</t>
  </si>
  <si>
    <t>Deferred ITC Expense</t>
  </si>
  <si>
    <t>Total FIT Expense</t>
  </si>
  <si>
    <t>CALC</t>
  </si>
  <si>
    <t>Line #</t>
  </si>
  <si>
    <t>SUMMARY OF INCOME TAX EXPENSE</t>
  </si>
  <si>
    <t>GROSS PLT</t>
  </si>
  <si>
    <t>ALLOCATION FACTORS:</t>
  </si>
  <si>
    <t>SIT CALC</t>
  </si>
  <si>
    <t xml:space="preserve">        320A ABFUDC - DFIT FBK</t>
  </si>
  <si>
    <t xml:space="preserve">        380J INT EXP CAPITALIZED FOR TAX - DFIT FBK</t>
  </si>
  <si>
    <t xml:space="preserve">        350A TXS CAPD - DFIT FBK</t>
  </si>
  <si>
    <t xml:space="preserve">        360A PENS CAPD - DFIT FBK</t>
  </si>
  <si>
    <t xml:space="preserve">        370A SAV PLAN CAPD - DFIT FBK</t>
  </si>
  <si>
    <t xml:space="preserve">        532A PERCENT REPAIR ALLOWANCE - DFIT FBK</t>
  </si>
  <si>
    <t xml:space="preserve">        534A CAPITALIZED RELOCATION COSTS - DFIT FBK</t>
  </si>
  <si>
    <t xml:space="preserve">        910A GAIN ON REACQUIRED DEBT - DFIT FBK</t>
  </si>
  <si>
    <t xml:space="preserve">        295A GAIN/LOSS ON ACRS/MACRS PROPERTY - DFIT FBK</t>
  </si>
  <si>
    <t>DEMAND</t>
  </si>
  <si>
    <t>NON-UTILITY</t>
  </si>
  <si>
    <t xml:space="preserve">        230X R&amp;D DEDUCTION - SECTION 174</t>
  </si>
  <si>
    <t xml:space="preserve">        295C GAIN/LOSS ACRS/MACRS-BK/TX UNIT PROPERTY</t>
  </si>
  <si>
    <t xml:space="preserve">        532C BOOK/TAX UNIT OF PROPERTY ADJ</t>
  </si>
  <si>
    <t xml:space="preserve">        532D BK/TX UNIT OF PROPERTY ADJ - SECTION 481</t>
  </si>
  <si>
    <t xml:space="preserve">        605C ACCRUED BK PENSION COSTS - SFAS 158</t>
  </si>
  <si>
    <t xml:space="preserve">        605F ACCRD SUP EXEC RETIRE PLAN COSTS-SFAS 158</t>
  </si>
  <si>
    <t xml:space="preserve">        612Y ACCRD COMPANYWIDE INCENT PLAN</t>
  </si>
  <si>
    <t xml:space="preserve">        613Y ACCRD BK SEVERANCE BENEFITS</t>
  </si>
  <si>
    <t xml:space="preserve">        661R REG ASSET - SFAS 158 - PENSIONS</t>
  </si>
  <si>
    <t xml:space="preserve">        661S REG ASSET - SFAS 158 - SERP</t>
  </si>
  <si>
    <t xml:space="preserve">        661T REG ASSET - SFAS 158 - OPEB</t>
  </si>
  <si>
    <t xml:space="preserve">        664N REG ASSET - DEFD SEVERANCE COSTS</t>
  </si>
  <si>
    <t xml:space="preserve">        906F ACCRD OPEB COSTS - SFAS 158</t>
  </si>
  <si>
    <t xml:space="preserve">        907A REG ASSET - MEDICARE SUBSIDY - FLOW THRU</t>
  </si>
  <si>
    <t xml:space="preserve">        907B SFAS 106 - MEDICARE SUBSIDY - NORMALIZED</t>
  </si>
  <si>
    <t xml:space="preserve">        911W ACCRD SIT TX RESERVE-SHRT-TERM-FIN 48</t>
  </si>
  <si>
    <t xml:space="preserve">        913D CHARITABLE CONTRIBUTION CARRYFWD</t>
  </si>
  <si>
    <t xml:space="preserve">        940S 1997-2003 IRS AUDIT SETTLEMENT</t>
  </si>
  <si>
    <t xml:space="preserve">        940X IRS CAPITALIZATION ADJUSTMENT</t>
  </si>
  <si>
    <t xml:space="preserve">        913A LUXURY AUTO ADJUSTMENT</t>
  </si>
  <si>
    <t xml:space="preserve">        999Q FIN-48 DSIT - PERM - FIN 48</t>
  </si>
  <si>
    <t xml:space="preserve">        610V PROV - SFAS 157 - A/L</t>
  </si>
  <si>
    <t xml:space="preserve">        610X PROV - SFAS 157 - B/L</t>
  </si>
  <si>
    <t xml:space="preserve">        639M TAX &gt; BOOK BASIS - EMA-A/C 190 (B/L)</t>
  </si>
  <si>
    <t xml:space="preserve">        632U BK DEFL - DEMAND SIDE MANAGEMENT</t>
  </si>
  <si>
    <t xml:space="preserve">        614L PROVISION FOR POTENTIAL LOSS</t>
  </si>
  <si>
    <t xml:space="preserve">        638C TAX &gt; BOOK BASIS - EMA-A/C 190</t>
  </si>
  <si>
    <t xml:space="preserve">        639Q DEFD TAX GAIN - INTERCO SALE - EMA</t>
  </si>
  <si>
    <t xml:space="preserve">        639S DEFD TAX LOSS - INTERCO SALE - EMA</t>
  </si>
  <si>
    <t xml:space="preserve">        911F FIN 48 DEFERRED STATE INCOME TAXES</t>
  </si>
  <si>
    <t>Tax Return Adjustments</t>
  </si>
  <si>
    <t>FIN-48 State Income Tax Adjustments</t>
  </si>
  <si>
    <t>Total State Income Tax  ---  All Other</t>
  </si>
  <si>
    <t>Tax Return, Apportionment  &amp; Other Adjustments</t>
  </si>
  <si>
    <t>Current State Income Tax Expense</t>
  </si>
  <si>
    <t>State Income Tax Return Adjustment</t>
  </si>
  <si>
    <t>Note:</t>
  </si>
  <si>
    <t>Item Description</t>
  </si>
  <si>
    <t xml:space="preserve">        613K (ICDP) INCENTIVE COMP DEFERRAL PLAN</t>
  </si>
  <si>
    <t xml:space="preserve">        664V REG ASSET - NET CCS FEED STUDY COSTS</t>
  </si>
  <si>
    <t xml:space="preserve">        910E NON-DEDUCT MISCELLANEOUS</t>
  </si>
  <si>
    <t xml:space="preserve">        910U MEMBERSHIP DUES</t>
  </si>
  <si>
    <t xml:space="preserve">        663G REG ASSET - UNDERRECOVERY PJM EXPENSES</t>
  </si>
  <si>
    <t>Other Income &amp; Deductions   (Before Income Tax)</t>
  </si>
  <si>
    <t>Post Apportion Schedule M Adjustments</t>
  </si>
  <si>
    <t>State Taxable Income After Apportionment</t>
  </si>
  <si>
    <t>Kentucky Power Company</t>
  </si>
  <si>
    <t>KENTUCKY POWER COMPANY</t>
  </si>
  <si>
    <t xml:space="preserve">        232A ACRS TAX DEPRECIATION - HRJ</t>
  </si>
  <si>
    <t xml:space="preserve">        310D AOFUDC - HRJ POST-IN-SERVICE</t>
  </si>
  <si>
    <t xml:space="preserve">        320I ABFUDC - HRJ POST-IN-SERVICE - DFIT FBK</t>
  </si>
  <si>
    <t xml:space="preserve">        320I ABFUDC - HRJ POST-IN-SERVICE</t>
  </si>
  <si>
    <t xml:space="preserve">        630J DEFD STORM DAMAGE</t>
  </si>
  <si>
    <t xml:space="preserve">        611M NON-TAXABLE DEFD COMP - CSV EARN</t>
  </si>
  <si>
    <t>KY Jurisdictional</t>
  </si>
  <si>
    <t>Kentucky</t>
  </si>
  <si>
    <t xml:space="preserve">        232A-XS EXCESS DIT - ACRS TAX DEPR - HRJ</t>
  </si>
  <si>
    <t>ITC Feedback - HRJ 10%</t>
  </si>
  <si>
    <t xml:space="preserve">        320J ABFUDC - HRJ - DFIT FBK</t>
  </si>
  <si>
    <t>T&amp;D PLT</t>
  </si>
  <si>
    <t>O&amp;M EXP</t>
  </si>
  <si>
    <t>REVENUE</t>
  </si>
  <si>
    <t>REVENUE-OTH</t>
  </si>
  <si>
    <t>After Rate Case</t>
  </si>
  <si>
    <t>Utility After Rate</t>
  </si>
  <si>
    <t>Before Rate Case</t>
  </si>
  <si>
    <t>After Mitchell Plant</t>
  </si>
  <si>
    <t>Elimination</t>
  </si>
  <si>
    <t xml:space="preserve">        612G ACCRD COMPANY INCENT PLAN - ENGAGE TO GAIN</t>
  </si>
  <si>
    <t xml:space="preserve">        614I ECONOMIC DEVEL FUND - CURRENT</t>
  </si>
  <si>
    <t xml:space="preserve">        614J ECONOMIC DEVEL FUND - NON-CURRENT</t>
  </si>
  <si>
    <t xml:space="preserve">        642B DEFD REV - BONUS LEASE SHORT-TERM</t>
  </si>
  <si>
    <t xml:space="preserve">        642C DEFD REV - BONUS LEASE LONG-TERM</t>
  </si>
  <si>
    <t xml:space="preserve">        906Z SFAS 109 - MEDICARE SUBSIDY (PPACA) REG ASSET</t>
  </si>
  <si>
    <t xml:space="preserve">        911S ACCRUED SALES &amp; USE TAX RESERVE</t>
  </si>
  <si>
    <t>Deferred State Income Tax - WVA Pollution Control</t>
  </si>
  <si>
    <t>Current SIT Expense</t>
  </si>
  <si>
    <t>Deferred SIT Expense</t>
  </si>
  <si>
    <t>Total SIT Expense</t>
  </si>
  <si>
    <t>Total Income Tax Expense</t>
  </si>
  <si>
    <t>Allowance for Borrowed Funds Used During Construction</t>
  </si>
  <si>
    <t xml:space="preserve">        280Y NORMALIZED BASIS DIFF - TRANSFERRED PLANT</t>
  </si>
  <si>
    <t xml:space="preserve">        912K REMOVAL CST - NORMALIZED</t>
  </si>
  <si>
    <t xml:space="preserve">        690C REG ASSET - REMOVAL CST - BIG SANDY</t>
  </si>
  <si>
    <t xml:space="preserve">        432I DEFD FUEL EXP - UNDER-RECOVERED</t>
  </si>
  <si>
    <t xml:space="preserve">        432I DEFD FUEL EXP - OVER-RECOVERED</t>
  </si>
  <si>
    <t xml:space="preserve">        671G REG ASSET-BIG SANDY U1 OR-UNDER RECOV </t>
  </si>
  <si>
    <t xml:space="preserve">        671H REG ASSET-BIG SANDY RETIRE COSTS RECOV</t>
  </si>
  <si>
    <t xml:space="preserve">        671I REG ASSET-BIG SANDY RETIRE RIDER U2 O&amp;M</t>
  </si>
  <si>
    <t xml:space="preserve">        671J REG ASSET-UND RECOV-PURCH PWR PPA</t>
  </si>
  <si>
    <t xml:space="preserve">        671K REG ASSET-DEFD DEPREC-ENVIRONMENTAL</t>
  </si>
  <si>
    <t xml:space="preserve">        671L REG ASSET-CAR CHGS-ENVIRON COSTS</t>
  </si>
  <si>
    <t xml:space="preserve">        671M REG ASSET-CAR CHGS-ENVIRON UNREC EQUITY</t>
  </si>
  <si>
    <t xml:space="preserve">        671N REG ASSET-DEFD O&amp;M-ENVIRONMENTAL CSTS</t>
  </si>
  <si>
    <t xml:space="preserve">        671O REG ASSET-DEFD CONSUM EXP-ENVIRON CSTS</t>
  </si>
  <si>
    <t xml:space="preserve">        671P REG ASSET-DEFD PROP TAX EXP-ENVIRON CSTS</t>
  </si>
  <si>
    <t xml:space="preserve">        672G REG ASSET-BIG SANDY U1 OR-UNREC EQUITY CC</t>
  </si>
  <si>
    <t xml:space="preserve">        672H REG ASSET-BIG SANDY U1 OR-UNDER RECOV CC </t>
  </si>
  <si>
    <t xml:space="preserve">        672M REG ASSET-NERC COMPL/CYBER CC-UNREC EQ</t>
  </si>
  <si>
    <t xml:space="preserve">        672N REG ASSET-NERC COMPL/CYBER SEC-CAR CST</t>
  </si>
  <si>
    <t xml:space="preserve">        672O REG ASSET-NERC COMPL/CYBER SEC-DEF DEPR</t>
  </si>
  <si>
    <t xml:space="preserve">        672S REG ASSET-CAPACITY CHARGE TARIFF REV</t>
  </si>
  <si>
    <t xml:space="preserve">        673C REG ASSET-DEFD DEPR-BIG SANDY U1 GAS</t>
  </si>
  <si>
    <t xml:space="preserve">        673F REG ASSET-DEFD PROP TAX-BIG SANDY U1 GAS</t>
  </si>
  <si>
    <t xml:space="preserve">        690L REG ASSET-M&amp;S RETIRING PLANTS</t>
  </si>
  <si>
    <t xml:space="preserve">        690D REG ASSET - SPENT ARO - BIG SANDY</t>
  </si>
  <si>
    <t xml:space="preserve">        690F REG ASSET - NBV - ARO - RETIRED PLANTS</t>
  </si>
  <si>
    <t xml:space="preserve">        690E REG ASSET - UNRECOVERED PLANT - BIG SANDY</t>
  </si>
  <si>
    <t>Tax Credit Carryforward</t>
  </si>
  <si>
    <t>FIN 48 Perm Items</t>
  </si>
  <si>
    <t>FIN 48 Non-Perm Items</t>
  </si>
  <si>
    <t xml:space="preserve">        011C TAX CREDIT C/F - DEFERRED TAX ASSET</t>
  </si>
  <si>
    <t xml:space="preserve">        014C NOL - STATE C/F DEFD TAX ASSET - KY</t>
  </si>
  <si>
    <t xml:space="preserve">        280Z DFIT - GENERATION PLANT</t>
  </si>
  <si>
    <t xml:space="preserve">        913F VALUATION ALLOWANCE - CHARITABLE CONTR C/F</t>
  </si>
  <si>
    <t xml:space="preserve">        510I PROPERTY TAX - STATE 2 - OLD METHOD - TAX</t>
  </si>
  <si>
    <t xml:space="preserve">        611B PRELIM SURVEY &amp; INVEST RESERVE-BIG SANDY FGD</t>
  </si>
  <si>
    <t>Current State Income Tax  ---  All States</t>
  </si>
  <si>
    <t>Deferred State Income Tax  ---  All States</t>
  </si>
  <si>
    <t>Consistent with prior KPCO Rate Filings and Commission Orders, State Income Taxes are treated as flow-thru for ratemaking purposes other than those that were obtained as a result of the acquisition of the Mitchell Plant. (-ie- No Deferred State Income Taxes are included in Cost of Service).</t>
  </si>
  <si>
    <t xml:space="preserve">        980A RESTRICTED STOCK PLAN</t>
  </si>
  <si>
    <t>FIN-18 ETR Adjustment</t>
  </si>
  <si>
    <t>ALT MIN Tax Adjustment</t>
  </si>
  <si>
    <t xml:space="preserve">        960E AMT CREDIT - DEFERRED</t>
  </si>
  <si>
    <t xml:space="preserve">  230B 481 A BONUS DEPRECIATION</t>
  </si>
  <si>
    <t xml:space="preserve">  280J TAX DEPRECIATION LOOKBACK</t>
  </si>
  <si>
    <t xml:space="preserve">  520X PROV FOR RATE REFUND-TAX REFORM</t>
  </si>
  <si>
    <t xml:space="preserve">  520Y PROV FOR RATE REFUND-EXCESS PROTECTED</t>
  </si>
  <si>
    <t xml:space="preserve">  605P STOCK BASED COMP-CAREER SHARES</t>
  </si>
  <si>
    <t xml:space="preserve">  674A REG ASSET-ROCKPORT CAPACITY DEF-EQ CC</t>
  </si>
  <si>
    <t xml:space="preserve">  674B REG ASSET-ROCKPORT CAPACITY CC DEFERRAL</t>
  </si>
  <si>
    <t xml:space="preserve">  674C REG ASSET-ROCKPORT CAPACITY DEFERRAL</t>
  </si>
  <si>
    <t xml:space="preserve">  674D REG ASSET-KENTUCKY UNDER RECOV-PPA RIDER</t>
  </si>
  <si>
    <t xml:space="preserve">  675H REG ASSET-GreenHat Settlement</t>
  </si>
  <si>
    <t xml:space="preserve">  675I REG ASSET-Greenhat Liability</t>
  </si>
  <si>
    <t xml:space="preserve">  908A BOOK OPERATING LEASE - LIAB</t>
  </si>
  <si>
    <t xml:space="preserve">  908B BOOK OPERATING LEASE - ASSET</t>
  </si>
  <si>
    <t xml:space="preserve">  910M GROSS RECEIPTS- TAX EXPENSE</t>
  </si>
  <si>
    <t xml:space="preserve">  980J PSI - STOCK BASED COMP</t>
  </si>
  <si>
    <t xml:space="preserve">  605T STOCK BASED COMP-CAREER SHARES-PERM</t>
  </si>
  <si>
    <t xml:space="preserve">  980B RESTRICTED STOCK PLAN - TAX DEDUCTION</t>
  </si>
  <si>
    <t>NOL Reclass</t>
  </si>
  <si>
    <t>R&amp;D Credit - Current</t>
  </si>
  <si>
    <t xml:space="preserve">  911L-DSIT DSIT ENTRY - WV POLLUTION CONTROL</t>
  </si>
  <si>
    <t xml:space="preserve">        960F-XS EXCESS ADFIT 282 PROTECTED-FERC</t>
  </si>
  <si>
    <t xml:space="preserve">        960F-XS EXCESS ADFIT 282 PROTECTED-KY</t>
  </si>
  <si>
    <t xml:space="preserve">        960F-XS EXCESS ADFIT 282 UNPROTECTED-FERC</t>
  </si>
  <si>
    <t xml:space="preserve">        960F-XS EXCESS ADFIT 282 UNPROTECTED-KY</t>
  </si>
  <si>
    <t xml:space="preserve">        960F-XS EXCESS ADFIT 283 UNPROTECTED</t>
  </si>
  <si>
    <t xml:space="preserve">        960F-XS EXCESS ADFIT 283 UNPROTECTED-FERC</t>
  </si>
  <si>
    <t xml:space="preserve">        960F-XS EXCESS ADFIT 283 UNPROTECTED-KY</t>
  </si>
  <si>
    <t xml:space="preserve">        960F-XS EXCESS ADFIT 281 PROTECTED-FERC</t>
  </si>
  <si>
    <t xml:space="preserve">        960F-XS EXCESS ADFIT 281 PROTECTED-KY</t>
  </si>
  <si>
    <t xml:space="preserve">        960F-XS EXCESS ADFIT 282 PROTECTED</t>
  </si>
  <si>
    <t xml:space="preserve">        960F-XS EXCESS ADFIT 282 UNPROTECTED</t>
  </si>
  <si>
    <t xml:space="preserve">                      282 EXCESS ADJUSTMENT</t>
  </si>
  <si>
    <t xml:space="preserve">                      283 EXCESS ADJUSTMENT</t>
  </si>
  <si>
    <t>Add (Subtract): Tax Depreciation Lookback</t>
  </si>
  <si>
    <t>@ 21%</t>
  </si>
  <si>
    <t>s</t>
  </si>
  <si>
    <t>DFIT Feedback/ Excess</t>
  </si>
  <si>
    <t>Deferred State Income Tax</t>
  </si>
  <si>
    <t>Twelve Months Ended December 31, 2019</t>
  </si>
  <si>
    <t>12 Mo. 12/31/19</t>
  </si>
  <si>
    <t xml:space="preserve">        960F-XS EXCESS ADFIT 281 PROTECTED</t>
  </si>
  <si>
    <t>Schedule M-2 Analysis of Retained Earnings</t>
  </si>
  <si>
    <t>Retained Earnings Beginning Balance</t>
  </si>
  <si>
    <t xml:space="preserve">PRE-TAX BOOK INCOME </t>
  </si>
  <si>
    <t>Net Income (loss) per books</t>
  </si>
  <si>
    <t>Less Cash Distributions</t>
  </si>
  <si>
    <t>Rounding</t>
  </si>
  <si>
    <t>Retained Earning Ending Balance</t>
  </si>
  <si>
    <t>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</si>
</sst>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%"/>
    <numFmt numFmtId="167" formatCode="0.000000_);\(0.000000\)"/>
    <numFmt numFmtId="168" formatCode="0.0000000"/>
    <numFmt numFmtId="169" formatCode="0_);\(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2" fillId="0" borderId="0" xfId="1" applyNumberFormat="1"/>
    <xf numFmtId="164" fontId="2" fillId="0" borderId="1" xfId="1" applyNumberFormat="1" applyBorder="1"/>
    <xf numFmtId="164" fontId="2" fillId="0" borderId="0" xfId="1" applyNumberFormat="1" applyFont="1"/>
    <xf numFmtId="37" fontId="8" fillId="0" borderId="0" xfId="0" applyNumberFormat="1" applyFont="1" applyFill="1"/>
    <xf numFmtId="37" fontId="8" fillId="0" borderId="1" xfId="0" applyNumberFormat="1" applyFont="1" applyFill="1" applyBorder="1"/>
    <xf numFmtId="167" fontId="8" fillId="0" borderId="1" xfId="0" applyNumberFormat="1" applyFont="1" applyFill="1" applyBorder="1"/>
    <xf numFmtId="10" fontId="8" fillId="0" borderId="1" xfId="3" applyNumberFormat="1" applyFont="1" applyFill="1" applyBorder="1"/>
    <xf numFmtId="0" fontId="8" fillId="0" borderId="0" xfId="0" applyFont="1" applyFill="1"/>
    <xf numFmtId="37" fontId="8" fillId="0" borderId="3" xfId="0" applyNumberFormat="1" applyFont="1" applyFill="1" applyBorder="1"/>
    <xf numFmtId="37" fontId="8" fillId="0" borderId="4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/>
    <xf numFmtId="164" fontId="4" fillId="0" borderId="5" xfId="1" applyNumberFormat="1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165" fontId="4" fillId="0" borderId="0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1" xfId="0" applyNumberFormat="1" applyFill="1" applyBorder="1"/>
    <xf numFmtId="164" fontId="0" fillId="0" borderId="0" xfId="0" applyNumberFormat="1" applyFill="1"/>
    <xf numFmtId="164" fontId="4" fillId="0" borderId="4" xfId="0" applyNumberFormat="1" applyFont="1" applyBorder="1"/>
    <xf numFmtId="164" fontId="2" fillId="0" borderId="1" xfId="1" applyNumberFormat="1" applyFont="1" applyBorder="1"/>
    <xf numFmtId="37" fontId="4" fillId="0" borderId="3" xfId="0" applyNumberFormat="1" applyFont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Alignment="1">
      <alignment horizontal="center"/>
    </xf>
    <xf numFmtId="37" fontId="8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0" fontId="6" fillId="0" borderId="0" xfId="0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64" fontId="2" fillId="0" borderId="1" xfId="1" applyNumberFormat="1" applyFill="1" applyBorder="1"/>
    <xf numFmtId="168" fontId="0" fillId="0" borderId="0" xfId="0" applyNumberFormat="1" applyFill="1" applyBorder="1" applyAlignment="1">
      <alignment horizontal="left"/>
    </xf>
    <xf numFmtId="168" fontId="8" fillId="0" borderId="0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10" fillId="0" borderId="0" xfId="0" applyFont="1"/>
    <xf numFmtId="37" fontId="8" fillId="0" borderId="0" xfId="0" applyNumberFormat="1" applyFont="1" applyFill="1" applyBorder="1"/>
    <xf numFmtId="164" fontId="2" fillId="0" borderId="0" xfId="1" applyNumberFormat="1" applyFill="1"/>
    <xf numFmtId="164" fontId="4" fillId="0" borderId="1" xfId="0" applyNumberFormat="1" applyFont="1" applyFill="1" applyBorder="1" applyAlignment="1">
      <alignment horizontal="left"/>
    </xf>
    <xf numFmtId="0" fontId="10" fillId="0" borderId="0" xfId="0" applyFont="1" applyFill="1"/>
    <xf numFmtId="0" fontId="0" fillId="0" borderId="0" xfId="0" applyAlignment="1">
      <alignment horizontal="center"/>
    </xf>
    <xf numFmtId="164" fontId="11" fillId="0" borderId="0" xfId="1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11" fillId="0" borderId="0" xfId="1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/>
    <xf numFmtId="37" fontId="10" fillId="0" borderId="0" xfId="0" applyNumberFormat="1" applyFont="1" applyFill="1"/>
    <xf numFmtId="0" fontId="0" fillId="0" borderId="0" xfId="0" applyAlignment="1">
      <alignment horizontal="center"/>
    </xf>
    <xf numFmtId="164" fontId="4" fillId="0" borderId="3" xfId="0" applyNumberFormat="1" applyFont="1" applyBorder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37" fontId="7" fillId="0" borderId="0" xfId="0" applyNumberFormat="1" applyFont="1" applyFill="1"/>
    <xf numFmtId="0" fontId="8" fillId="0" borderId="0" xfId="0" applyFont="1" applyFill="1" applyBorder="1"/>
    <xf numFmtId="165" fontId="10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/>
    <xf numFmtId="164" fontId="0" fillId="0" borderId="0" xfId="0" applyNumberFormat="1" applyFill="1" applyAlignment="1"/>
    <xf numFmtId="164" fontId="0" fillId="0" borderId="1" xfId="0" applyNumberFormat="1" applyFill="1" applyBorder="1" applyAlignment="1"/>
    <xf numFmtId="164" fontId="4" fillId="0" borderId="5" xfId="1" applyNumberFormat="1" applyFont="1" applyFill="1" applyBorder="1"/>
    <xf numFmtId="0" fontId="4" fillId="0" borderId="0" xfId="0" applyFont="1" applyFill="1" applyBorder="1"/>
    <xf numFmtId="164" fontId="4" fillId="0" borderId="5" xfId="1" applyNumberFormat="1" applyFont="1" applyFill="1" applyBorder="1" applyAlignment="1"/>
    <xf numFmtId="165" fontId="0" fillId="0" borderId="0" xfId="0" applyNumberFormat="1" applyFill="1" applyBorder="1" applyAlignment="1">
      <alignment horizontal="center"/>
    </xf>
    <xf numFmtId="164" fontId="2" fillId="0" borderId="0" xfId="1" applyNumberFormat="1" applyFill="1" applyBorder="1"/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4" fillId="0" borderId="1" xfId="1" applyNumberFormat="1" applyFont="1" applyFill="1" applyBorder="1"/>
    <xf numFmtId="164" fontId="2" fillId="0" borderId="0" xfId="1" applyNumberFormat="1" applyFill="1" applyAlignment="1"/>
    <xf numFmtId="164" fontId="2" fillId="0" borderId="1" xfId="1" applyNumberFormat="1" applyFill="1" applyBorder="1" applyAlignment="1"/>
    <xf numFmtId="10" fontId="2" fillId="0" borderId="1" xfId="1" applyNumberFormat="1" applyFill="1" applyBorder="1"/>
    <xf numFmtId="10" fontId="2" fillId="0" borderId="1" xfId="3" applyNumberFormat="1" applyFill="1" applyBorder="1" applyAlignment="1"/>
    <xf numFmtId="0" fontId="10" fillId="0" borderId="0" xfId="0" applyFont="1" applyFill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3" xfId="1" applyNumberFormat="1" applyFont="1" applyFill="1" applyBorder="1" applyAlignment="1"/>
    <xf numFmtId="0" fontId="5" fillId="0" borderId="1" xfId="0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/>
    <xf numFmtId="164" fontId="4" fillId="0" borderId="0" xfId="1" applyNumberFormat="1" applyFont="1" applyFill="1" applyBorder="1"/>
    <xf numFmtId="164" fontId="4" fillId="0" borderId="5" xfId="1" applyNumberFormat="1" applyFont="1" applyFill="1" applyBorder="1" applyAlignment="1">
      <alignment horizontal="center"/>
    </xf>
    <xf numFmtId="164" fontId="4" fillId="0" borderId="4" xfId="0" applyNumberFormat="1" applyFont="1" applyFill="1" applyBorder="1"/>
    <xf numFmtId="37" fontId="0" fillId="0" borderId="0" xfId="0" applyNumberFormat="1" applyFill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1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7" fontId="7" fillId="0" borderId="2" xfId="0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center"/>
    </xf>
    <xf numFmtId="37" fontId="8" fillId="0" borderId="0" xfId="0" applyNumberFormat="1" applyFont="1" applyFill="1" applyAlignment="1">
      <alignment horizontal="left"/>
    </xf>
    <xf numFmtId="10" fontId="8" fillId="0" borderId="1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/>
    <xf numFmtId="164" fontId="10" fillId="0" borderId="0" xfId="0" applyNumberFormat="1" applyFont="1" applyFill="1"/>
    <xf numFmtId="0" fontId="2" fillId="0" borderId="0" xfId="0" quotePrefix="1" applyNumberFormat="1" applyFont="1" applyFill="1" applyAlignment="1">
      <alignment wrapText="1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center"/>
    </xf>
    <xf numFmtId="37" fontId="8" fillId="0" borderId="0" xfId="0" applyNumberFormat="1" applyFont="1"/>
    <xf numFmtId="164" fontId="2" fillId="0" borderId="0" xfId="1" applyNumberFormat="1" applyFont="1" applyFill="1"/>
    <xf numFmtId="0" fontId="0" fillId="0" borderId="0" xfId="0" applyFill="1" applyAlignment="1">
      <alignment horizontal="center"/>
    </xf>
    <xf numFmtId="43" fontId="8" fillId="0" borderId="0" xfId="1" applyFont="1" applyFill="1"/>
    <xf numFmtId="43" fontId="8" fillId="0" borderId="0" xfId="0" applyNumberFormat="1" applyFont="1" applyFill="1"/>
    <xf numFmtId="164" fontId="8" fillId="0" borderId="0" xfId="1" applyNumberFormat="1" applyFont="1" applyFill="1"/>
    <xf numFmtId="164" fontId="8" fillId="0" borderId="0" xfId="0" applyNumberFormat="1" applyFont="1" applyFill="1"/>
    <xf numFmtId="0" fontId="0" fillId="0" borderId="0" xfId="0" applyFill="1" applyAlignment="1">
      <alignment horizontal="center"/>
    </xf>
    <xf numFmtId="43" fontId="0" fillId="0" borderId="0" xfId="1" applyFont="1" applyFill="1"/>
    <xf numFmtId="0" fontId="0" fillId="0" borderId="0" xfId="0" applyFill="1" applyAlignment="1">
      <alignment horizontal="center"/>
    </xf>
    <xf numFmtId="43" fontId="8" fillId="0" borderId="0" xfId="1" applyFont="1" applyFill="1" applyBorder="1"/>
    <xf numFmtId="43" fontId="8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37" fontId="0" fillId="0" borderId="0" xfId="0" applyNumberFormat="1" applyFill="1" applyBorder="1"/>
    <xf numFmtId="37" fontId="0" fillId="0" borderId="0" xfId="1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Font="1" applyFill="1" applyBorder="1"/>
    <xf numFmtId="0" fontId="4" fillId="0" borderId="0" xfId="0" applyNumberFormat="1" applyFont="1" applyFill="1" applyBorder="1"/>
    <xf numFmtId="37" fontId="4" fillId="0" borderId="0" xfId="0" applyNumberFormat="1" applyFont="1" applyFill="1" applyBorder="1"/>
    <xf numFmtId="0" fontId="0" fillId="0" borderId="0" xfId="0" applyNumberFormat="1" applyFill="1" applyBorder="1"/>
    <xf numFmtId="43" fontId="0" fillId="0" borderId="0" xfId="0" applyNumberFormat="1" applyFill="1" applyBorder="1"/>
    <xf numFmtId="169" fontId="8" fillId="0" borderId="0" xfId="0" applyNumberFormat="1" applyFont="1" applyFill="1" applyBorder="1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37" fontId="0" fillId="0" borderId="0" xfId="0" applyNumberFormat="1"/>
    <xf numFmtId="37" fontId="0" fillId="0" borderId="1" xfId="0" applyNumberFormat="1" applyBorder="1"/>
    <xf numFmtId="0" fontId="0" fillId="0" borderId="0" xfId="0" applyAlignment="1">
      <alignment horizontal="right"/>
    </xf>
    <xf numFmtId="37" fontId="0" fillId="0" borderId="0" xfId="0" applyNumberFormat="1" applyBorder="1"/>
    <xf numFmtId="0" fontId="2" fillId="0" borderId="0" xfId="0" applyFont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4" xfId="0" applyNumberFormat="1" applyBorder="1"/>
    <xf numFmtId="0" fontId="4" fillId="0" borderId="0" xfId="0" applyFont="1" applyFill="1" applyAlignment="1"/>
    <xf numFmtId="0" fontId="0" fillId="0" borderId="0" xfId="0" applyFill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9">
    <cellStyle name="Comma" xfId="1" builtinId="3"/>
    <cellStyle name="Comma 2" xfId="2"/>
    <cellStyle name="Comma 2 2" xfId="5"/>
    <cellStyle name="Normal" xfId="0" builtinId="0"/>
    <cellStyle name="Normal 2" xfId="7"/>
    <cellStyle name="Normal 3" xfId="8"/>
    <cellStyle name="Percent" xfId="3" builtinId="5"/>
    <cellStyle name="Percent 2" xfId="4"/>
    <cellStyle name="Percent 2 2" xfId="6"/>
  </cellStyles>
  <dxfs count="0"/>
  <tableStyles count="0" defaultTableStyle="TableStyleMedium9" defaultPivotStyle="PivotStyleLight16"/>
  <colors>
    <mruColors>
      <color rgb="FFFFFF99"/>
      <color rgb="FFFFCC00"/>
      <color rgb="FFCC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M4" sqref="M4"/>
    </sheetView>
  </sheetViews>
  <sheetFormatPr defaultRowHeight="12.75" x14ac:dyDescent="0.2"/>
  <cols>
    <col min="2" max="2" width="57.5703125" customWidth="1"/>
    <col min="3" max="12" width="15.7109375" customWidth="1"/>
  </cols>
  <sheetData>
    <row r="1" spans="1:12" x14ac:dyDescent="0.2">
      <c r="A1" s="164" t="s">
        <v>285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2" x14ac:dyDescent="0.2">
      <c r="A2" s="164" t="s">
        <v>224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2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2" x14ac:dyDescent="0.2">
      <c r="A4" s="164" t="s">
        <v>401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2" x14ac:dyDescent="0.2">
      <c r="A5" s="164"/>
      <c r="B5" s="165"/>
      <c r="C5" s="165"/>
      <c r="D5" s="165"/>
      <c r="E5" s="165"/>
      <c r="F5" s="165"/>
      <c r="G5" s="165"/>
      <c r="H5" s="165"/>
      <c r="I5" s="165"/>
      <c r="J5" s="165"/>
    </row>
    <row r="9" spans="1:12" x14ac:dyDescent="0.2">
      <c r="C9" s="3" t="s">
        <v>131</v>
      </c>
      <c r="D9" s="3" t="s">
        <v>132</v>
      </c>
      <c r="E9" s="3" t="s">
        <v>133</v>
      </c>
      <c r="F9" s="3" t="s">
        <v>134</v>
      </c>
      <c r="G9" s="3" t="s">
        <v>135</v>
      </c>
      <c r="H9" s="3" t="s">
        <v>136</v>
      </c>
      <c r="I9" s="3" t="s">
        <v>137</v>
      </c>
      <c r="J9" s="3" t="s">
        <v>138</v>
      </c>
      <c r="K9" s="3" t="s">
        <v>139</v>
      </c>
      <c r="L9" s="3" t="s">
        <v>145</v>
      </c>
    </row>
    <row r="10" spans="1:12" x14ac:dyDescent="0.2">
      <c r="E10" s="59" t="s">
        <v>114</v>
      </c>
      <c r="G10" s="1" t="s">
        <v>114</v>
      </c>
      <c r="I10" s="59" t="s">
        <v>212</v>
      </c>
    </row>
    <row r="11" spans="1:12" x14ac:dyDescent="0.2">
      <c r="C11" s="1" t="s">
        <v>114</v>
      </c>
      <c r="D11" s="1" t="s">
        <v>124</v>
      </c>
      <c r="E11" s="59" t="s">
        <v>122</v>
      </c>
      <c r="G11" s="1" t="s">
        <v>122</v>
      </c>
      <c r="H11" s="68"/>
      <c r="I11" s="59" t="s">
        <v>303</v>
      </c>
      <c r="J11" s="57" t="s">
        <v>293</v>
      </c>
      <c r="K11" s="57" t="s">
        <v>293</v>
      </c>
    </row>
    <row r="12" spans="1:12" x14ac:dyDescent="0.2">
      <c r="C12" s="1" t="s">
        <v>115</v>
      </c>
      <c r="D12" s="1" t="s">
        <v>125</v>
      </c>
      <c r="E12" s="59" t="s">
        <v>304</v>
      </c>
      <c r="F12" s="62" t="s">
        <v>306</v>
      </c>
      <c r="G12" s="1" t="s">
        <v>302</v>
      </c>
      <c r="H12" s="68" t="s">
        <v>129</v>
      </c>
      <c r="I12" s="59" t="s">
        <v>130</v>
      </c>
      <c r="J12" s="1" t="s">
        <v>140</v>
      </c>
      <c r="K12" s="1" t="s">
        <v>142</v>
      </c>
      <c r="L12" s="1" t="s">
        <v>140</v>
      </c>
    </row>
    <row r="13" spans="1:12" x14ac:dyDescent="0.2">
      <c r="A13" s="2" t="s">
        <v>119</v>
      </c>
      <c r="B13" s="2" t="s">
        <v>217</v>
      </c>
      <c r="C13" s="60" t="s">
        <v>402</v>
      </c>
      <c r="D13" s="2" t="s">
        <v>126</v>
      </c>
      <c r="E13" s="2" t="s">
        <v>130</v>
      </c>
      <c r="F13" s="63" t="s">
        <v>130</v>
      </c>
      <c r="G13" s="2" t="s">
        <v>130</v>
      </c>
      <c r="H13" s="63" t="s">
        <v>130</v>
      </c>
      <c r="I13" s="49" t="str">
        <f>C13</f>
        <v>12 Mo. 12/31/19</v>
      </c>
      <c r="J13" s="2" t="s">
        <v>141</v>
      </c>
      <c r="K13" s="2" t="s">
        <v>143</v>
      </c>
      <c r="L13" s="2" t="s">
        <v>144</v>
      </c>
    </row>
    <row r="14" spans="1:12" x14ac:dyDescent="0.2">
      <c r="A14" s="1">
        <v>1</v>
      </c>
      <c r="B14" s="19" t="s">
        <v>209</v>
      </c>
      <c r="C14" s="9">
        <f>'CFIT Schedules'!C13</f>
        <v>98820596</v>
      </c>
      <c r="D14" s="9">
        <f>'CFIT Schedules'!D13</f>
        <v>3737987.83</v>
      </c>
      <c r="E14" s="7">
        <f>+C14-D14</f>
        <v>95082608.170000002</v>
      </c>
      <c r="F14" s="9">
        <f>'CFIT Schedules'!F13</f>
        <v>0</v>
      </c>
      <c r="G14" s="5">
        <f>+E14+F14</f>
        <v>95082608.170000002</v>
      </c>
      <c r="H14" s="9">
        <f>'CFIT Schedules'!H13</f>
        <v>0</v>
      </c>
      <c r="I14" s="5">
        <f>+G14+H14</f>
        <v>95082608.170000002</v>
      </c>
      <c r="J14" s="6" t="s">
        <v>146</v>
      </c>
      <c r="K14" s="9">
        <f>'CFIT Schedules'!K13</f>
        <v>86914999</v>
      </c>
      <c r="L14" s="1" t="s">
        <v>146</v>
      </c>
    </row>
    <row r="15" spans="1:12" x14ac:dyDescent="0.2">
      <c r="A15" s="1">
        <f>+A14+1</f>
        <v>2</v>
      </c>
      <c r="B15" t="s">
        <v>120</v>
      </c>
      <c r="C15" s="9">
        <f>'CFIT Schedules'!C14</f>
        <v>40690213.659999996</v>
      </c>
      <c r="D15" s="9">
        <f>'CFIT Schedules'!D14</f>
        <v>0</v>
      </c>
      <c r="E15" s="7">
        <f>+C15-D15</f>
        <v>40690213.659999996</v>
      </c>
      <c r="F15" s="9">
        <f>'CFIT Schedules'!F14</f>
        <v>0</v>
      </c>
      <c r="G15" s="5">
        <f>+E15+F15</f>
        <v>40690213.659999996</v>
      </c>
      <c r="H15" s="9">
        <f>'CFIT Schedules'!H14</f>
        <v>0</v>
      </c>
      <c r="I15" s="5">
        <f>+G15+H15</f>
        <v>40690213.659999996</v>
      </c>
      <c r="J15" s="1" t="s">
        <v>147</v>
      </c>
      <c r="K15" s="9">
        <f>'CFIT Schedules'!K14</f>
        <v>40079860</v>
      </c>
      <c r="L15" s="1" t="s">
        <v>225</v>
      </c>
    </row>
    <row r="16" spans="1:12" x14ac:dyDescent="0.2">
      <c r="A16" s="68">
        <f t="shared" ref="A16:A42" si="0">+A15+1</f>
        <v>3</v>
      </c>
      <c r="B16" t="s">
        <v>319</v>
      </c>
      <c r="C16" s="9">
        <f>'CFIT Schedules'!C15</f>
        <v>2266337.75</v>
      </c>
      <c r="D16" s="9">
        <f>'CFIT Schedules'!D15</f>
        <v>0</v>
      </c>
      <c r="E16" s="7">
        <f>+C16-D16</f>
        <v>2266337.75</v>
      </c>
      <c r="F16" s="9">
        <f>'CFIT Schedules'!F15</f>
        <v>0</v>
      </c>
      <c r="G16" s="5">
        <f>+E16+F16</f>
        <v>2266337.75</v>
      </c>
      <c r="H16" s="9">
        <f>'CFIT Schedules'!H15</f>
        <v>0</v>
      </c>
      <c r="I16" s="5">
        <f>+G16+H16</f>
        <v>2266337.75</v>
      </c>
      <c r="J16" s="68" t="s">
        <v>147</v>
      </c>
      <c r="K16" s="9">
        <f>'CFIT Schedules'!K15</f>
        <v>2232343</v>
      </c>
      <c r="L16" s="68" t="s">
        <v>225</v>
      </c>
    </row>
    <row r="17" spans="1:12" x14ac:dyDescent="0.2">
      <c r="A17" s="68">
        <f t="shared" si="0"/>
        <v>4</v>
      </c>
      <c r="B17" t="s">
        <v>121</v>
      </c>
      <c r="C17" s="29">
        <f>'CFIT Schedules'!C16</f>
        <v>-7075734</v>
      </c>
      <c r="D17" s="29">
        <f>'CFIT Schedules'!D16</f>
        <v>-7075734</v>
      </c>
      <c r="E17" s="4">
        <f>+C17-D17</f>
        <v>0</v>
      </c>
      <c r="F17" s="29">
        <f>'CFIT Schedules'!F16</f>
        <v>0</v>
      </c>
      <c r="G17" s="4">
        <f>+E17+F17</f>
        <v>0</v>
      </c>
      <c r="H17" s="29">
        <f>'CFIT Schedules'!H16</f>
        <v>0</v>
      </c>
      <c r="I17" s="4">
        <f>+G17+H17</f>
        <v>0</v>
      </c>
      <c r="J17" s="21" t="s">
        <v>148</v>
      </c>
      <c r="K17" s="29">
        <f>'CFIT Schedules'!K16</f>
        <v>0</v>
      </c>
      <c r="L17" s="21" t="s">
        <v>148</v>
      </c>
    </row>
    <row r="18" spans="1:12" x14ac:dyDescent="0.2">
      <c r="A18" s="68">
        <f t="shared" si="0"/>
        <v>5</v>
      </c>
      <c r="B18" s="19" t="s">
        <v>213</v>
      </c>
      <c r="C18" s="7">
        <f t="shared" ref="C18:I18" si="1">C14-C15+C16+C17</f>
        <v>53320986.090000004</v>
      </c>
      <c r="D18" s="7">
        <f t="shared" si="1"/>
        <v>-3337746.17</v>
      </c>
      <c r="E18" s="7">
        <f t="shared" si="1"/>
        <v>56658732.260000005</v>
      </c>
      <c r="F18" s="7">
        <f t="shared" si="1"/>
        <v>0</v>
      </c>
      <c r="G18" s="7">
        <f t="shared" si="1"/>
        <v>56658732.260000005</v>
      </c>
      <c r="H18" s="7">
        <f t="shared" si="1"/>
        <v>0</v>
      </c>
      <c r="I18" s="7">
        <f t="shared" si="1"/>
        <v>56658732.260000005</v>
      </c>
      <c r="J18" s="6"/>
      <c r="K18" s="7">
        <f>K14-K15+K16+K17</f>
        <v>49067482</v>
      </c>
      <c r="L18" s="21"/>
    </row>
    <row r="19" spans="1:12" x14ac:dyDescent="0.2">
      <c r="A19" s="68">
        <f t="shared" si="0"/>
        <v>6</v>
      </c>
      <c r="B19" s="52" t="s">
        <v>273</v>
      </c>
      <c r="C19" s="9">
        <f>'CFIT Schedules'!C18</f>
        <v>1739951.4699999997</v>
      </c>
      <c r="D19" s="9">
        <f>'CFIT Schedules'!D18</f>
        <v>-695944.35</v>
      </c>
      <c r="E19" s="8">
        <f>+C19-D19</f>
        <v>2435895.8199999998</v>
      </c>
      <c r="F19" s="9">
        <f>'CFIT Schedules'!F18</f>
        <v>0</v>
      </c>
      <c r="G19" s="4">
        <f>+E19+F19</f>
        <v>2435895.8199999998</v>
      </c>
      <c r="H19" s="9">
        <f>'CFIT Schedules'!H18</f>
        <v>0</v>
      </c>
      <c r="I19" s="4">
        <f>+G19+H19</f>
        <v>2435895.8199999998</v>
      </c>
      <c r="J19" s="21" t="s">
        <v>222</v>
      </c>
      <c r="K19" s="9">
        <f>'CFIT Schedules'!K18</f>
        <v>-995924</v>
      </c>
      <c r="L19" s="21" t="s">
        <v>210</v>
      </c>
    </row>
    <row r="20" spans="1:12" x14ac:dyDescent="0.2">
      <c r="A20" s="68">
        <f t="shared" si="0"/>
        <v>7</v>
      </c>
      <c r="B20" s="19" t="s">
        <v>211</v>
      </c>
      <c r="C20" s="20">
        <f t="shared" ref="C20:K20" si="2">C18-C19</f>
        <v>51581034.620000005</v>
      </c>
      <c r="D20" s="20">
        <f t="shared" si="2"/>
        <v>-2641801.8199999998</v>
      </c>
      <c r="E20" s="20">
        <f t="shared" si="2"/>
        <v>54222836.440000005</v>
      </c>
      <c r="F20" s="20">
        <f t="shared" si="2"/>
        <v>0</v>
      </c>
      <c r="G20" s="20">
        <f t="shared" si="2"/>
        <v>54222836.440000005</v>
      </c>
      <c r="H20" s="20">
        <f t="shared" si="2"/>
        <v>0</v>
      </c>
      <c r="I20" s="20">
        <f t="shared" si="2"/>
        <v>54222836.440000005</v>
      </c>
      <c r="J20" s="22"/>
      <c r="K20" s="20">
        <f t="shared" si="2"/>
        <v>50063406</v>
      </c>
      <c r="L20" s="23"/>
    </row>
    <row r="21" spans="1:12" x14ac:dyDescent="0.2">
      <c r="A21" s="68">
        <f t="shared" si="0"/>
        <v>8</v>
      </c>
      <c r="C21" s="7"/>
      <c r="K21" s="25"/>
    </row>
    <row r="22" spans="1:12" x14ac:dyDescent="0.2">
      <c r="A22" s="68">
        <f t="shared" si="0"/>
        <v>9</v>
      </c>
    </row>
    <row r="23" spans="1:12" x14ac:dyDescent="0.2">
      <c r="A23" s="68">
        <f t="shared" si="0"/>
        <v>10</v>
      </c>
    </row>
    <row r="24" spans="1:12" x14ac:dyDescent="0.2">
      <c r="A24" s="68">
        <f t="shared" si="0"/>
        <v>11</v>
      </c>
      <c r="B24" s="19" t="s">
        <v>315</v>
      </c>
      <c r="C24" s="5">
        <f t="shared" ref="C24:I24" si="3">C19</f>
        <v>1739951.4699999997</v>
      </c>
      <c r="D24" s="5">
        <f t="shared" si="3"/>
        <v>-695944.35</v>
      </c>
      <c r="E24" s="5">
        <f t="shared" si="3"/>
        <v>2435895.8199999998</v>
      </c>
      <c r="F24" s="5">
        <f t="shared" si="3"/>
        <v>0</v>
      </c>
      <c r="G24" s="5">
        <f t="shared" si="3"/>
        <v>2435895.8199999998</v>
      </c>
      <c r="H24" s="5">
        <f t="shared" si="3"/>
        <v>0</v>
      </c>
      <c r="I24" s="5">
        <f t="shared" si="3"/>
        <v>2435895.8199999998</v>
      </c>
      <c r="J24" s="5"/>
      <c r="K24" s="5">
        <f>K19</f>
        <v>-995924</v>
      </c>
      <c r="L24" s="5"/>
    </row>
    <row r="25" spans="1:12" x14ac:dyDescent="0.2">
      <c r="A25" s="68">
        <f t="shared" si="0"/>
        <v>12</v>
      </c>
      <c r="B25" s="19"/>
    </row>
    <row r="26" spans="1:12" x14ac:dyDescent="0.2">
      <c r="A26" s="68">
        <f t="shared" si="0"/>
        <v>13</v>
      </c>
      <c r="B26" s="19" t="s">
        <v>316</v>
      </c>
      <c r="C26" s="5">
        <f>'SIT Schedules'!C135</f>
        <v>-1200908.6200000001</v>
      </c>
      <c r="D26" s="5">
        <f>'SIT Schedules'!D135</f>
        <v>0</v>
      </c>
      <c r="E26" s="5">
        <f>'SIT Schedules'!E135</f>
        <v>-452712</v>
      </c>
      <c r="F26" s="5">
        <f>'SIT Schedules'!F135</f>
        <v>0</v>
      </c>
      <c r="G26" s="5">
        <f>'SIT Schedules'!G135</f>
        <v>-452712</v>
      </c>
      <c r="H26" s="5">
        <f>'SIT Schedules'!H135</f>
        <v>0</v>
      </c>
      <c r="I26" s="5">
        <f>'SIT Schedules'!I135</f>
        <v>-452712</v>
      </c>
      <c r="J26" s="5"/>
      <c r="K26" s="5">
        <f>'SIT Schedules'!K135</f>
        <v>-445921</v>
      </c>
      <c r="L26" s="5"/>
    </row>
    <row r="27" spans="1:12" x14ac:dyDescent="0.2">
      <c r="A27" s="68">
        <f t="shared" si="0"/>
        <v>14</v>
      </c>
    </row>
    <row r="28" spans="1:12" ht="13.5" thickBot="1" x14ac:dyDescent="0.25">
      <c r="A28" s="68">
        <f t="shared" si="0"/>
        <v>15</v>
      </c>
      <c r="B28" s="19" t="s">
        <v>317</v>
      </c>
      <c r="C28" s="30">
        <f t="shared" ref="C28:I28" si="4">SUM(C24:C27)</f>
        <v>539042.84999999963</v>
      </c>
      <c r="D28" s="30">
        <f t="shared" si="4"/>
        <v>-695944.35</v>
      </c>
      <c r="E28" s="30">
        <f t="shared" si="4"/>
        <v>1983183.8199999998</v>
      </c>
      <c r="F28" s="67">
        <f t="shared" si="4"/>
        <v>0</v>
      </c>
      <c r="G28" s="30">
        <f t="shared" si="4"/>
        <v>1983183.8199999998</v>
      </c>
      <c r="H28" s="30">
        <f t="shared" si="4"/>
        <v>0</v>
      </c>
      <c r="I28" s="30">
        <f t="shared" si="4"/>
        <v>1983183.8199999998</v>
      </c>
      <c r="K28" s="30">
        <f>SUM(K24:K27)</f>
        <v>-1441845</v>
      </c>
    </row>
    <row r="29" spans="1:12" ht="13.5" thickTop="1" x14ac:dyDescent="0.2">
      <c r="A29" s="68">
        <f t="shared" si="0"/>
        <v>16</v>
      </c>
      <c r="B29" s="19"/>
    </row>
    <row r="30" spans="1:12" x14ac:dyDescent="0.2">
      <c r="A30" s="68">
        <f t="shared" si="0"/>
        <v>17</v>
      </c>
    </row>
    <row r="31" spans="1:12" x14ac:dyDescent="0.2">
      <c r="A31" s="68">
        <f t="shared" si="0"/>
        <v>18</v>
      </c>
      <c r="D31" s="23"/>
      <c r="F31" s="23"/>
      <c r="H31" s="23"/>
    </row>
    <row r="32" spans="1:12" x14ac:dyDescent="0.2">
      <c r="A32" s="68">
        <f t="shared" si="0"/>
        <v>19</v>
      </c>
      <c r="B32" s="19" t="s">
        <v>218</v>
      </c>
      <c r="C32" s="5">
        <f>ROUND('CFIT Schedules'!C292,0)</f>
        <v>-978683</v>
      </c>
      <c r="D32" s="5">
        <f>ROUND('CFIT Schedules'!D292,0)</f>
        <v>344280</v>
      </c>
      <c r="E32" s="5">
        <f>+C32-D32</f>
        <v>-1322963</v>
      </c>
      <c r="F32" s="5">
        <f>ROUND('CFIT Schedules'!F292,0)</f>
        <v>0</v>
      </c>
      <c r="G32" s="5">
        <f>+E32+F32</f>
        <v>-1322963</v>
      </c>
      <c r="H32" s="5">
        <f>ROUND('CFIT Schedules'!H292,0)</f>
        <v>0</v>
      </c>
      <c r="I32" s="5">
        <f>+G32+H32</f>
        <v>-1322963</v>
      </c>
      <c r="J32" s="5"/>
      <c r="K32" s="5">
        <f>ROUND('CFIT Schedules'!K292,0)</f>
        <v>-1966982</v>
      </c>
      <c r="L32" s="5"/>
    </row>
    <row r="33" spans="1:12" x14ac:dyDescent="0.2">
      <c r="A33" s="68">
        <f t="shared" si="0"/>
        <v>20</v>
      </c>
      <c r="B33" s="19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68">
        <f t="shared" si="0"/>
        <v>21</v>
      </c>
      <c r="B34" s="19" t="s">
        <v>219</v>
      </c>
      <c r="C34" s="5">
        <f>'DFIT-Per Books as Adjusted'!C275</f>
        <v>460940.0000000007</v>
      </c>
      <c r="D34" s="5">
        <f>'DFIT-Per Books as Adjusted'!D275</f>
        <v>-1053328</v>
      </c>
      <c r="E34" s="5">
        <f>+C34-D34</f>
        <v>1514268.0000000007</v>
      </c>
      <c r="F34" s="5">
        <f>'DFIT-Per Books as Adjusted'!F275</f>
        <v>0</v>
      </c>
      <c r="G34" s="5">
        <f>+E34+F34</f>
        <v>1514268.0000000007</v>
      </c>
      <c r="H34" s="5">
        <f>'DFIT-Per Books as Adjusted'!H275</f>
        <v>0</v>
      </c>
      <c r="I34" s="5">
        <f>+G34+H34</f>
        <v>1514268.0000000007</v>
      </c>
      <c r="J34" s="5"/>
      <c r="K34" s="5">
        <f>'DFIT-Per Books as Adjusted'!K275</f>
        <v>2384575</v>
      </c>
      <c r="L34" s="5"/>
    </row>
    <row r="35" spans="1:12" x14ac:dyDescent="0.2">
      <c r="A35" s="68">
        <f t="shared" si="0"/>
        <v>22</v>
      </c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68">
        <f t="shared" si="0"/>
        <v>23</v>
      </c>
      <c r="B36" s="19" t="s">
        <v>220</v>
      </c>
      <c r="C36" s="5">
        <f>ROUND('DFIT-Per Books as Adjusted'!C286,0)</f>
        <v>-61</v>
      </c>
      <c r="D36" s="5">
        <f>ROUND('DFIT-Per Books as Adjusted'!D286,0)</f>
        <v>0</v>
      </c>
      <c r="E36" s="5">
        <f>+C36-D36</f>
        <v>-61</v>
      </c>
      <c r="F36" s="5">
        <f>ROUND('DFIT-Per Books as Adjusted'!F286,0)</f>
        <v>0</v>
      </c>
      <c r="G36" s="5">
        <f>+E36+F36</f>
        <v>-61</v>
      </c>
      <c r="H36" s="5">
        <f>ROUND('DFIT-Per Books as Adjusted'!H286,0)</f>
        <v>0</v>
      </c>
      <c r="I36" s="5">
        <f>+G36+H36</f>
        <v>-61</v>
      </c>
      <c r="J36" s="5"/>
      <c r="K36" s="5">
        <f>ROUND('DFIT-Per Books as Adjusted'!K286,0)</f>
        <v>-60</v>
      </c>
      <c r="L36" s="5"/>
    </row>
    <row r="37" spans="1:12" x14ac:dyDescent="0.2">
      <c r="A37" s="68">
        <f t="shared" si="0"/>
        <v>24</v>
      </c>
      <c r="B37" s="19"/>
    </row>
    <row r="38" spans="1:12" ht="13.5" thickBot="1" x14ac:dyDescent="0.25">
      <c r="A38" s="68">
        <f t="shared" si="0"/>
        <v>25</v>
      </c>
      <c r="B38" s="19" t="s">
        <v>221</v>
      </c>
      <c r="C38" s="30">
        <f t="shared" ref="C38:H38" si="5">SUM(C32:C37)</f>
        <v>-517803.9999999993</v>
      </c>
      <c r="D38" s="30">
        <f t="shared" si="5"/>
        <v>-709048</v>
      </c>
      <c r="E38" s="30">
        <f t="shared" si="5"/>
        <v>191244.0000000007</v>
      </c>
      <c r="F38" s="67">
        <f t="shared" si="5"/>
        <v>0</v>
      </c>
      <c r="G38" s="30">
        <f t="shared" si="5"/>
        <v>191244.0000000007</v>
      </c>
      <c r="H38" s="30">
        <f t="shared" si="5"/>
        <v>0</v>
      </c>
      <c r="I38" s="30">
        <f>SUM(I32:I37)</f>
        <v>191244.0000000007</v>
      </c>
      <c r="K38" s="30">
        <f>SUM(K32:K37)</f>
        <v>417533</v>
      </c>
    </row>
    <row r="39" spans="1:12" ht="13.5" thickTop="1" x14ac:dyDescent="0.2">
      <c r="A39" s="68">
        <f t="shared" si="0"/>
        <v>26</v>
      </c>
      <c r="D39" s="23"/>
      <c r="F39" s="23"/>
      <c r="H39" s="23"/>
    </row>
    <row r="40" spans="1:12" x14ac:dyDescent="0.2">
      <c r="A40" s="68">
        <f t="shared" si="0"/>
        <v>27</v>
      </c>
      <c r="D40" s="23"/>
      <c r="F40" s="23"/>
      <c r="H40" s="23"/>
    </row>
    <row r="41" spans="1:12" x14ac:dyDescent="0.2">
      <c r="A41" s="68">
        <f t="shared" si="0"/>
        <v>28</v>
      </c>
      <c r="C41" s="23"/>
      <c r="D41" s="23"/>
      <c r="F41" s="23"/>
      <c r="H41" s="23"/>
    </row>
    <row r="42" spans="1:12" ht="13.5" thickBot="1" x14ac:dyDescent="0.25">
      <c r="A42" s="68">
        <f t="shared" si="0"/>
        <v>29</v>
      </c>
      <c r="B42" s="19" t="s">
        <v>318</v>
      </c>
      <c r="C42" s="28">
        <f t="shared" ref="C42:I42" si="6">C28+C38</f>
        <v>21238.850000000326</v>
      </c>
      <c r="D42" s="28">
        <f t="shared" si="6"/>
        <v>-1404992.35</v>
      </c>
      <c r="E42" s="28">
        <f t="shared" si="6"/>
        <v>2174427.8200000003</v>
      </c>
      <c r="F42" s="28">
        <f t="shared" si="6"/>
        <v>0</v>
      </c>
      <c r="G42" s="28">
        <f t="shared" si="6"/>
        <v>2174427.8200000003</v>
      </c>
      <c r="H42" s="28">
        <f t="shared" si="6"/>
        <v>0</v>
      </c>
      <c r="I42" s="28">
        <f t="shared" si="6"/>
        <v>2174427.8200000003</v>
      </c>
      <c r="K42" s="28">
        <f>K28+K38</f>
        <v>-1024312</v>
      </c>
    </row>
    <row r="43" spans="1:12" ht="13.5" thickTop="1" x14ac:dyDescent="0.2">
      <c r="A43" s="66"/>
      <c r="D43" s="23"/>
      <c r="F43" s="23"/>
      <c r="H43" s="23"/>
    </row>
    <row r="44" spans="1:12" x14ac:dyDescent="0.2">
      <c r="A44" s="66"/>
      <c r="C44" s="151"/>
      <c r="D44" s="23"/>
      <c r="F44" s="23"/>
      <c r="H44" s="23"/>
    </row>
    <row r="46" spans="1:12" x14ac:dyDescent="0.2">
      <c r="C46" s="152"/>
    </row>
  </sheetData>
  <mergeCells count="5">
    <mergeCell ref="A5:J5"/>
    <mergeCell ref="A1:J1"/>
    <mergeCell ref="A2:J2"/>
    <mergeCell ref="A3:J3"/>
    <mergeCell ref="A4:J4"/>
  </mergeCells>
  <phoneticPr fontId="3" type="noConversion"/>
  <pageMargins left="0.25" right="0.25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20" sqref="C20"/>
    </sheetView>
  </sheetViews>
  <sheetFormatPr defaultRowHeight="12.75" x14ac:dyDescent="0.2"/>
  <cols>
    <col min="1" max="1" width="49.42578125" bestFit="1" customWidth="1"/>
    <col min="2" max="2" width="5" customWidth="1"/>
    <col min="3" max="3" width="13.85546875" bestFit="1" customWidth="1"/>
    <col min="4" max="4" width="14.85546875" bestFit="1" customWidth="1"/>
  </cols>
  <sheetData>
    <row r="1" spans="1:11" x14ac:dyDescent="0.2">
      <c r="A1" s="167" t="s">
        <v>285</v>
      </c>
      <c r="B1" s="167"/>
      <c r="C1" s="167"/>
      <c r="D1" s="167"/>
      <c r="E1" s="162"/>
      <c r="F1" s="163"/>
      <c r="G1" s="163"/>
      <c r="H1" s="163"/>
      <c r="I1" s="163"/>
      <c r="J1" s="163"/>
      <c r="K1" s="163"/>
    </row>
    <row r="2" spans="1:11" x14ac:dyDescent="0.2">
      <c r="A2" s="167" t="s">
        <v>116</v>
      </c>
      <c r="B2" s="167"/>
      <c r="C2" s="167"/>
      <c r="D2" s="167"/>
      <c r="E2" s="162"/>
      <c r="F2" s="163"/>
      <c r="G2" s="163"/>
      <c r="H2" s="163"/>
      <c r="I2" s="163"/>
      <c r="J2" s="163"/>
      <c r="K2" s="163"/>
    </row>
    <row r="3" spans="1:11" x14ac:dyDescent="0.2">
      <c r="A3" s="167" t="s">
        <v>404</v>
      </c>
      <c r="B3" s="167"/>
      <c r="C3" s="167"/>
      <c r="D3" s="167"/>
      <c r="E3" s="162"/>
      <c r="F3" s="163"/>
      <c r="G3" s="163"/>
      <c r="H3" s="163"/>
      <c r="I3" s="163"/>
      <c r="J3" s="163"/>
      <c r="K3" s="163"/>
    </row>
    <row r="4" spans="1:11" x14ac:dyDescent="0.2">
      <c r="A4" s="167" t="str">
        <f>Summary!A4</f>
        <v>Twelve Months Ended December 31, 2019</v>
      </c>
      <c r="B4" s="167"/>
      <c r="C4" s="167"/>
      <c r="D4" s="167"/>
      <c r="E4" s="162"/>
      <c r="F4" s="163"/>
      <c r="G4" s="163"/>
      <c r="H4" s="163"/>
      <c r="I4" s="163"/>
      <c r="J4" s="163"/>
      <c r="K4" s="163"/>
    </row>
    <row r="6" spans="1:11" x14ac:dyDescent="0.2">
      <c r="C6" s="168" t="s">
        <v>114</v>
      </c>
      <c r="D6" s="168"/>
    </row>
    <row r="7" spans="1:11" x14ac:dyDescent="0.2">
      <c r="C7" s="168" t="s">
        <v>115</v>
      </c>
      <c r="D7" s="168"/>
    </row>
    <row r="8" spans="1:11" x14ac:dyDescent="0.2">
      <c r="C8" s="166" t="s">
        <v>402</v>
      </c>
      <c r="D8" s="166"/>
    </row>
    <row r="9" spans="1:11" x14ac:dyDescent="0.2">
      <c r="D9" s="6"/>
    </row>
    <row r="10" spans="1:11" x14ac:dyDescent="0.2">
      <c r="A10" s="156" t="s">
        <v>405</v>
      </c>
      <c r="D10" s="153">
        <v>156505844</v>
      </c>
    </row>
    <row r="13" spans="1:11" x14ac:dyDescent="0.2">
      <c r="A13" s="75" t="s">
        <v>406</v>
      </c>
      <c r="B13" s="75"/>
      <c r="C13" s="153">
        <f>'CFIT Schedules'!C17</f>
        <v>53320986.090000004</v>
      </c>
    </row>
    <row r="14" spans="1:11" x14ac:dyDescent="0.2">
      <c r="A14" s="75"/>
      <c r="B14" s="75"/>
      <c r="C14" s="153"/>
    </row>
    <row r="15" spans="1:11" x14ac:dyDescent="0.2">
      <c r="A15" s="75" t="s">
        <v>411</v>
      </c>
      <c r="B15" s="75"/>
      <c r="C15" s="153"/>
    </row>
    <row r="16" spans="1:11" x14ac:dyDescent="0.2">
      <c r="A16" s="158" t="s">
        <v>315</v>
      </c>
      <c r="C16" s="154">
        <f>'CFIT Schedules'!C18</f>
        <v>1739951.4699999997</v>
      </c>
    </row>
    <row r="17" spans="1:4" x14ac:dyDescent="0.2">
      <c r="A17" s="158" t="s">
        <v>316</v>
      </c>
      <c r="C17" s="157">
        <f>'SIT Schedules'!C135</f>
        <v>-1200908.6200000001</v>
      </c>
    </row>
    <row r="18" spans="1:4" x14ac:dyDescent="0.2">
      <c r="A18" s="158" t="s">
        <v>218</v>
      </c>
      <c r="C18" s="157">
        <f>'CFIT Schedules'!C292</f>
        <v>-978683</v>
      </c>
    </row>
    <row r="19" spans="1:4" x14ac:dyDescent="0.2">
      <c r="A19" s="158" t="s">
        <v>219</v>
      </c>
      <c r="C19" s="157">
        <f>'DFIT-Per Books as Adjusted'!C275</f>
        <v>460940.0000000007</v>
      </c>
    </row>
    <row r="20" spans="1:4" x14ac:dyDescent="0.2">
      <c r="A20" s="158" t="s">
        <v>220</v>
      </c>
      <c r="C20" s="157">
        <f>'DFIT-Per Books as Adjusted'!C286</f>
        <v>-60.58</v>
      </c>
    </row>
    <row r="21" spans="1:4" x14ac:dyDescent="0.2">
      <c r="C21" s="157"/>
    </row>
    <row r="22" spans="1:4" x14ac:dyDescent="0.2">
      <c r="A22" t="s">
        <v>318</v>
      </c>
      <c r="C22" s="155">
        <f>SUM(C16:C20)</f>
        <v>21239.270000000324</v>
      </c>
    </row>
    <row r="24" spans="1:4" x14ac:dyDescent="0.2">
      <c r="A24" t="s">
        <v>407</v>
      </c>
      <c r="D24" s="5">
        <f>C13-C22</f>
        <v>53299746.82</v>
      </c>
    </row>
    <row r="26" spans="1:4" x14ac:dyDescent="0.2">
      <c r="A26" t="s">
        <v>408</v>
      </c>
      <c r="D26" s="159">
        <v>-5000000</v>
      </c>
    </row>
    <row r="28" spans="1:4" x14ac:dyDescent="0.2">
      <c r="A28" t="s">
        <v>409</v>
      </c>
      <c r="D28" s="160">
        <v>-8</v>
      </c>
    </row>
    <row r="30" spans="1:4" ht="13.5" thickBot="1" x14ac:dyDescent="0.25">
      <c r="A30" s="156" t="s">
        <v>410</v>
      </c>
      <c r="D30" s="161">
        <f>D10+D24+D26+D28</f>
        <v>204805582.81999999</v>
      </c>
    </row>
    <row r="31" spans="1:4" ht="13.5" thickTop="1" x14ac:dyDescent="0.2"/>
  </sheetData>
  <mergeCells count="7">
    <mergeCell ref="C8:D8"/>
    <mergeCell ref="A1:D1"/>
    <mergeCell ref="A2:D2"/>
    <mergeCell ref="A3:D3"/>
    <mergeCell ref="A4:D4"/>
    <mergeCell ref="C6:D6"/>
    <mergeCell ref="C7:D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zoomScaleNormal="100" workbookViewId="0">
      <selection activeCell="B17" sqref="B17"/>
    </sheetView>
  </sheetViews>
  <sheetFormatPr defaultColWidth="9.140625" defaultRowHeight="12.75" x14ac:dyDescent="0.2"/>
  <cols>
    <col min="1" max="1" width="9.140625" style="17"/>
    <col min="2" max="2" width="60.7109375" style="17" customWidth="1"/>
    <col min="3" max="12" width="15.7109375" style="17" customWidth="1"/>
    <col min="13" max="16384" width="9.140625" style="17"/>
  </cols>
  <sheetData>
    <row r="1" spans="1:12" x14ac:dyDescent="0.2">
      <c r="A1" s="167" t="s">
        <v>285</v>
      </c>
      <c r="B1" s="168"/>
      <c r="C1" s="168"/>
      <c r="D1" s="168"/>
      <c r="E1" s="168"/>
      <c r="F1" s="168"/>
      <c r="G1" s="168"/>
      <c r="H1" s="168"/>
      <c r="I1" s="168"/>
      <c r="J1" s="168"/>
      <c r="L1" s="38"/>
    </row>
    <row r="2" spans="1:12" x14ac:dyDescent="0.2">
      <c r="A2" s="167" t="s">
        <v>116</v>
      </c>
      <c r="B2" s="168"/>
      <c r="C2" s="168"/>
      <c r="D2" s="168"/>
      <c r="E2" s="168"/>
      <c r="F2" s="168"/>
      <c r="G2" s="168"/>
      <c r="H2" s="168"/>
      <c r="I2" s="168"/>
      <c r="J2" s="168"/>
      <c r="L2" s="145"/>
    </row>
    <row r="3" spans="1:12" x14ac:dyDescent="0.2">
      <c r="A3" s="167" t="s">
        <v>117</v>
      </c>
      <c r="B3" s="168"/>
      <c r="C3" s="168"/>
      <c r="D3" s="168"/>
      <c r="E3" s="168"/>
      <c r="F3" s="168"/>
      <c r="G3" s="168"/>
      <c r="H3" s="168"/>
      <c r="I3" s="168"/>
      <c r="J3" s="168"/>
      <c r="L3" s="145"/>
    </row>
    <row r="4" spans="1:12" x14ac:dyDescent="0.2">
      <c r="A4" s="167" t="str">
        <f>Summary!A4</f>
        <v>Twelve Months Ended December 31, 2019</v>
      </c>
      <c r="B4" s="168"/>
      <c r="C4" s="168"/>
      <c r="D4" s="168"/>
      <c r="E4" s="168"/>
      <c r="F4" s="168"/>
      <c r="G4" s="168"/>
      <c r="H4" s="168"/>
      <c r="I4" s="168"/>
      <c r="J4" s="168"/>
      <c r="L4" s="145"/>
    </row>
    <row r="5" spans="1:12" x14ac:dyDescent="0.2">
      <c r="L5" s="145"/>
    </row>
    <row r="8" spans="1:12" x14ac:dyDescent="0.2">
      <c r="C8" s="73" t="s">
        <v>131</v>
      </c>
      <c r="D8" s="73" t="s">
        <v>132</v>
      </c>
      <c r="E8" s="73" t="s">
        <v>133</v>
      </c>
      <c r="F8" s="73" t="s">
        <v>134</v>
      </c>
      <c r="G8" s="73" t="s">
        <v>135</v>
      </c>
      <c r="H8" s="73" t="s">
        <v>136</v>
      </c>
      <c r="I8" s="73" t="s">
        <v>137</v>
      </c>
      <c r="J8" s="73" t="s">
        <v>138</v>
      </c>
      <c r="K8" s="73" t="s">
        <v>139</v>
      </c>
      <c r="L8" s="73" t="s">
        <v>145</v>
      </c>
    </row>
    <row r="9" spans="1:12" x14ac:dyDescent="0.2">
      <c r="E9" s="18" t="s">
        <v>114</v>
      </c>
      <c r="G9" s="18" t="s">
        <v>114</v>
      </c>
      <c r="I9" s="18" t="s">
        <v>212</v>
      </c>
    </row>
    <row r="10" spans="1:12" x14ac:dyDescent="0.2">
      <c r="C10" s="18" t="s">
        <v>114</v>
      </c>
      <c r="D10" s="18" t="s">
        <v>124</v>
      </c>
      <c r="E10" s="18" t="s">
        <v>122</v>
      </c>
      <c r="G10" s="18" t="s">
        <v>122</v>
      </c>
      <c r="H10" s="18"/>
      <c r="I10" s="18" t="s">
        <v>303</v>
      </c>
      <c r="J10" s="18" t="s">
        <v>293</v>
      </c>
      <c r="K10" s="18" t="s">
        <v>293</v>
      </c>
    </row>
    <row r="11" spans="1:12" x14ac:dyDescent="0.2">
      <c r="C11" s="18" t="s">
        <v>115</v>
      </c>
      <c r="D11" s="18" t="s">
        <v>125</v>
      </c>
      <c r="E11" s="18" t="s">
        <v>304</v>
      </c>
      <c r="F11" s="18" t="s">
        <v>306</v>
      </c>
      <c r="G11" s="18" t="s">
        <v>302</v>
      </c>
      <c r="H11" s="18" t="s">
        <v>129</v>
      </c>
      <c r="I11" s="18" t="s">
        <v>130</v>
      </c>
      <c r="J11" s="18" t="s">
        <v>140</v>
      </c>
      <c r="K11" s="18" t="s">
        <v>142</v>
      </c>
      <c r="L11" s="18" t="s">
        <v>140</v>
      </c>
    </row>
    <row r="12" spans="1:12" x14ac:dyDescent="0.2">
      <c r="A12" s="74" t="s">
        <v>119</v>
      </c>
      <c r="B12" s="74" t="s">
        <v>276</v>
      </c>
      <c r="C12" s="74" t="str">
        <f>Summary!C13</f>
        <v>12 Mo. 12/31/19</v>
      </c>
      <c r="D12" s="74" t="s">
        <v>126</v>
      </c>
      <c r="E12" s="74" t="s">
        <v>130</v>
      </c>
      <c r="F12" s="74" t="s">
        <v>130</v>
      </c>
      <c r="G12" s="74" t="s">
        <v>130</v>
      </c>
      <c r="H12" s="74" t="s">
        <v>130</v>
      </c>
      <c r="I12" s="74" t="str">
        <f>C12</f>
        <v>12 Mo. 12/31/19</v>
      </c>
      <c r="J12" s="74" t="s">
        <v>141</v>
      </c>
      <c r="K12" s="74" t="s">
        <v>143</v>
      </c>
      <c r="L12" s="74" t="s">
        <v>144</v>
      </c>
    </row>
    <row r="13" spans="1:12" x14ac:dyDescent="0.2">
      <c r="A13" s="18">
        <v>1</v>
      </c>
      <c r="B13" s="75" t="s">
        <v>209</v>
      </c>
      <c r="C13" s="125">
        <v>98820596</v>
      </c>
      <c r="D13" s="54">
        <v>3737987.83</v>
      </c>
      <c r="E13" s="54">
        <f>+C13-D13</f>
        <v>95082608.170000002</v>
      </c>
      <c r="F13" s="54">
        <v>0</v>
      </c>
      <c r="G13" s="27">
        <f>+E13+F13</f>
        <v>95082608.170000002</v>
      </c>
      <c r="H13" s="27">
        <v>0</v>
      </c>
      <c r="I13" s="27">
        <f>+G13+H13</f>
        <v>95082608.170000002</v>
      </c>
      <c r="J13" s="6" t="s">
        <v>146</v>
      </c>
      <c r="K13" s="76">
        <v>86914999</v>
      </c>
      <c r="L13" s="18" t="s">
        <v>146</v>
      </c>
    </row>
    <row r="14" spans="1:12" x14ac:dyDescent="0.2">
      <c r="A14" s="18">
        <f>+A13+1</f>
        <v>2</v>
      </c>
      <c r="B14" s="17" t="s">
        <v>120</v>
      </c>
      <c r="C14" s="54">
        <f>38423875.91+2266337.75</f>
        <v>40690213.659999996</v>
      </c>
      <c r="D14" s="54">
        <v>0</v>
      </c>
      <c r="E14" s="54">
        <f>+C14-D14</f>
        <v>40690213.659999996</v>
      </c>
      <c r="F14" s="54">
        <v>0</v>
      </c>
      <c r="G14" s="54">
        <f>+E14-F14</f>
        <v>40690213.659999996</v>
      </c>
      <c r="H14" s="54">
        <v>0</v>
      </c>
      <c r="I14" s="54">
        <f>+G14+H14</f>
        <v>40690213.659999996</v>
      </c>
      <c r="J14" s="51">
        <f>VLOOKUP(L14,$C$308:$D$322,2,FALSE)</f>
        <v>0.98499999999999999</v>
      </c>
      <c r="K14" s="27">
        <f>IF(I14*J14=0,0, ROUND(I14*J14,0))</f>
        <v>40079860</v>
      </c>
      <c r="L14" s="18" t="s">
        <v>225</v>
      </c>
    </row>
    <row r="15" spans="1:12" x14ac:dyDescent="0.2">
      <c r="A15" s="18">
        <f t="shared" ref="A15:A83" si="0">+A14+1</f>
        <v>3</v>
      </c>
      <c r="B15" s="17" t="s">
        <v>319</v>
      </c>
      <c r="C15" s="54">
        <v>2266337.75</v>
      </c>
      <c r="D15" s="54">
        <v>0</v>
      </c>
      <c r="E15" s="54">
        <f>+C15-D15</f>
        <v>2266337.75</v>
      </c>
      <c r="F15" s="54">
        <v>0</v>
      </c>
      <c r="G15" s="54">
        <f>+E15-F15</f>
        <v>2266337.75</v>
      </c>
      <c r="H15" s="54">
        <v>0</v>
      </c>
      <c r="I15" s="54">
        <f>+G15+H15</f>
        <v>2266337.75</v>
      </c>
      <c r="J15" s="51">
        <f>VLOOKUP(L15,$C$308:$D$322,2,FALSE)</f>
        <v>0.98499999999999999</v>
      </c>
      <c r="K15" s="27">
        <f>IF(I15*J15=0,0, ROUND(I15*J15,0))</f>
        <v>2232343</v>
      </c>
      <c r="L15" s="18" t="s">
        <v>225</v>
      </c>
    </row>
    <row r="16" spans="1:12" x14ac:dyDescent="0.2">
      <c r="A16" s="18">
        <f t="shared" si="0"/>
        <v>4</v>
      </c>
      <c r="B16" s="17" t="s">
        <v>282</v>
      </c>
      <c r="C16" s="46">
        <f>1419260-8475939-19055</f>
        <v>-7075734</v>
      </c>
      <c r="D16" s="46">
        <f>C16</f>
        <v>-7075734</v>
      </c>
      <c r="E16" s="26">
        <f>+C16-D16</f>
        <v>0</v>
      </c>
      <c r="F16" s="46">
        <v>0</v>
      </c>
      <c r="G16" s="26">
        <f>+E16+F16</f>
        <v>0</v>
      </c>
      <c r="H16" s="26">
        <v>0</v>
      </c>
      <c r="I16" s="26">
        <f>+G16+H16</f>
        <v>0</v>
      </c>
      <c r="J16" s="6" t="s">
        <v>148</v>
      </c>
      <c r="K16" s="77">
        <v>0</v>
      </c>
      <c r="L16" s="6" t="s">
        <v>148</v>
      </c>
    </row>
    <row r="17" spans="1:12" x14ac:dyDescent="0.2">
      <c r="A17" s="18">
        <f t="shared" si="0"/>
        <v>5</v>
      </c>
      <c r="B17" s="75" t="s">
        <v>213</v>
      </c>
      <c r="C17" s="54">
        <f t="shared" ref="C17:I17" si="1">C13-C14+C15+C16</f>
        <v>53320986.090000004</v>
      </c>
      <c r="D17" s="54">
        <f t="shared" si="1"/>
        <v>-3337746.17</v>
      </c>
      <c r="E17" s="54">
        <f t="shared" si="1"/>
        <v>56658732.260000005</v>
      </c>
      <c r="F17" s="54">
        <f t="shared" si="1"/>
        <v>0</v>
      </c>
      <c r="G17" s="54">
        <f t="shared" si="1"/>
        <v>56658732.260000005</v>
      </c>
      <c r="H17" s="54">
        <f t="shared" si="1"/>
        <v>0</v>
      </c>
      <c r="I17" s="54">
        <f t="shared" si="1"/>
        <v>56658732.260000005</v>
      </c>
      <c r="J17" s="6"/>
      <c r="K17" s="54">
        <f>K13-K14+K15+K16</f>
        <v>49067482</v>
      </c>
      <c r="L17" s="6"/>
    </row>
    <row r="18" spans="1:12" x14ac:dyDescent="0.2">
      <c r="A18" s="18">
        <f t="shared" si="0"/>
        <v>6</v>
      </c>
      <c r="B18" s="56" t="s">
        <v>273</v>
      </c>
      <c r="C18" s="46">
        <f>'SIT Schedules'!C132</f>
        <v>1739951.4699999997</v>
      </c>
      <c r="D18" s="46">
        <f>'SIT Schedules'!D132</f>
        <v>-695944.35</v>
      </c>
      <c r="E18" s="46">
        <f>+C18-D18</f>
        <v>2435895.8199999998</v>
      </c>
      <c r="F18" s="46">
        <f>'SIT Schedules'!F132</f>
        <v>0</v>
      </c>
      <c r="G18" s="27">
        <f>+E18+F18</f>
        <v>2435895.8199999998</v>
      </c>
      <c r="H18" s="46">
        <f>'SIT Schedules'!H132</f>
        <v>0</v>
      </c>
      <c r="I18" s="26">
        <f>+G18+H18</f>
        <v>2435895.8199999998</v>
      </c>
      <c r="J18" s="6" t="s">
        <v>227</v>
      </c>
      <c r="K18" s="46">
        <f>'SIT Schedules'!K132</f>
        <v>-995924</v>
      </c>
      <c r="L18" s="6" t="s">
        <v>210</v>
      </c>
    </row>
    <row r="19" spans="1:12" x14ac:dyDescent="0.2">
      <c r="A19" s="18">
        <f t="shared" si="0"/>
        <v>7</v>
      </c>
      <c r="B19" s="75" t="s">
        <v>211</v>
      </c>
      <c r="C19" s="78">
        <f t="shared" ref="C19:I19" si="2">C17-C18</f>
        <v>51581034.620000005</v>
      </c>
      <c r="D19" s="78">
        <f t="shared" si="2"/>
        <v>-2641801.8199999998</v>
      </c>
      <c r="E19" s="78">
        <f t="shared" si="2"/>
        <v>54222836.440000005</v>
      </c>
      <c r="F19" s="78">
        <f t="shared" si="2"/>
        <v>0</v>
      </c>
      <c r="G19" s="78">
        <f t="shared" si="2"/>
        <v>54222836.440000005</v>
      </c>
      <c r="H19" s="78">
        <f t="shared" si="2"/>
        <v>0</v>
      </c>
      <c r="I19" s="78">
        <f t="shared" si="2"/>
        <v>54222836.440000005</v>
      </c>
      <c r="J19" s="79"/>
      <c r="K19" s="80">
        <f>K17-K18</f>
        <v>50063406</v>
      </c>
      <c r="L19" s="38"/>
    </row>
    <row r="20" spans="1:12" x14ac:dyDescent="0.2">
      <c r="A20" s="18">
        <f t="shared" si="0"/>
        <v>8</v>
      </c>
      <c r="C20" s="54"/>
      <c r="D20" s="36"/>
      <c r="K20" s="76"/>
    </row>
    <row r="21" spans="1:12" x14ac:dyDescent="0.2">
      <c r="A21" s="18">
        <f t="shared" si="0"/>
        <v>9</v>
      </c>
      <c r="B21" s="75" t="s">
        <v>1</v>
      </c>
      <c r="C21" s="54"/>
      <c r="K21" s="76"/>
    </row>
    <row r="22" spans="1:12" x14ac:dyDescent="0.2">
      <c r="A22" s="18">
        <f t="shared" si="0"/>
        <v>10</v>
      </c>
      <c r="B22" s="17" t="s">
        <v>2</v>
      </c>
      <c r="C22" s="54">
        <v>0</v>
      </c>
      <c r="D22" s="54">
        <v>0</v>
      </c>
      <c r="E22" s="54">
        <f t="shared" ref="E22:E41" si="3">+C22-D22</f>
        <v>0</v>
      </c>
      <c r="F22" s="54">
        <v>0</v>
      </c>
      <c r="G22" s="27">
        <f t="shared" ref="G22:G41" si="4">+E22+F22</f>
        <v>0</v>
      </c>
      <c r="H22" s="54">
        <v>0</v>
      </c>
      <c r="I22" s="27">
        <f>+G22+H22</f>
        <v>0</v>
      </c>
      <c r="J22" s="51">
        <f t="shared" ref="J22:J41" si="5">VLOOKUP(L22,$C$308:$D$322,2,FALSE)</f>
        <v>0.98499999999999999</v>
      </c>
      <c r="K22" s="27">
        <f>IF(I22*J22=0,0, ROUND(I22*J22,0))</f>
        <v>0</v>
      </c>
      <c r="L22" s="18" t="s">
        <v>225</v>
      </c>
    </row>
    <row r="23" spans="1:12" x14ac:dyDescent="0.2">
      <c r="A23" s="18">
        <f t="shared" si="0"/>
        <v>11</v>
      </c>
      <c r="B23" s="17" t="s">
        <v>170</v>
      </c>
      <c r="C23" s="54">
        <v>0</v>
      </c>
      <c r="D23" s="54">
        <v>0</v>
      </c>
      <c r="E23" s="54">
        <f>+C23-D23</f>
        <v>0</v>
      </c>
      <c r="F23" s="54">
        <v>0</v>
      </c>
      <c r="G23" s="27">
        <f t="shared" si="4"/>
        <v>0</v>
      </c>
      <c r="H23" s="54">
        <v>0</v>
      </c>
      <c r="I23" s="27">
        <f>+G23+H23</f>
        <v>0</v>
      </c>
      <c r="J23" s="51">
        <f t="shared" si="5"/>
        <v>0.98499999999999999</v>
      </c>
      <c r="K23" s="27">
        <f>IF(I23*J23=0,0, ROUND(I23*J23,0))</f>
        <v>0</v>
      </c>
      <c r="L23" s="18" t="s">
        <v>225</v>
      </c>
    </row>
    <row r="24" spans="1:12" x14ac:dyDescent="0.2">
      <c r="A24" s="18">
        <f t="shared" si="0"/>
        <v>12</v>
      </c>
      <c r="B24" s="17" t="s">
        <v>3</v>
      </c>
      <c r="C24" s="54">
        <v>509504</v>
      </c>
      <c r="D24" s="54">
        <v>0</v>
      </c>
      <c r="E24" s="54">
        <f t="shared" si="3"/>
        <v>509504</v>
      </c>
      <c r="F24" s="54">
        <v>0</v>
      </c>
      <c r="G24" s="27">
        <f t="shared" si="4"/>
        <v>509504</v>
      </c>
      <c r="H24" s="54">
        <v>0</v>
      </c>
      <c r="I24" s="27">
        <f t="shared" ref="I24:I41" si="6">+G24+H24</f>
        <v>509504</v>
      </c>
      <c r="J24" s="51">
        <f t="shared" si="5"/>
        <v>0.98499999999999999</v>
      </c>
      <c r="K24" s="27">
        <f t="shared" ref="K24:K41" si="7">IF(I24*J24=0,0, ROUND(I24*J24,0))</f>
        <v>501861</v>
      </c>
      <c r="L24" s="18" t="s">
        <v>225</v>
      </c>
    </row>
    <row r="25" spans="1:12" x14ac:dyDescent="0.2">
      <c r="A25" s="18">
        <f t="shared" si="0"/>
        <v>13</v>
      </c>
      <c r="B25" s="17" t="s">
        <v>171</v>
      </c>
      <c r="C25" s="54">
        <v>0</v>
      </c>
      <c r="D25" s="54">
        <v>0</v>
      </c>
      <c r="E25" s="54">
        <f>+C25-D25</f>
        <v>0</v>
      </c>
      <c r="F25" s="54">
        <v>0</v>
      </c>
      <c r="G25" s="27">
        <f t="shared" si="4"/>
        <v>0</v>
      </c>
      <c r="H25" s="54">
        <v>0</v>
      </c>
      <c r="I25" s="27">
        <f>+G25+H25</f>
        <v>0</v>
      </c>
      <c r="J25" s="51">
        <f t="shared" si="5"/>
        <v>0.98499999999999999</v>
      </c>
      <c r="K25" s="27">
        <f>IF(I25*J25=0,0, ROUND(I25*J25,0))</f>
        <v>0</v>
      </c>
      <c r="L25" s="18" t="s">
        <v>225</v>
      </c>
    </row>
    <row r="26" spans="1:12" x14ac:dyDescent="0.2">
      <c r="A26" s="144">
        <f t="shared" si="0"/>
        <v>14</v>
      </c>
      <c r="B26" s="121" t="s">
        <v>363</v>
      </c>
      <c r="C26" s="54">
        <v>1956540</v>
      </c>
      <c r="D26" s="54">
        <v>0</v>
      </c>
      <c r="E26" s="54">
        <f>+C26-D26</f>
        <v>1956540</v>
      </c>
      <c r="F26" s="54">
        <v>0</v>
      </c>
      <c r="G26" s="27">
        <f t="shared" ref="G26" si="8">+E26+F26</f>
        <v>1956540</v>
      </c>
      <c r="H26" s="54">
        <v>0</v>
      </c>
      <c r="I26" s="27">
        <f>+G26+H26</f>
        <v>1956540</v>
      </c>
      <c r="J26" s="51">
        <f t="shared" si="5"/>
        <v>0.98499999999999999</v>
      </c>
      <c r="K26" s="27">
        <f>IF(I26*J26=0,0, ROUND(I26*J26,0))</f>
        <v>1927192</v>
      </c>
      <c r="L26" s="131" t="s">
        <v>225</v>
      </c>
    </row>
    <row r="27" spans="1:12" x14ac:dyDescent="0.2">
      <c r="A27" s="144">
        <f t="shared" si="0"/>
        <v>15</v>
      </c>
      <c r="B27" s="17" t="s">
        <v>4</v>
      </c>
      <c r="C27" s="54">
        <v>0</v>
      </c>
      <c r="D27" s="54">
        <v>0</v>
      </c>
      <c r="E27" s="54">
        <f t="shared" si="3"/>
        <v>0</v>
      </c>
      <c r="F27" s="54">
        <v>0</v>
      </c>
      <c r="G27" s="27">
        <f t="shared" si="4"/>
        <v>0</v>
      </c>
      <c r="H27" s="27">
        <v>0</v>
      </c>
      <c r="I27" s="27">
        <f t="shared" si="6"/>
        <v>0</v>
      </c>
      <c r="J27" s="51">
        <f t="shared" si="5"/>
        <v>0.98499999999999999</v>
      </c>
      <c r="K27" s="27">
        <f t="shared" si="7"/>
        <v>0</v>
      </c>
      <c r="L27" s="18" t="s">
        <v>225</v>
      </c>
    </row>
    <row r="28" spans="1:12" x14ac:dyDescent="0.2">
      <c r="A28" s="144">
        <f t="shared" si="0"/>
        <v>16</v>
      </c>
      <c r="B28" s="17" t="s">
        <v>5</v>
      </c>
      <c r="C28" s="36">
        <v>0</v>
      </c>
      <c r="D28" s="54">
        <v>0</v>
      </c>
      <c r="E28" s="54">
        <f t="shared" si="3"/>
        <v>0</v>
      </c>
      <c r="F28" s="54">
        <v>0</v>
      </c>
      <c r="G28" s="27">
        <f t="shared" si="4"/>
        <v>0</v>
      </c>
      <c r="H28" s="27">
        <v>0</v>
      </c>
      <c r="I28" s="27">
        <f t="shared" si="6"/>
        <v>0</v>
      </c>
      <c r="J28" s="51">
        <f t="shared" si="5"/>
        <v>0.98499999999999999</v>
      </c>
      <c r="K28" s="27">
        <f t="shared" si="7"/>
        <v>0</v>
      </c>
      <c r="L28" s="18" t="s">
        <v>225</v>
      </c>
    </row>
    <row r="29" spans="1:12" x14ac:dyDescent="0.2">
      <c r="A29" s="144">
        <f t="shared" si="0"/>
        <v>17</v>
      </c>
      <c r="B29" s="17" t="s">
        <v>6</v>
      </c>
      <c r="C29" s="54">
        <v>46835.89</v>
      </c>
      <c r="D29" s="54">
        <v>0</v>
      </c>
      <c r="E29" s="54">
        <f t="shared" si="3"/>
        <v>46835.89</v>
      </c>
      <c r="F29" s="54">
        <v>0</v>
      </c>
      <c r="G29" s="27">
        <f t="shared" si="4"/>
        <v>46835.89</v>
      </c>
      <c r="H29" s="54">
        <v>0</v>
      </c>
      <c r="I29" s="27">
        <f t="shared" si="6"/>
        <v>46835.89</v>
      </c>
      <c r="J29" s="51">
        <f t="shared" si="5"/>
        <v>0.98499999999999999</v>
      </c>
      <c r="K29" s="27">
        <f t="shared" si="7"/>
        <v>46133</v>
      </c>
      <c r="L29" s="18" t="s">
        <v>155</v>
      </c>
    </row>
    <row r="30" spans="1:12" x14ac:dyDescent="0.2">
      <c r="A30" s="144">
        <f t="shared" si="0"/>
        <v>18</v>
      </c>
      <c r="B30" s="56" t="s">
        <v>239</v>
      </c>
      <c r="C30" s="54">
        <v>0</v>
      </c>
      <c r="D30" s="54">
        <v>0</v>
      </c>
      <c r="E30" s="54">
        <f>+C30-D30</f>
        <v>0</v>
      </c>
      <c r="F30" s="54">
        <v>0</v>
      </c>
      <c r="G30" s="27">
        <f t="shared" si="4"/>
        <v>0</v>
      </c>
      <c r="H30" s="54">
        <v>0</v>
      </c>
      <c r="I30" s="27">
        <f>+G30+H30</f>
        <v>0</v>
      </c>
      <c r="J30" s="51">
        <f t="shared" si="5"/>
        <v>0.98499999999999999</v>
      </c>
      <c r="K30" s="27">
        <f>IF(I30*J30=0,0, ROUND(I30*J30,0))</f>
        <v>0</v>
      </c>
      <c r="L30" s="18" t="s">
        <v>149</v>
      </c>
    </row>
    <row r="31" spans="1:12" x14ac:dyDescent="0.2">
      <c r="A31" s="144">
        <f t="shared" si="0"/>
        <v>19</v>
      </c>
      <c r="B31" s="56" t="s">
        <v>287</v>
      </c>
      <c r="C31" s="54">
        <v>0</v>
      </c>
      <c r="D31" s="54">
        <v>0</v>
      </c>
      <c r="E31" s="54">
        <f t="shared" si="3"/>
        <v>0</v>
      </c>
      <c r="F31" s="54">
        <v>0</v>
      </c>
      <c r="G31" s="27">
        <f t="shared" si="4"/>
        <v>0</v>
      </c>
      <c r="H31" s="54">
        <v>0</v>
      </c>
      <c r="I31" s="27">
        <f>+G31+H31</f>
        <v>0</v>
      </c>
      <c r="J31" s="51">
        <f t="shared" si="5"/>
        <v>0.98499999999999999</v>
      </c>
      <c r="K31" s="27">
        <f>IF(I31*J31=0,0, ROUND(I31*J31,0))</f>
        <v>0</v>
      </c>
      <c r="L31" s="18" t="s">
        <v>155</v>
      </c>
    </row>
    <row r="32" spans="1:12" x14ac:dyDescent="0.2">
      <c r="A32" s="144">
        <f t="shared" si="0"/>
        <v>20</v>
      </c>
      <c r="B32" s="56" t="s">
        <v>295</v>
      </c>
      <c r="C32" s="54">
        <v>0</v>
      </c>
      <c r="D32" s="54">
        <v>0</v>
      </c>
      <c r="E32" s="54">
        <f>+C32-D32</f>
        <v>0</v>
      </c>
      <c r="F32" s="54">
        <v>0</v>
      </c>
      <c r="G32" s="27">
        <f t="shared" si="4"/>
        <v>0</v>
      </c>
      <c r="H32" s="54">
        <v>0</v>
      </c>
      <c r="I32" s="27">
        <f>+G32+H32</f>
        <v>0</v>
      </c>
      <c r="J32" s="51">
        <f t="shared" si="5"/>
        <v>0.98499999999999999</v>
      </c>
      <c r="K32" s="27">
        <f>IF(I32*J32=0,0, ROUND(I32*J32,0))</f>
        <v>0</v>
      </c>
      <c r="L32" s="18" t="s">
        <v>155</v>
      </c>
    </row>
    <row r="33" spans="1:12" x14ac:dyDescent="0.2">
      <c r="A33" s="144">
        <f t="shared" si="0"/>
        <v>21</v>
      </c>
      <c r="B33" s="17" t="s">
        <v>7</v>
      </c>
      <c r="C33" s="54">
        <v>12638168</v>
      </c>
      <c r="D33" s="54">
        <v>0</v>
      </c>
      <c r="E33" s="54">
        <f t="shared" si="3"/>
        <v>12638168</v>
      </c>
      <c r="F33" s="54">
        <v>0</v>
      </c>
      <c r="G33" s="27">
        <f t="shared" si="4"/>
        <v>12638168</v>
      </c>
      <c r="H33" s="27">
        <v>0</v>
      </c>
      <c r="I33" s="27">
        <f t="shared" si="6"/>
        <v>12638168</v>
      </c>
      <c r="J33" s="51">
        <f t="shared" si="5"/>
        <v>0.98499999999999999</v>
      </c>
      <c r="K33" s="27">
        <f t="shared" si="7"/>
        <v>12448595</v>
      </c>
      <c r="L33" s="18" t="s">
        <v>225</v>
      </c>
    </row>
    <row r="34" spans="1:12" x14ac:dyDescent="0.2">
      <c r="A34" s="144">
        <f t="shared" si="0"/>
        <v>22</v>
      </c>
      <c r="B34" s="17" t="s">
        <v>8</v>
      </c>
      <c r="C34" s="27">
        <v>1623761</v>
      </c>
      <c r="D34" s="27">
        <v>0</v>
      </c>
      <c r="E34" s="54">
        <f t="shared" si="3"/>
        <v>1623761</v>
      </c>
      <c r="F34" s="54">
        <v>0</v>
      </c>
      <c r="G34" s="27">
        <f t="shared" si="4"/>
        <v>1623761</v>
      </c>
      <c r="H34" s="54">
        <v>0</v>
      </c>
      <c r="I34" s="27">
        <f t="shared" si="6"/>
        <v>1623761</v>
      </c>
      <c r="J34" s="51">
        <f t="shared" si="5"/>
        <v>0.98499999999999999</v>
      </c>
      <c r="K34" s="27">
        <f>IF(I34*J34=0,0, ROUND(I34*J34,0))</f>
        <v>1599405</v>
      </c>
      <c r="L34" s="18" t="s">
        <v>149</v>
      </c>
    </row>
    <row r="35" spans="1:12" x14ac:dyDescent="0.2">
      <c r="A35" s="144">
        <f t="shared" si="0"/>
        <v>23</v>
      </c>
      <c r="B35" s="122" t="s">
        <v>364</v>
      </c>
      <c r="C35" s="27">
        <v>4138781</v>
      </c>
      <c r="D35" s="54">
        <v>0</v>
      </c>
      <c r="E35" s="54">
        <f t="shared" ref="E35" si="9">+C35-D35</f>
        <v>4138781</v>
      </c>
      <c r="F35" s="54">
        <v>0</v>
      </c>
      <c r="G35" s="27">
        <f t="shared" ref="G35" si="10">+E35+F35</f>
        <v>4138781</v>
      </c>
      <c r="H35" s="54">
        <v>0</v>
      </c>
      <c r="I35" s="27">
        <f t="shared" ref="I35" si="11">+G35+H35</f>
        <v>4138781</v>
      </c>
      <c r="J35" s="51">
        <f t="shared" si="5"/>
        <v>0.98499999999999999</v>
      </c>
      <c r="K35" s="27">
        <f t="shared" ref="K35" si="12">IF(I35*J35=0,0, ROUND(I35*J35,0))</f>
        <v>4076699</v>
      </c>
      <c r="L35" s="131" t="s">
        <v>225</v>
      </c>
    </row>
    <row r="36" spans="1:12" x14ac:dyDescent="0.2">
      <c r="A36" s="144">
        <f t="shared" si="0"/>
        <v>24</v>
      </c>
      <c r="B36" s="17" t="s">
        <v>320</v>
      </c>
      <c r="C36" s="27">
        <v>0</v>
      </c>
      <c r="D36" s="27">
        <v>0</v>
      </c>
      <c r="E36" s="54">
        <f t="shared" ref="E36:E37" si="13">+C36-D36</f>
        <v>0</v>
      </c>
      <c r="F36" s="54">
        <v>0</v>
      </c>
      <c r="G36" s="27">
        <f t="shared" ref="G36:G37" si="14">+E36+F36</f>
        <v>0</v>
      </c>
      <c r="H36" s="54">
        <v>0</v>
      </c>
      <c r="I36" s="27">
        <f t="shared" ref="I36:I37" si="15">+G36+H36</f>
        <v>0</v>
      </c>
      <c r="J36" s="51">
        <f t="shared" si="5"/>
        <v>0.98499999999999999</v>
      </c>
      <c r="K36" s="27">
        <f>IF(I36*J36=0,0, ROUND(I36*J36,0))</f>
        <v>0</v>
      </c>
      <c r="L36" s="18" t="s">
        <v>149</v>
      </c>
    </row>
    <row r="37" spans="1:12" x14ac:dyDescent="0.2">
      <c r="A37" s="144">
        <f t="shared" si="0"/>
        <v>25</v>
      </c>
      <c r="B37" s="17" t="s">
        <v>352</v>
      </c>
      <c r="C37" s="54">
        <v>0</v>
      </c>
      <c r="D37" s="54">
        <v>0</v>
      </c>
      <c r="E37" s="54">
        <f t="shared" si="13"/>
        <v>0</v>
      </c>
      <c r="F37" s="54">
        <v>0</v>
      </c>
      <c r="G37" s="27">
        <f t="shared" si="14"/>
        <v>0</v>
      </c>
      <c r="H37" s="54">
        <v>0</v>
      </c>
      <c r="I37" s="27">
        <f t="shared" si="15"/>
        <v>0</v>
      </c>
      <c r="J37" s="51">
        <f t="shared" si="5"/>
        <v>0.98499999999999999</v>
      </c>
      <c r="K37" s="27">
        <f t="shared" ref="K37" si="16">IF(I37*J37=0,0, ROUND(I37*J37,0))</f>
        <v>0</v>
      </c>
      <c r="L37" s="18" t="s">
        <v>225</v>
      </c>
    </row>
    <row r="38" spans="1:12" x14ac:dyDescent="0.2">
      <c r="A38" s="144">
        <f t="shared" si="0"/>
        <v>26</v>
      </c>
      <c r="B38" s="17" t="s">
        <v>9</v>
      </c>
      <c r="C38" s="54">
        <v>0</v>
      </c>
      <c r="D38" s="54">
        <v>0</v>
      </c>
      <c r="E38" s="54">
        <f t="shared" si="3"/>
        <v>0</v>
      </c>
      <c r="F38" s="54">
        <v>0</v>
      </c>
      <c r="G38" s="27">
        <f t="shared" si="4"/>
        <v>0</v>
      </c>
      <c r="H38" s="54">
        <v>0</v>
      </c>
      <c r="I38" s="27">
        <f t="shared" si="6"/>
        <v>0</v>
      </c>
      <c r="J38" s="51">
        <f t="shared" si="5"/>
        <v>0.98499999999999999</v>
      </c>
      <c r="K38" s="27">
        <f t="shared" si="7"/>
        <v>0</v>
      </c>
      <c r="L38" s="18" t="s">
        <v>225</v>
      </c>
    </row>
    <row r="39" spans="1:12" x14ac:dyDescent="0.2">
      <c r="A39" s="144">
        <f t="shared" si="0"/>
        <v>27</v>
      </c>
      <c r="B39" s="17" t="s">
        <v>236</v>
      </c>
      <c r="C39" s="54">
        <v>0</v>
      </c>
      <c r="D39" s="54">
        <v>0</v>
      </c>
      <c r="E39" s="54">
        <f t="shared" ref="E39" si="17">+C39-D39</f>
        <v>0</v>
      </c>
      <c r="F39" s="54">
        <v>0</v>
      </c>
      <c r="G39" s="27">
        <f t="shared" si="4"/>
        <v>0</v>
      </c>
      <c r="H39" s="54">
        <v>0</v>
      </c>
      <c r="I39" s="27">
        <f t="shared" ref="I39" si="18">+G39+H39</f>
        <v>0</v>
      </c>
      <c r="J39" s="51">
        <f t="shared" si="5"/>
        <v>0.98499999999999999</v>
      </c>
      <c r="K39" s="27">
        <f t="shared" ref="K39" si="19">IF(I39*J39=0,0, ROUND(I39*J39,0))</f>
        <v>0</v>
      </c>
      <c r="L39" s="18" t="s">
        <v>225</v>
      </c>
    </row>
    <row r="40" spans="1:12" x14ac:dyDescent="0.2">
      <c r="A40" s="144">
        <f t="shared" si="0"/>
        <v>28</v>
      </c>
      <c r="B40" s="56" t="s">
        <v>240</v>
      </c>
      <c r="C40" s="54">
        <v>0</v>
      </c>
      <c r="D40" s="54">
        <v>0</v>
      </c>
      <c r="E40" s="54">
        <f t="shared" si="3"/>
        <v>0</v>
      </c>
      <c r="F40" s="54">
        <v>0</v>
      </c>
      <c r="G40" s="27">
        <f t="shared" si="4"/>
        <v>0</v>
      </c>
      <c r="H40" s="54">
        <v>0</v>
      </c>
      <c r="I40" s="27">
        <f>+G40+H40</f>
        <v>0</v>
      </c>
      <c r="J40" s="51">
        <f t="shared" si="5"/>
        <v>0.98499999999999999</v>
      </c>
      <c r="K40" s="27">
        <f>IF(I40*J40=0,0, ROUND(I40*J40,0))</f>
        <v>0</v>
      </c>
      <c r="L40" s="18" t="s">
        <v>149</v>
      </c>
    </row>
    <row r="41" spans="1:12" x14ac:dyDescent="0.2">
      <c r="A41" s="144">
        <f t="shared" si="0"/>
        <v>29</v>
      </c>
      <c r="B41" s="17" t="s">
        <v>10</v>
      </c>
      <c r="C41" s="54">
        <v>311135</v>
      </c>
      <c r="D41" s="54">
        <v>0</v>
      </c>
      <c r="E41" s="54">
        <f t="shared" si="3"/>
        <v>311135</v>
      </c>
      <c r="F41" s="54">
        <v>0</v>
      </c>
      <c r="G41" s="27">
        <f t="shared" si="4"/>
        <v>311135</v>
      </c>
      <c r="H41" s="54">
        <v>0</v>
      </c>
      <c r="I41" s="27">
        <f t="shared" si="6"/>
        <v>311135</v>
      </c>
      <c r="J41" s="51">
        <f t="shared" si="5"/>
        <v>0.999</v>
      </c>
      <c r="K41" s="27">
        <f t="shared" si="7"/>
        <v>310824</v>
      </c>
      <c r="L41" s="18" t="s">
        <v>150</v>
      </c>
    </row>
    <row r="42" spans="1:12" x14ac:dyDescent="0.2">
      <c r="A42" s="144">
        <f t="shared" si="0"/>
        <v>30</v>
      </c>
      <c r="B42" s="75" t="s">
        <v>11</v>
      </c>
      <c r="C42" s="78">
        <f t="shared" ref="C42:I42" si="20">SUM(C22:C41)</f>
        <v>21224724.890000001</v>
      </c>
      <c r="D42" s="78">
        <f t="shared" si="20"/>
        <v>0</v>
      </c>
      <c r="E42" s="78">
        <f t="shared" si="20"/>
        <v>21224724.890000001</v>
      </c>
      <c r="F42" s="78">
        <f t="shared" si="20"/>
        <v>0</v>
      </c>
      <c r="G42" s="78">
        <f t="shared" si="20"/>
        <v>21224724.890000001</v>
      </c>
      <c r="H42" s="78">
        <f t="shared" si="20"/>
        <v>0</v>
      </c>
      <c r="I42" s="78">
        <f t="shared" si="20"/>
        <v>21224724.890000001</v>
      </c>
      <c r="J42" s="24"/>
      <c r="K42" s="80">
        <f>SUM(K22:K41)</f>
        <v>20910709</v>
      </c>
      <c r="L42" s="79"/>
    </row>
    <row r="43" spans="1:12" x14ac:dyDescent="0.2">
      <c r="A43" s="144">
        <f t="shared" si="0"/>
        <v>31</v>
      </c>
      <c r="B43" s="17" t="s">
        <v>0</v>
      </c>
      <c r="C43" s="54"/>
      <c r="J43" s="81"/>
      <c r="K43" s="76"/>
      <c r="L43" s="38"/>
    </row>
    <row r="44" spans="1:12" x14ac:dyDescent="0.2">
      <c r="A44" s="144">
        <f t="shared" si="0"/>
        <v>32</v>
      </c>
      <c r="B44" s="75" t="s">
        <v>12</v>
      </c>
      <c r="C44" s="54"/>
      <c r="J44" s="81"/>
      <c r="K44" s="76"/>
    </row>
    <row r="45" spans="1:12" x14ac:dyDescent="0.2">
      <c r="A45" s="144">
        <f t="shared" si="0"/>
        <v>33</v>
      </c>
      <c r="B45" s="17" t="s">
        <v>13</v>
      </c>
      <c r="C45" s="54">
        <v>-1229522</v>
      </c>
      <c r="D45" s="54">
        <f>C45</f>
        <v>-1229522</v>
      </c>
      <c r="E45" s="54">
        <f t="shared" ref="E45:E53" si="21">+C45-D45</f>
        <v>0</v>
      </c>
      <c r="F45" s="54">
        <v>0</v>
      </c>
      <c r="G45" s="27">
        <f t="shared" ref="G45:G53" si="22">+E45+F45</f>
        <v>0</v>
      </c>
      <c r="H45" s="54">
        <v>0</v>
      </c>
      <c r="I45" s="27">
        <f t="shared" ref="I45:I52" si="23">+G45+H45</f>
        <v>0</v>
      </c>
      <c r="J45" s="51">
        <f t="shared" ref="J45:J53" si="24">VLOOKUP(L45,$C$308:$D$322,2,FALSE)</f>
        <v>0</v>
      </c>
      <c r="K45" s="27">
        <f t="shared" ref="K45:K52" si="25">IF(I45*J45=0,0, ROUND(I45*J45,0))</f>
        <v>0</v>
      </c>
      <c r="L45" s="18" t="s">
        <v>152</v>
      </c>
    </row>
    <row r="46" spans="1:12" x14ac:dyDescent="0.2">
      <c r="A46" s="144">
        <f t="shared" si="0"/>
        <v>34</v>
      </c>
      <c r="B46" s="17" t="s">
        <v>288</v>
      </c>
      <c r="C46" s="54">
        <v>0</v>
      </c>
      <c r="D46" s="54">
        <v>0</v>
      </c>
      <c r="E46" s="54">
        <f t="shared" ref="E46" si="26">+C46-D46</f>
        <v>0</v>
      </c>
      <c r="F46" s="54">
        <v>0</v>
      </c>
      <c r="G46" s="27">
        <f t="shared" si="22"/>
        <v>0</v>
      </c>
      <c r="H46" s="54">
        <v>0</v>
      </c>
      <c r="I46" s="27">
        <f t="shared" ref="I46" si="27">+G46+H46</f>
        <v>0</v>
      </c>
      <c r="J46" s="51">
        <f t="shared" si="24"/>
        <v>1</v>
      </c>
      <c r="K46" s="27">
        <f t="shared" ref="K46" si="28">IF(I46*J46=0,0, ROUND(I46*J46,0))</f>
        <v>0</v>
      </c>
      <c r="L46" s="18" t="s">
        <v>146</v>
      </c>
    </row>
    <row r="47" spans="1:12" x14ac:dyDescent="0.2">
      <c r="A47" s="144">
        <f t="shared" si="0"/>
        <v>35</v>
      </c>
      <c r="B47" s="17" t="s">
        <v>14</v>
      </c>
      <c r="C47" s="54">
        <v>-2266338</v>
      </c>
      <c r="D47" s="54">
        <v>0</v>
      </c>
      <c r="E47" s="54">
        <f t="shared" si="21"/>
        <v>-2266338</v>
      </c>
      <c r="F47" s="54">
        <v>0</v>
      </c>
      <c r="G47" s="27">
        <f t="shared" si="22"/>
        <v>-2266338</v>
      </c>
      <c r="H47" s="54">
        <v>0</v>
      </c>
      <c r="I47" s="27">
        <f t="shared" si="23"/>
        <v>-2266338</v>
      </c>
      <c r="J47" s="51">
        <f t="shared" si="24"/>
        <v>0.98499999999999999</v>
      </c>
      <c r="K47" s="27">
        <f t="shared" si="25"/>
        <v>-2232343</v>
      </c>
      <c r="L47" s="18" t="s">
        <v>225</v>
      </c>
    </row>
    <row r="48" spans="1:12" x14ac:dyDescent="0.2">
      <c r="A48" s="144">
        <f t="shared" si="0"/>
        <v>36</v>
      </c>
      <c r="B48" s="17" t="s">
        <v>228</v>
      </c>
      <c r="C48" s="54">
        <v>0</v>
      </c>
      <c r="D48" s="54">
        <v>0</v>
      </c>
      <c r="E48" s="54">
        <f t="shared" si="21"/>
        <v>0</v>
      </c>
      <c r="F48" s="54">
        <v>0</v>
      </c>
      <c r="G48" s="27">
        <f t="shared" si="22"/>
        <v>0</v>
      </c>
      <c r="H48" s="54">
        <v>0</v>
      </c>
      <c r="I48" s="27">
        <f>+G48+H48</f>
        <v>0</v>
      </c>
      <c r="J48" s="51">
        <f t="shared" si="24"/>
        <v>0.98499999999999999</v>
      </c>
      <c r="K48" s="27">
        <f>IF(I48*J48=0,0, ROUND(I48*J48,0))</f>
        <v>0</v>
      </c>
      <c r="L48" s="18" t="s">
        <v>225</v>
      </c>
    </row>
    <row r="49" spans="1:12" x14ac:dyDescent="0.2">
      <c r="A49" s="144">
        <f t="shared" si="0"/>
        <v>37</v>
      </c>
      <c r="B49" s="17" t="s">
        <v>297</v>
      </c>
      <c r="C49" s="54">
        <v>0</v>
      </c>
      <c r="D49" s="54">
        <v>0</v>
      </c>
      <c r="E49" s="54">
        <f t="shared" ref="E49" si="29">+C49-D49</f>
        <v>0</v>
      </c>
      <c r="F49" s="54">
        <v>0</v>
      </c>
      <c r="G49" s="27">
        <f t="shared" si="22"/>
        <v>0</v>
      </c>
      <c r="H49" s="54">
        <v>0</v>
      </c>
      <c r="I49" s="27">
        <f>+G49+H49</f>
        <v>0</v>
      </c>
      <c r="J49" s="51">
        <f t="shared" si="24"/>
        <v>0.98499999999999999</v>
      </c>
      <c r="K49" s="27">
        <f>IF(I49*J49=0,0, ROUND(I49*J49,0))</f>
        <v>0</v>
      </c>
      <c r="L49" s="18" t="s">
        <v>155</v>
      </c>
    </row>
    <row r="50" spans="1:12" x14ac:dyDescent="0.2">
      <c r="A50" s="144">
        <f t="shared" si="0"/>
        <v>38</v>
      </c>
      <c r="B50" s="17" t="s">
        <v>290</v>
      </c>
      <c r="C50" s="54">
        <v>0</v>
      </c>
      <c r="D50" s="54">
        <v>0</v>
      </c>
      <c r="E50" s="54">
        <f t="shared" si="21"/>
        <v>0</v>
      </c>
      <c r="F50" s="54">
        <v>0</v>
      </c>
      <c r="G50" s="27">
        <f t="shared" si="22"/>
        <v>0</v>
      </c>
      <c r="H50" s="54">
        <v>0</v>
      </c>
      <c r="I50" s="27">
        <f t="shared" si="23"/>
        <v>0</v>
      </c>
      <c r="J50" s="51">
        <f t="shared" si="24"/>
        <v>0.98499999999999999</v>
      </c>
      <c r="K50" s="27">
        <f t="shared" si="25"/>
        <v>0</v>
      </c>
      <c r="L50" s="18" t="s">
        <v>155</v>
      </c>
    </row>
    <row r="51" spans="1:12" x14ac:dyDescent="0.2">
      <c r="A51" s="144">
        <f t="shared" si="0"/>
        <v>39</v>
      </c>
      <c r="B51" s="17" t="s">
        <v>289</v>
      </c>
      <c r="C51" s="54">
        <v>0</v>
      </c>
      <c r="D51" s="54">
        <v>0</v>
      </c>
      <c r="E51" s="54">
        <f t="shared" si="21"/>
        <v>0</v>
      </c>
      <c r="F51" s="54">
        <v>0</v>
      </c>
      <c r="G51" s="27">
        <f t="shared" si="22"/>
        <v>0</v>
      </c>
      <c r="H51" s="54">
        <v>0</v>
      </c>
      <c r="I51" s="27">
        <f>+G51+H51</f>
        <v>0</v>
      </c>
      <c r="J51" s="51">
        <f t="shared" si="24"/>
        <v>0.98499999999999999</v>
      </c>
      <c r="K51" s="27">
        <f>IF(I51*J51=0,0, ROUND(I51*J51,0))</f>
        <v>0</v>
      </c>
      <c r="L51" s="18" t="s">
        <v>155</v>
      </c>
    </row>
    <row r="52" spans="1:12" x14ac:dyDescent="0.2">
      <c r="A52" s="144">
        <f t="shared" si="0"/>
        <v>40</v>
      </c>
      <c r="B52" s="17" t="s">
        <v>15</v>
      </c>
      <c r="C52" s="54">
        <v>2698975</v>
      </c>
      <c r="D52" s="54">
        <v>0</v>
      </c>
      <c r="E52" s="54">
        <f t="shared" si="21"/>
        <v>2698975</v>
      </c>
      <c r="F52" s="54">
        <v>0</v>
      </c>
      <c r="G52" s="27">
        <f t="shared" si="22"/>
        <v>2698975</v>
      </c>
      <c r="H52" s="54">
        <v>0</v>
      </c>
      <c r="I52" s="27">
        <f t="shared" si="23"/>
        <v>2698975</v>
      </c>
      <c r="J52" s="51">
        <f t="shared" si="24"/>
        <v>0.98499999999999999</v>
      </c>
      <c r="K52" s="27">
        <f t="shared" si="25"/>
        <v>2658490</v>
      </c>
      <c r="L52" s="18" t="s">
        <v>225</v>
      </c>
    </row>
    <row r="53" spans="1:12" x14ac:dyDescent="0.2">
      <c r="A53" s="144">
        <f t="shared" si="0"/>
        <v>41</v>
      </c>
      <c r="B53" s="17" t="s">
        <v>229</v>
      </c>
      <c r="C53" s="54">
        <v>0</v>
      </c>
      <c r="D53" s="54">
        <v>0</v>
      </c>
      <c r="E53" s="54">
        <f t="shared" si="21"/>
        <v>0</v>
      </c>
      <c r="F53" s="54">
        <v>0</v>
      </c>
      <c r="G53" s="27">
        <f t="shared" si="22"/>
        <v>0</v>
      </c>
      <c r="H53" s="54">
        <v>0</v>
      </c>
      <c r="I53" s="27">
        <f>+G53+H53</f>
        <v>0</v>
      </c>
      <c r="J53" s="51">
        <f t="shared" si="24"/>
        <v>0.98499999999999999</v>
      </c>
      <c r="K53" s="27">
        <f>IF(I53*J53=0,0, ROUND(I53*J53,0))</f>
        <v>0</v>
      </c>
      <c r="L53" s="18" t="s">
        <v>225</v>
      </c>
    </row>
    <row r="54" spans="1:12" x14ac:dyDescent="0.2">
      <c r="A54" s="144">
        <f t="shared" si="0"/>
        <v>42</v>
      </c>
      <c r="B54" s="75" t="s">
        <v>16</v>
      </c>
      <c r="C54" s="78">
        <f t="shared" ref="C54:I54" si="30">SUM(C45:C53)</f>
        <v>-796885</v>
      </c>
      <c r="D54" s="78">
        <f t="shared" si="30"/>
        <v>-1229522</v>
      </c>
      <c r="E54" s="78">
        <f t="shared" si="30"/>
        <v>432637</v>
      </c>
      <c r="F54" s="78">
        <f t="shared" si="30"/>
        <v>0</v>
      </c>
      <c r="G54" s="78">
        <f t="shared" si="30"/>
        <v>432637</v>
      </c>
      <c r="H54" s="78">
        <f t="shared" si="30"/>
        <v>0</v>
      </c>
      <c r="I54" s="78">
        <f t="shared" si="30"/>
        <v>432637</v>
      </c>
      <c r="J54" s="24"/>
      <c r="K54" s="80">
        <f>SUM(K45:K53)</f>
        <v>426147</v>
      </c>
    </row>
    <row r="55" spans="1:12" x14ac:dyDescent="0.2">
      <c r="A55" s="144">
        <f t="shared" si="0"/>
        <v>43</v>
      </c>
      <c r="B55" s="17" t="s">
        <v>0</v>
      </c>
      <c r="C55" s="54"/>
      <c r="E55" s="27"/>
      <c r="J55" s="81"/>
      <c r="K55" s="76"/>
    </row>
    <row r="56" spans="1:12" x14ac:dyDescent="0.2">
      <c r="A56" s="144">
        <f t="shared" si="0"/>
        <v>44</v>
      </c>
      <c r="B56" s="75" t="s">
        <v>17</v>
      </c>
      <c r="C56" s="54"/>
      <c r="J56" s="81"/>
      <c r="K56" s="76"/>
    </row>
    <row r="57" spans="1:12" x14ac:dyDescent="0.2">
      <c r="A57" s="144">
        <f t="shared" si="0"/>
        <v>45</v>
      </c>
      <c r="B57" s="17" t="s">
        <v>18</v>
      </c>
      <c r="C57" s="54">
        <v>0</v>
      </c>
      <c r="D57" s="54">
        <v>0</v>
      </c>
      <c r="E57" s="54">
        <f t="shared" ref="E57:E60" si="31">+C57-D57</f>
        <v>0</v>
      </c>
      <c r="F57" s="54">
        <v>0</v>
      </c>
      <c r="G57" s="27">
        <f t="shared" ref="G57:G60" si="32">+E57+F57</f>
        <v>0</v>
      </c>
      <c r="H57" s="54">
        <v>0</v>
      </c>
      <c r="I57" s="27">
        <f t="shared" ref="I57:I60" si="33">+G57+H57</f>
        <v>0</v>
      </c>
      <c r="J57" s="51">
        <f>VLOOKUP(L57,$C$308:$D$322,2,FALSE)</f>
        <v>0.98499999999999999</v>
      </c>
      <c r="K57" s="27">
        <f t="shared" ref="K57:K60" si="34">IF(I57*J57=0,0, ROUND(I57*J57,0))</f>
        <v>0</v>
      </c>
      <c r="L57" s="18" t="s">
        <v>225</v>
      </c>
    </row>
    <row r="58" spans="1:12" x14ac:dyDescent="0.2">
      <c r="A58" s="144">
        <f t="shared" si="0"/>
        <v>46</v>
      </c>
      <c r="B58" s="17" t="s">
        <v>19</v>
      </c>
      <c r="C58" s="54">
        <v>0</v>
      </c>
      <c r="D58" s="54">
        <v>0</v>
      </c>
      <c r="E58" s="54">
        <f t="shared" si="31"/>
        <v>0</v>
      </c>
      <c r="F58" s="54">
        <v>0</v>
      </c>
      <c r="G58" s="27">
        <f t="shared" si="32"/>
        <v>0</v>
      </c>
      <c r="H58" s="54">
        <v>0</v>
      </c>
      <c r="I58" s="27">
        <f t="shared" si="33"/>
        <v>0</v>
      </c>
      <c r="J58" s="51">
        <f>VLOOKUP(L58,$C$308:$D$322,2,FALSE)</f>
        <v>0.98499999999999999</v>
      </c>
      <c r="K58" s="27">
        <f t="shared" si="34"/>
        <v>0</v>
      </c>
      <c r="L58" s="18" t="s">
        <v>225</v>
      </c>
    </row>
    <row r="59" spans="1:12" x14ac:dyDescent="0.2">
      <c r="A59" s="144">
        <f t="shared" si="0"/>
        <v>47</v>
      </c>
      <c r="B59" s="17" t="s">
        <v>20</v>
      </c>
      <c r="C59" s="54">
        <v>0</v>
      </c>
      <c r="D59" s="54">
        <v>0</v>
      </c>
      <c r="E59" s="54">
        <f t="shared" si="31"/>
        <v>0</v>
      </c>
      <c r="F59" s="54">
        <v>0</v>
      </c>
      <c r="G59" s="27">
        <f t="shared" si="32"/>
        <v>0</v>
      </c>
      <c r="H59" s="54">
        <v>0</v>
      </c>
      <c r="I59" s="27">
        <f t="shared" si="33"/>
        <v>0</v>
      </c>
      <c r="J59" s="51">
        <f>VLOOKUP(L59,$C$308:$D$322,2,FALSE)</f>
        <v>0.99</v>
      </c>
      <c r="K59" s="27">
        <f t="shared" si="34"/>
        <v>0</v>
      </c>
      <c r="L59" s="18" t="s">
        <v>154</v>
      </c>
    </row>
    <row r="60" spans="1:12" x14ac:dyDescent="0.2">
      <c r="A60" s="144">
        <f t="shared" si="0"/>
        <v>48</v>
      </c>
      <c r="B60" s="17" t="s">
        <v>21</v>
      </c>
      <c r="C60" s="54">
        <v>0</v>
      </c>
      <c r="D60" s="54">
        <v>0</v>
      </c>
      <c r="E60" s="54">
        <f t="shared" si="31"/>
        <v>0</v>
      </c>
      <c r="F60" s="54">
        <v>0</v>
      </c>
      <c r="G60" s="27">
        <f t="shared" si="32"/>
        <v>0</v>
      </c>
      <c r="H60" s="54">
        <v>0</v>
      </c>
      <c r="I60" s="27">
        <f t="shared" si="33"/>
        <v>0</v>
      </c>
      <c r="J60" s="51">
        <f>VLOOKUP(L60,$C$308:$D$322,2,FALSE)</f>
        <v>0.98499999999999999</v>
      </c>
      <c r="K60" s="27">
        <f t="shared" si="34"/>
        <v>0</v>
      </c>
      <c r="L60" s="18" t="s">
        <v>225</v>
      </c>
    </row>
    <row r="61" spans="1:12" x14ac:dyDescent="0.2">
      <c r="A61" s="144">
        <f t="shared" si="0"/>
        <v>49</v>
      </c>
      <c r="B61" s="75" t="s">
        <v>22</v>
      </c>
      <c r="C61" s="78">
        <f t="shared" ref="C61:I61" si="35">SUM(C57:C60)</f>
        <v>0</v>
      </c>
      <c r="D61" s="78">
        <f t="shared" si="35"/>
        <v>0</v>
      </c>
      <c r="E61" s="78">
        <f t="shared" si="35"/>
        <v>0</v>
      </c>
      <c r="F61" s="78">
        <f t="shared" si="35"/>
        <v>0</v>
      </c>
      <c r="G61" s="78">
        <f t="shared" si="35"/>
        <v>0</v>
      </c>
      <c r="H61" s="78">
        <f t="shared" si="35"/>
        <v>0</v>
      </c>
      <c r="I61" s="78">
        <f t="shared" si="35"/>
        <v>0</v>
      </c>
      <c r="J61" s="24"/>
      <c r="K61" s="80">
        <f>SUM(K57:K60)</f>
        <v>0</v>
      </c>
    </row>
    <row r="62" spans="1:12" x14ac:dyDescent="0.2">
      <c r="A62" s="144">
        <f t="shared" si="0"/>
        <v>50</v>
      </c>
      <c r="B62" s="17" t="s">
        <v>0</v>
      </c>
      <c r="C62" s="54"/>
      <c r="J62" s="81"/>
      <c r="K62" s="76"/>
    </row>
    <row r="63" spans="1:12" x14ac:dyDescent="0.2">
      <c r="A63" s="144">
        <f t="shared" si="0"/>
        <v>51</v>
      </c>
      <c r="B63" s="75" t="s">
        <v>23</v>
      </c>
      <c r="C63" s="54"/>
      <c r="J63" s="81"/>
      <c r="K63" s="76"/>
    </row>
    <row r="64" spans="1:12" x14ac:dyDescent="0.2">
      <c r="A64" s="144">
        <f t="shared" si="0"/>
        <v>52</v>
      </c>
      <c r="B64" s="17" t="s">
        <v>24</v>
      </c>
      <c r="C64" s="54">
        <v>0</v>
      </c>
      <c r="D64" s="54">
        <v>0</v>
      </c>
      <c r="E64" s="54">
        <f t="shared" ref="E64:E69" si="36">+C64-D64</f>
        <v>0</v>
      </c>
      <c r="F64" s="54">
        <v>0</v>
      </c>
      <c r="G64" s="27">
        <f t="shared" ref="G64:G69" si="37">+E64+F64</f>
        <v>0</v>
      </c>
      <c r="H64" s="54">
        <v>0</v>
      </c>
      <c r="I64" s="27">
        <f t="shared" ref="I64:I69" si="38">+G64+H64</f>
        <v>0</v>
      </c>
      <c r="J64" s="51">
        <f t="shared" ref="J64:J69" si="39">VLOOKUP(L64,$C$308:$D$322,2,FALSE)</f>
        <v>0.98499999999999999</v>
      </c>
      <c r="K64" s="27">
        <f t="shared" ref="K64:K69" si="40">IF(I64*J64=0,0, ROUND(I64*J64,0))</f>
        <v>0</v>
      </c>
      <c r="L64" s="18" t="s">
        <v>225</v>
      </c>
    </row>
    <row r="65" spans="1:12" x14ac:dyDescent="0.2">
      <c r="A65" s="144">
        <f t="shared" si="0"/>
        <v>53</v>
      </c>
      <c r="B65" s="17" t="s">
        <v>233</v>
      </c>
      <c r="C65" s="54">
        <v>0</v>
      </c>
      <c r="D65" s="54">
        <v>0</v>
      </c>
      <c r="E65" s="54">
        <f t="shared" si="36"/>
        <v>0</v>
      </c>
      <c r="F65" s="54">
        <v>0</v>
      </c>
      <c r="G65" s="27">
        <f t="shared" si="37"/>
        <v>0</v>
      </c>
      <c r="H65" s="54">
        <v>0</v>
      </c>
      <c r="I65" s="27">
        <f t="shared" si="38"/>
        <v>0</v>
      </c>
      <c r="J65" s="51">
        <f t="shared" si="39"/>
        <v>0.98499999999999999</v>
      </c>
      <c r="K65" s="27">
        <f t="shared" si="40"/>
        <v>0</v>
      </c>
      <c r="L65" s="18" t="s">
        <v>225</v>
      </c>
    </row>
    <row r="66" spans="1:12" x14ac:dyDescent="0.2">
      <c r="A66" s="144">
        <f t="shared" si="0"/>
        <v>54</v>
      </c>
      <c r="B66" s="56" t="s">
        <v>241</v>
      </c>
      <c r="C66" s="54">
        <v>-46238735</v>
      </c>
      <c r="D66" s="54">
        <v>0</v>
      </c>
      <c r="E66" s="54">
        <f t="shared" si="36"/>
        <v>-46238735</v>
      </c>
      <c r="F66" s="54">
        <v>0</v>
      </c>
      <c r="G66" s="27">
        <f t="shared" si="37"/>
        <v>-46238735</v>
      </c>
      <c r="H66" s="54">
        <v>0</v>
      </c>
      <c r="I66" s="27">
        <f t="shared" si="38"/>
        <v>-46238735</v>
      </c>
      <c r="J66" s="51">
        <f t="shared" si="39"/>
        <v>0.98499999999999999</v>
      </c>
      <c r="K66" s="27">
        <f t="shared" si="40"/>
        <v>-45545154</v>
      </c>
      <c r="L66" s="18" t="s">
        <v>149</v>
      </c>
    </row>
    <row r="67" spans="1:12" x14ac:dyDescent="0.2">
      <c r="A67" s="144">
        <f t="shared" si="0"/>
        <v>55</v>
      </c>
      <c r="B67" s="56" t="s">
        <v>242</v>
      </c>
      <c r="C67" s="54">
        <v>0</v>
      </c>
      <c r="D67" s="54">
        <v>0</v>
      </c>
      <c r="E67" s="54">
        <f t="shared" si="36"/>
        <v>0</v>
      </c>
      <c r="F67" s="54">
        <v>0</v>
      </c>
      <c r="G67" s="27">
        <f t="shared" si="37"/>
        <v>0</v>
      </c>
      <c r="H67" s="54">
        <v>0</v>
      </c>
      <c r="I67" s="27">
        <f t="shared" si="38"/>
        <v>0</v>
      </c>
      <c r="J67" s="51">
        <f t="shared" si="39"/>
        <v>0.98499999999999999</v>
      </c>
      <c r="K67" s="27">
        <f t="shared" si="40"/>
        <v>0</v>
      </c>
      <c r="L67" s="18" t="s">
        <v>149</v>
      </c>
    </row>
    <row r="68" spans="1:12" x14ac:dyDescent="0.2">
      <c r="A68" s="144">
        <f t="shared" si="0"/>
        <v>56</v>
      </c>
      <c r="B68" s="17" t="s">
        <v>25</v>
      </c>
      <c r="C68" s="54">
        <v>0</v>
      </c>
      <c r="D68" s="82">
        <v>0</v>
      </c>
      <c r="E68" s="82">
        <f t="shared" si="36"/>
        <v>0</v>
      </c>
      <c r="F68" s="54">
        <v>0</v>
      </c>
      <c r="G68" s="27">
        <f t="shared" si="37"/>
        <v>0</v>
      </c>
      <c r="H68" s="54">
        <v>0</v>
      </c>
      <c r="I68" s="82">
        <f t="shared" si="38"/>
        <v>0</v>
      </c>
      <c r="J68" s="51">
        <f t="shared" si="39"/>
        <v>0.98499999999999999</v>
      </c>
      <c r="K68" s="27">
        <f t="shared" si="40"/>
        <v>0</v>
      </c>
      <c r="L68" s="18" t="s">
        <v>225</v>
      </c>
    </row>
    <row r="69" spans="1:12" x14ac:dyDescent="0.2">
      <c r="A69" s="144">
        <f t="shared" si="0"/>
        <v>57</v>
      </c>
      <c r="B69" s="17" t="s">
        <v>234</v>
      </c>
      <c r="C69" s="54">
        <v>0</v>
      </c>
      <c r="D69" s="54">
        <v>0</v>
      </c>
      <c r="E69" s="54">
        <f t="shared" si="36"/>
        <v>0</v>
      </c>
      <c r="F69" s="54">
        <v>0</v>
      </c>
      <c r="G69" s="27">
        <f t="shared" si="37"/>
        <v>0</v>
      </c>
      <c r="H69" s="54">
        <v>0</v>
      </c>
      <c r="I69" s="27">
        <f t="shared" si="38"/>
        <v>0</v>
      </c>
      <c r="J69" s="51">
        <f t="shared" si="39"/>
        <v>0.98499999999999999</v>
      </c>
      <c r="K69" s="27">
        <f t="shared" si="40"/>
        <v>0</v>
      </c>
      <c r="L69" s="18" t="s">
        <v>225</v>
      </c>
    </row>
    <row r="70" spans="1:12" x14ac:dyDescent="0.2">
      <c r="A70" s="144">
        <f t="shared" si="0"/>
        <v>58</v>
      </c>
      <c r="B70" s="75" t="s">
        <v>26</v>
      </c>
      <c r="C70" s="78">
        <f t="shared" ref="C70:I70" si="41">SUM(C64:C69)</f>
        <v>-46238735</v>
      </c>
      <c r="D70" s="78">
        <f t="shared" si="41"/>
        <v>0</v>
      </c>
      <c r="E70" s="78">
        <f t="shared" si="41"/>
        <v>-46238735</v>
      </c>
      <c r="F70" s="78">
        <f t="shared" si="41"/>
        <v>0</v>
      </c>
      <c r="G70" s="78">
        <f t="shared" si="41"/>
        <v>-46238735</v>
      </c>
      <c r="H70" s="78">
        <f t="shared" si="41"/>
        <v>0</v>
      </c>
      <c r="I70" s="78">
        <f t="shared" si="41"/>
        <v>-46238735</v>
      </c>
      <c r="J70" s="24"/>
      <c r="K70" s="78">
        <f>SUM(K64:K69)</f>
        <v>-45545154</v>
      </c>
    </row>
    <row r="71" spans="1:12" x14ac:dyDescent="0.2">
      <c r="A71" s="144">
        <f t="shared" si="0"/>
        <v>59</v>
      </c>
      <c r="B71" s="17" t="s">
        <v>0</v>
      </c>
      <c r="C71" s="54"/>
      <c r="J71" s="81"/>
      <c r="K71" s="76"/>
    </row>
    <row r="72" spans="1:12" x14ac:dyDescent="0.2">
      <c r="A72" s="144">
        <f t="shared" si="0"/>
        <v>60</v>
      </c>
      <c r="B72" s="75" t="s">
        <v>27</v>
      </c>
      <c r="C72" s="54"/>
      <c r="J72" s="81"/>
      <c r="K72" s="76"/>
    </row>
    <row r="73" spans="1:12" x14ac:dyDescent="0.2">
      <c r="A73" s="144">
        <f t="shared" si="0"/>
        <v>61</v>
      </c>
      <c r="B73" s="17" t="s">
        <v>28</v>
      </c>
      <c r="C73" s="54">
        <v>-6863000</v>
      </c>
      <c r="D73" s="54">
        <v>0</v>
      </c>
      <c r="E73" s="54">
        <f>+C73-D73</f>
        <v>-6863000</v>
      </c>
      <c r="F73" s="54">
        <v>0</v>
      </c>
      <c r="G73" s="27">
        <f>+E73+F73</f>
        <v>-6863000</v>
      </c>
      <c r="H73" s="54">
        <v>0</v>
      </c>
      <c r="I73" s="27">
        <f>+G73+H73</f>
        <v>-6863000</v>
      </c>
      <c r="J73" s="51">
        <f>VLOOKUP(L73,$C$308:$D$322,2,FALSE)</f>
        <v>0.98499999999999999</v>
      </c>
      <c r="K73" s="27">
        <f>IF(I73*J73=0,0, ROUND(I73*J73,0))</f>
        <v>-6760055</v>
      </c>
      <c r="L73" s="18" t="s">
        <v>225</v>
      </c>
    </row>
    <row r="74" spans="1:12" x14ac:dyDescent="0.2">
      <c r="A74" s="144">
        <f t="shared" si="0"/>
        <v>62</v>
      </c>
      <c r="B74" s="17" t="s">
        <v>321</v>
      </c>
      <c r="C74" s="54">
        <v>-4470000</v>
      </c>
      <c r="D74" s="54">
        <v>0</v>
      </c>
      <c r="E74" s="54">
        <f>+C74-D74</f>
        <v>-4470000</v>
      </c>
      <c r="F74" s="54">
        <v>0</v>
      </c>
      <c r="G74" s="27">
        <f>+E74+F74</f>
        <v>-4470000</v>
      </c>
      <c r="H74" s="54">
        <v>0</v>
      </c>
      <c r="I74" s="27">
        <f>+G74+H74</f>
        <v>-4470000</v>
      </c>
      <c r="J74" s="51">
        <f>VLOOKUP(L74,$C$308:$D$322,2,FALSE)</f>
        <v>0.98499999999999999</v>
      </c>
      <c r="K74" s="27">
        <f>IF(I74*J74=0,0, ROUND(I74*J74,0))</f>
        <v>-4402950</v>
      </c>
      <c r="L74" s="18" t="s">
        <v>225</v>
      </c>
    </row>
    <row r="75" spans="1:12" x14ac:dyDescent="0.2">
      <c r="A75" s="144">
        <f t="shared" si="0"/>
        <v>63</v>
      </c>
      <c r="B75" s="79" t="s">
        <v>29</v>
      </c>
      <c r="C75" s="78">
        <f t="shared" ref="C75:I75" si="42">SUM(C73:C74)</f>
        <v>-11333000</v>
      </c>
      <c r="D75" s="78">
        <f t="shared" si="42"/>
        <v>0</v>
      </c>
      <c r="E75" s="78">
        <f t="shared" si="42"/>
        <v>-11333000</v>
      </c>
      <c r="F75" s="78">
        <f t="shared" si="42"/>
        <v>0</v>
      </c>
      <c r="G75" s="78">
        <f t="shared" si="42"/>
        <v>-11333000</v>
      </c>
      <c r="H75" s="78">
        <f t="shared" si="42"/>
        <v>0</v>
      </c>
      <c r="I75" s="78">
        <f t="shared" si="42"/>
        <v>-11333000</v>
      </c>
      <c r="J75" s="24"/>
      <c r="K75" s="78">
        <f>SUM(K73:K74)</f>
        <v>-11163005</v>
      </c>
    </row>
    <row r="76" spans="1:12" x14ac:dyDescent="0.2">
      <c r="A76" s="144">
        <f t="shared" si="0"/>
        <v>64</v>
      </c>
      <c r="B76" s="17" t="s">
        <v>0</v>
      </c>
      <c r="C76" s="54"/>
      <c r="J76" s="81"/>
      <c r="K76" s="76"/>
    </row>
    <row r="77" spans="1:12" x14ac:dyDescent="0.2">
      <c r="A77" s="144">
        <f t="shared" si="0"/>
        <v>65</v>
      </c>
      <c r="B77" s="75" t="s">
        <v>30</v>
      </c>
      <c r="C77" s="54"/>
      <c r="J77" s="81"/>
      <c r="K77" s="76"/>
    </row>
    <row r="78" spans="1:12" x14ac:dyDescent="0.2">
      <c r="A78" s="144">
        <f t="shared" si="0"/>
        <v>66</v>
      </c>
      <c r="B78" s="17" t="s">
        <v>31</v>
      </c>
      <c r="C78" s="54">
        <v>7610222</v>
      </c>
      <c r="D78" s="82">
        <v>0</v>
      </c>
      <c r="E78" s="82">
        <f>+C78-D78</f>
        <v>7610222</v>
      </c>
      <c r="F78" s="54">
        <v>0</v>
      </c>
      <c r="G78" s="27">
        <f>+E78+F78</f>
        <v>7610222</v>
      </c>
      <c r="H78" s="54">
        <v>0</v>
      </c>
      <c r="I78" s="82">
        <f>+G78+H78</f>
        <v>7610222</v>
      </c>
      <c r="J78" s="51">
        <f>VLOOKUP(L78,$C$308:$D$322,2,FALSE)</f>
        <v>0.98499999999999999</v>
      </c>
      <c r="K78" s="27">
        <f>IF(I78*J78=0,0, ROUND(I78*J78,0))</f>
        <v>7496069</v>
      </c>
      <c r="L78" s="18" t="s">
        <v>149</v>
      </c>
    </row>
    <row r="79" spans="1:12" x14ac:dyDescent="0.2">
      <c r="A79" s="144">
        <f t="shared" si="0"/>
        <v>67</v>
      </c>
      <c r="B79" s="75" t="s">
        <v>32</v>
      </c>
      <c r="C79" s="78">
        <f t="shared" ref="C79:I79" si="43">+C78</f>
        <v>7610222</v>
      </c>
      <c r="D79" s="78">
        <f t="shared" si="43"/>
        <v>0</v>
      </c>
      <c r="E79" s="78">
        <f t="shared" si="43"/>
        <v>7610222</v>
      </c>
      <c r="F79" s="78">
        <f t="shared" si="43"/>
        <v>0</v>
      </c>
      <c r="G79" s="78">
        <f t="shared" si="43"/>
        <v>7610222</v>
      </c>
      <c r="H79" s="78">
        <f t="shared" si="43"/>
        <v>0</v>
      </c>
      <c r="I79" s="78">
        <f t="shared" si="43"/>
        <v>7610222</v>
      </c>
      <c r="J79" s="24"/>
      <c r="K79" s="80">
        <f>+K78</f>
        <v>7496069</v>
      </c>
    </row>
    <row r="80" spans="1:12" x14ac:dyDescent="0.2">
      <c r="A80" s="144">
        <f t="shared" si="0"/>
        <v>68</v>
      </c>
      <c r="B80" s="17" t="s">
        <v>0</v>
      </c>
      <c r="C80" s="54"/>
      <c r="J80" s="81"/>
      <c r="K80" s="76"/>
    </row>
    <row r="81" spans="1:12" x14ac:dyDescent="0.2">
      <c r="A81" s="144">
        <f t="shared" si="0"/>
        <v>69</v>
      </c>
      <c r="B81" s="75" t="s">
        <v>33</v>
      </c>
      <c r="C81" s="54"/>
      <c r="J81" s="81"/>
      <c r="K81" s="76"/>
    </row>
    <row r="82" spans="1:12" x14ac:dyDescent="0.2">
      <c r="A82" s="144">
        <f t="shared" si="0"/>
        <v>70</v>
      </c>
      <c r="B82" s="17" t="s">
        <v>354</v>
      </c>
      <c r="C82" s="54">
        <v>0</v>
      </c>
      <c r="D82" s="54">
        <v>0</v>
      </c>
      <c r="E82" s="82">
        <f>+C82-D82</f>
        <v>0</v>
      </c>
      <c r="F82" s="54">
        <v>0</v>
      </c>
      <c r="G82" s="27">
        <f>+E82+F82</f>
        <v>0</v>
      </c>
      <c r="H82" s="54">
        <v>0</v>
      </c>
      <c r="I82" s="27">
        <f>+G82+H82</f>
        <v>0</v>
      </c>
      <c r="J82" s="51">
        <f>VLOOKUP(L82,$C$308:$D$322,2,FALSE)</f>
        <v>0.98499999999999999</v>
      </c>
      <c r="K82" s="27">
        <f>IF(I82*J82=0,0, ROUND(I82*J82,0))</f>
        <v>0</v>
      </c>
      <c r="L82" s="18" t="s">
        <v>153</v>
      </c>
    </row>
    <row r="83" spans="1:12" x14ac:dyDescent="0.2">
      <c r="A83" s="144">
        <f t="shared" si="0"/>
        <v>71</v>
      </c>
      <c r="B83" s="75" t="s">
        <v>34</v>
      </c>
      <c r="C83" s="78">
        <f t="shared" ref="C83:I83" si="44">SUM(C82:C82)</f>
        <v>0</v>
      </c>
      <c r="D83" s="78">
        <f t="shared" si="44"/>
        <v>0</v>
      </c>
      <c r="E83" s="78">
        <f t="shared" si="44"/>
        <v>0</v>
      </c>
      <c r="F83" s="78">
        <f t="shared" si="44"/>
        <v>0</v>
      </c>
      <c r="G83" s="78">
        <f t="shared" si="44"/>
        <v>0</v>
      </c>
      <c r="H83" s="78">
        <f t="shared" si="44"/>
        <v>0</v>
      </c>
      <c r="I83" s="78">
        <f t="shared" si="44"/>
        <v>0</v>
      </c>
      <c r="J83" s="24"/>
      <c r="K83" s="80">
        <f>SUM(K82:K82)</f>
        <v>0</v>
      </c>
    </row>
    <row r="84" spans="1:12" x14ac:dyDescent="0.2">
      <c r="A84" s="144">
        <f t="shared" ref="A84:A124" si="45">+A83+1</f>
        <v>72</v>
      </c>
      <c r="B84" s="17" t="s">
        <v>0</v>
      </c>
      <c r="C84" s="54"/>
      <c r="J84" s="81"/>
      <c r="K84" s="76"/>
    </row>
    <row r="85" spans="1:12" x14ac:dyDescent="0.2">
      <c r="A85" s="144">
        <f t="shared" si="45"/>
        <v>73</v>
      </c>
      <c r="B85" s="75" t="s">
        <v>35</v>
      </c>
      <c r="C85" s="54"/>
      <c r="J85" s="81"/>
      <c r="K85" s="76"/>
    </row>
    <row r="86" spans="1:12" x14ac:dyDescent="0.2">
      <c r="A86" s="144">
        <f t="shared" si="45"/>
        <v>74</v>
      </c>
      <c r="B86" s="17" t="s">
        <v>36</v>
      </c>
      <c r="C86" s="54">
        <v>-2913</v>
      </c>
      <c r="D86" s="82">
        <v>0</v>
      </c>
      <c r="E86" s="82">
        <f t="shared" ref="E86:E88" si="46">+C86-D86</f>
        <v>-2913</v>
      </c>
      <c r="F86" s="54">
        <v>0</v>
      </c>
      <c r="G86" s="27">
        <f>+E86+F86</f>
        <v>-2913</v>
      </c>
      <c r="H86" s="54">
        <v>0</v>
      </c>
      <c r="I86" s="41">
        <f>+G86+H86</f>
        <v>-2913</v>
      </c>
      <c r="J86" s="51">
        <f>VLOOKUP(L86,$C$308:$D$322,2,FALSE)</f>
        <v>1</v>
      </c>
      <c r="K86" s="27">
        <f>IF(I86*J86=0,0, ROUND(I86*J86,0))</f>
        <v>-2913</v>
      </c>
      <c r="L86" s="18" t="s">
        <v>146</v>
      </c>
    </row>
    <row r="87" spans="1:12" x14ac:dyDescent="0.2">
      <c r="A87" s="144">
        <f t="shared" si="45"/>
        <v>75</v>
      </c>
      <c r="B87" s="121" t="s">
        <v>365</v>
      </c>
      <c r="C87" s="54">
        <v>-143638</v>
      </c>
      <c r="D87" s="82"/>
      <c r="E87" s="82">
        <f t="shared" si="46"/>
        <v>-143638</v>
      </c>
      <c r="F87" s="54">
        <v>0</v>
      </c>
      <c r="G87" s="27">
        <f>+E87+F87</f>
        <v>-143638</v>
      </c>
      <c r="H87" s="54">
        <v>0</v>
      </c>
      <c r="I87" s="41">
        <f>+G87+H87</f>
        <v>-143638</v>
      </c>
      <c r="J87" s="51">
        <f>VLOOKUP(L87,$C$308:$D$322,2,FALSE)</f>
        <v>1</v>
      </c>
      <c r="K87" s="27">
        <f>IF(I87*J87=0,0, ROUND(I87*J87,0))</f>
        <v>-143638</v>
      </c>
      <c r="L87" s="131" t="s">
        <v>146</v>
      </c>
    </row>
    <row r="88" spans="1:12" x14ac:dyDescent="0.2">
      <c r="A88" s="144">
        <f t="shared" si="45"/>
        <v>76</v>
      </c>
      <c r="B88" s="121" t="s">
        <v>366</v>
      </c>
      <c r="C88" s="54">
        <v>-52355</v>
      </c>
      <c r="D88" s="82"/>
      <c r="E88" s="82">
        <f t="shared" si="46"/>
        <v>-52355</v>
      </c>
      <c r="F88" s="54">
        <v>0</v>
      </c>
      <c r="G88" s="27">
        <f>+E88+F88</f>
        <v>-52355</v>
      </c>
      <c r="H88" s="54">
        <v>0</v>
      </c>
      <c r="I88" s="41">
        <f>+G88+H88</f>
        <v>-52355</v>
      </c>
      <c r="J88" s="51">
        <f>VLOOKUP(L88,$C$308:$D$322,2,FALSE)</f>
        <v>1</v>
      </c>
      <c r="K88" s="27">
        <f>IF(I88*J88=0,0, ROUND(I88*J88,0))</f>
        <v>-52355</v>
      </c>
      <c r="L88" s="131" t="s">
        <v>146</v>
      </c>
    </row>
    <row r="89" spans="1:12" x14ac:dyDescent="0.2">
      <c r="A89" s="144">
        <f t="shared" si="45"/>
        <v>77</v>
      </c>
      <c r="B89" s="75" t="s">
        <v>37</v>
      </c>
      <c r="C89" s="78">
        <f>SUM(C86:C88)</f>
        <v>-198906</v>
      </c>
      <c r="D89" s="78">
        <f t="shared" ref="D89:I89" si="47">SUM(D86:D88)</f>
        <v>0</v>
      </c>
      <c r="E89" s="78">
        <f t="shared" si="47"/>
        <v>-198906</v>
      </c>
      <c r="F89" s="78">
        <f t="shared" si="47"/>
        <v>0</v>
      </c>
      <c r="G89" s="78">
        <f t="shared" si="47"/>
        <v>-198906</v>
      </c>
      <c r="H89" s="78">
        <f t="shared" si="47"/>
        <v>0</v>
      </c>
      <c r="I89" s="78">
        <f t="shared" si="47"/>
        <v>-198906</v>
      </c>
      <c r="J89" s="24"/>
      <c r="K89" s="80">
        <f>SUM(K86:K88)</f>
        <v>-198906</v>
      </c>
    </row>
    <row r="90" spans="1:12" x14ac:dyDescent="0.2">
      <c r="A90" s="144">
        <f t="shared" si="45"/>
        <v>78</v>
      </c>
      <c r="B90" s="17" t="s">
        <v>0</v>
      </c>
      <c r="C90" s="54"/>
      <c r="J90" s="81"/>
      <c r="K90" s="76"/>
    </row>
    <row r="91" spans="1:12" x14ac:dyDescent="0.2">
      <c r="A91" s="144">
        <f t="shared" si="45"/>
        <v>79</v>
      </c>
      <c r="B91" s="75" t="s">
        <v>38</v>
      </c>
      <c r="C91" s="54"/>
      <c r="J91" s="81"/>
      <c r="K91" s="76"/>
    </row>
    <row r="92" spans="1:12" x14ac:dyDescent="0.2">
      <c r="A92" s="144">
        <f t="shared" si="45"/>
        <v>80</v>
      </c>
      <c r="B92" s="17" t="s">
        <v>323</v>
      </c>
      <c r="C92" s="54">
        <v>2379150</v>
      </c>
      <c r="D92" s="54">
        <v>0</v>
      </c>
      <c r="E92" s="54">
        <f t="shared" ref="E92:E93" si="48">+C92-D92</f>
        <v>2379150</v>
      </c>
      <c r="F92" s="54">
        <v>0</v>
      </c>
      <c r="G92" s="27">
        <f t="shared" ref="G92:G93" si="49">+E92+F92</f>
        <v>2379150</v>
      </c>
      <c r="H92" s="54">
        <v>0</v>
      </c>
      <c r="I92" s="27">
        <f t="shared" ref="I92:I93" si="50">+G92+H92</f>
        <v>2379150</v>
      </c>
      <c r="J92" s="51">
        <f>VLOOKUP(L92,$C$308:$D$322,2,FALSE)</f>
        <v>1</v>
      </c>
      <c r="K92" s="27">
        <f t="shared" ref="K92:K93" si="51">IF(I92*J92=0,0, ROUND(I92*J92,0))</f>
        <v>2379150</v>
      </c>
      <c r="L92" s="18" t="s">
        <v>146</v>
      </c>
    </row>
    <row r="93" spans="1:12" x14ac:dyDescent="0.2">
      <c r="A93" s="144">
        <f t="shared" si="45"/>
        <v>81</v>
      </c>
      <c r="B93" s="17" t="s">
        <v>324</v>
      </c>
      <c r="C93" s="54">
        <v>0</v>
      </c>
      <c r="D93" s="54">
        <v>0</v>
      </c>
      <c r="E93" s="54">
        <f t="shared" si="48"/>
        <v>0</v>
      </c>
      <c r="F93" s="54">
        <v>0</v>
      </c>
      <c r="G93" s="27">
        <f t="shared" si="49"/>
        <v>0</v>
      </c>
      <c r="H93" s="54">
        <v>0</v>
      </c>
      <c r="I93" s="27">
        <f t="shared" si="50"/>
        <v>0</v>
      </c>
      <c r="J93" s="51">
        <f>VLOOKUP(L93,$C$308:$D$322,2,FALSE)</f>
        <v>1</v>
      </c>
      <c r="K93" s="27">
        <f t="shared" si="51"/>
        <v>0</v>
      </c>
      <c r="L93" s="18" t="s">
        <v>146</v>
      </c>
    </row>
    <row r="94" spans="1:12" x14ac:dyDescent="0.2">
      <c r="A94" s="144">
        <f t="shared" si="45"/>
        <v>82</v>
      </c>
      <c r="B94" s="75" t="s">
        <v>39</v>
      </c>
      <c r="C94" s="78">
        <f t="shared" ref="C94:I94" si="52">SUM(C92:C93)</f>
        <v>2379150</v>
      </c>
      <c r="D94" s="78">
        <f t="shared" si="52"/>
        <v>0</v>
      </c>
      <c r="E94" s="78">
        <f t="shared" si="52"/>
        <v>2379150</v>
      </c>
      <c r="F94" s="78">
        <f t="shared" si="52"/>
        <v>0</v>
      </c>
      <c r="G94" s="78">
        <f t="shared" si="52"/>
        <v>2379150</v>
      </c>
      <c r="H94" s="78">
        <f t="shared" si="52"/>
        <v>0</v>
      </c>
      <c r="I94" s="78">
        <f t="shared" si="52"/>
        <v>2379150</v>
      </c>
      <c r="J94" s="24"/>
      <c r="K94" s="80">
        <f>SUM(K92:K93)</f>
        <v>2379150</v>
      </c>
    </row>
    <row r="95" spans="1:12" x14ac:dyDescent="0.2">
      <c r="A95" s="144">
        <f t="shared" si="45"/>
        <v>83</v>
      </c>
      <c r="B95" s="17" t="s">
        <v>0</v>
      </c>
      <c r="C95" s="54"/>
      <c r="J95" s="81"/>
      <c r="K95" s="76"/>
      <c r="L95" s="38"/>
    </row>
    <row r="96" spans="1:12" x14ac:dyDescent="0.2">
      <c r="A96" s="144">
        <f t="shared" si="45"/>
        <v>84</v>
      </c>
      <c r="B96" s="75" t="s">
        <v>40</v>
      </c>
      <c r="C96" s="54"/>
      <c r="J96" s="81"/>
      <c r="K96" s="76"/>
      <c r="L96" s="38"/>
    </row>
    <row r="97" spans="1:12" x14ac:dyDescent="0.2">
      <c r="A97" s="144">
        <f t="shared" si="45"/>
        <v>85</v>
      </c>
      <c r="B97" s="17" t="s">
        <v>41</v>
      </c>
      <c r="C97" s="46">
        <v>0</v>
      </c>
      <c r="D97" s="54">
        <f>C97</f>
        <v>0</v>
      </c>
      <c r="E97" s="46">
        <f>+C97-D97</f>
        <v>0</v>
      </c>
      <c r="F97" s="54">
        <v>0</v>
      </c>
      <c r="G97" s="27">
        <f>+E97+F97</f>
        <v>0</v>
      </c>
      <c r="H97" s="54">
        <v>0</v>
      </c>
      <c r="I97" s="46">
        <f>+G97+H97</f>
        <v>0</v>
      </c>
      <c r="J97" s="51">
        <f>VLOOKUP(L97,$C$308:$D$322,2,FALSE)</f>
        <v>0</v>
      </c>
      <c r="K97" s="27">
        <f>IF(I97*J97=0,0, ROUND(I97*J97,0))</f>
        <v>0</v>
      </c>
      <c r="L97" s="83" t="s">
        <v>238</v>
      </c>
    </row>
    <row r="98" spans="1:12" x14ac:dyDescent="0.2">
      <c r="A98" s="144">
        <f t="shared" si="45"/>
        <v>86</v>
      </c>
      <c r="B98" s="75" t="s">
        <v>42</v>
      </c>
      <c r="C98" s="78">
        <f t="shared" ref="C98:I98" si="53">+C97</f>
        <v>0</v>
      </c>
      <c r="D98" s="78">
        <f t="shared" si="53"/>
        <v>0</v>
      </c>
      <c r="E98" s="78">
        <f t="shared" si="53"/>
        <v>0</v>
      </c>
      <c r="F98" s="78">
        <f t="shared" si="53"/>
        <v>0</v>
      </c>
      <c r="G98" s="78">
        <f t="shared" si="53"/>
        <v>0</v>
      </c>
      <c r="H98" s="78">
        <f t="shared" si="53"/>
        <v>0</v>
      </c>
      <c r="I98" s="78">
        <f t="shared" si="53"/>
        <v>0</v>
      </c>
      <c r="J98" s="24"/>
      <c r="K98" s="80">
        <f>SUM(K97)</f>
        <v>0</v>
      </c>
      <c r="L98" s="38"/>
    </row>
    <row r="99" spans="1:12" x14ac:dyDescent="0.2">
      <c r="A99" s="144">
        <f t="shared" si="45"/>
        <v>87</v>
      </c>
      <c r="B99" s="17" t="s">
        <v>0</v>
      </c>
      <c r="C99" s="54"/>
      <c r="J99" s="81"/>
      <c r="K99" s="76"/>
      <c r="L99" s="38"/>
    </row>
    <row r="100" spans="1:12" x14ac:dyDescent="0.2">
      <c r="A100" s="144">
        <f t="shared" si="45"/>
        <v>88</v>
      </c>
      <c r="B100" s="75" t="s">
        <v>43</v>
      </c>
      <c r="C100" s="54"/>
      <c r="J100" s="81"/>
      <c r="K100" s="76"/>
    </row>
    <row r="101" spans="1:12" x14ac:dyDescent="0.2">
      <c r="A101" s="144">
        <f t="shared" si="45"/>
        <v>89</v>
      </c>
      <c r="B101" s="17" t="s">
        <v>44</v>
      </c>
      <c r="C101" s="54">
        <v>-400367.05</v>
      </c>
      <c r="D101" s="54">
        <v>0</v>
      </c>
      <c r="E101" s="54">
        <f t="shared" ref="E101:E124" si="54">+C101-D101</f>
        <v>-400367.05</v>
      </c>
      <c r="F101" s="54">
        <v>0</v>
      </c>
      <c r="G101" s="27">
        <f t="shared" ref="G101:G124" si="55">+E101+F101</f>
        <v>-400367.05</v>
      </c>
      <c r="H101" s="54">
        <v>0</v>
      </c>
      <c r="I101" s="27">
        <f t="shared" ref="I101:I123" si="56">+G101+H101</f>
        <v>-400367.05</v>
      </c>
      <c r="J101" s="51">
        <f t="shared" ref="J101:J124" si="57">VLOOKUP(L101,$C$308:$D$322,2,FALSE)</f>
        <v>0.99</v>
      </c>
      <c r="K101" s="27">
        <f t="shared" ref="K101:K124" si="58">IF(I101*J101=0,0, ROUND(I101*J101,0))</f>
        <v>-396363</v>
      </c>
      <c r="L101" s="18" t="s">
        <v>154</v>
      </c>
    </row>
    <row r="102" spans="1:12" x14ac:dyDescent="0.2">
      <c r="A102" s="144">
        <f t="shared" si="45"/>
        <v>90</v>
      </c>
      <c r="B102" s="17" t="s">
        <v>45</v>
      </c>
      <c r="C102" s="54">
        <v>806005.24</v>
      </c>
      <c r="D102" s="54">
        <v>0</v>
      </c>
      <c r="E102" s="54">
        <f t="shared" si="54"/>
        <v>806005.24</v>
      </c>
      <c r="F102" s="54">
        <v>0</v>
      </c>
      <c r="G102" s="27">
        <f t="shared" si="55"/>
        <v>806005.24</v>
      </c>
      <c r="H102" s="27">
        <v>0</v>
      </c>
      <c r="I102" s="27">
        <f t="shared" si="56"/>
        <v>806005.24</v>
      </c>
      <c r="J102" s="51">
        <f t="shared" si="57"/>
        <v>0.99</v>
      </c>
      <c r="K102" s="27">
        <f t="shared" si="58"/>
        <v>797945</v>
      </c>
      <c r="L102" s="18" t="s">
        <v>154</v>
      </c>
    </row>
    <row r="103" spans="1:12" x14ac:dyDescent="0.2">
      <c r="A103" s="144">
        <f t="shared" si="45"/>
        <v>91</v>
      </c>
      <c r="B103" s="56" t="s">
        <v>243</v>
      </c>
      <c r="C103" s="54">
        <v>846893</v>
      </c>
      <c r="D103" s="54">
        <v>0</v>
      </c>
      <c r="E103" s="54">
        <f t="shared" si="54"/>
        <v>846893</v>
      </c>
      <c r="F103" s="54">
        <v>0</v>
      </c>
      <c r="G103" s="27">
        <f t="shared" si="55"/>
        <v>846893</v>
      </c>
      <c r="H103" s="54">
        <v>0</v>
      </c>
      <c r="I103" s="27">
        <f>+G103+H103</f>
        <v>846893</v>
      </c>
      <c r="J103" s="51">
        <f t="shared" si="57"/>
        <v>0.99</v>
      </c>
      <c r="K103" s="27">
        <f>IF(I103*J103=0,0, ROUND(I103*J103,0))</f>
        <v>838424</v>
      </c>
      <c r="L103" s="18" t="s">
        <v>154</v>
      </c>
    </row>
    <row r="104" spans="1:12" x14ac:dyDescent="0.2">
      <c r="A104" s="144">
        <f t="shared" si="45"/>
        <v>92</v>
      </c>
      <c r="B104" s="17" t="s">
        <v>46</v>
      </c>
      <c r="C104" s="54">
        <v>5178.97</v>
      </c>
      <c r="D104" s="54">
        <v>0</v>
      </c>
      <c r="E104" s="54">
        <f t="shared" si="54"/>
        <v>5178.97</v>
      </c>
      <c r="F104" s="54">
        <v>0</v>
      </c>
      <c r="G104" s="27">
        <f t="shared" si="55"/>
        <v>5178.97</v>
      </c>
      <c r="H104" s="54">
        <v>0</v>
      </c>
      <c r="I104" s="27">
        <f t="shared" si="56"/>
        <v>5178.97</v>
      </c>
      <c r="J104" s="51">
        <f t="shared" si="57"/>
        <v>0.99</v>
      </c>
      <c r="K104" s="27">
        <f t="shared" si="58"/>
        <v>5127</v>
      </c>
      <c r="L104" s="18" t="s">
        <v>154</v>
      </c>
    </row>
    <row r="105" spans="1:12" x14ac:dyDescent="0.2">
      <c r="A105" s="144">
        <f t="shared" si="45"/>
        <v>93</v>
      </c>
      <c r="B105" s="56" t="s">
        <v>244</v>
      </c>
      <c r="C105" s="54">
        <v>-78</v>
      </c>
      <c r="D105" s="54">
        <v>0</v>
      </c>
      <c r="E105" s="54">
        <f t="shared" si="54"/>
        <v>-78</v>
      </c>
      <c r="F105" s="54">
        <v>0</v>
      </c>
      <c r="G105" s="27">
        <f t="shared" si="55"/>
        <v>-78</v>
      </c>
      <c r="H105" s="54">
        <v>0</v>
      </c>
      <c r="I105" s="27">
        <f>+G105+H105</f>
        <v>-78</v>
      </c>
      <c r="J105" s="51">
        <f t="shared" si="57"/>
        <v>0.99</v>
      </c>
      <c r="K105" s="27">
        <f>IF(I105*J105=0,0, ROUND(I105*J105,0))</f>
        <v>-77</v>
      </c>
      <c r="L105" s="18" t="s">
        <v>154</v>
      </c>
    </row>
    <row r="106" spans="1:12" x14ac:dyDescent="0.2">
      <c r="A106" s="144">
        <f t="shared" si="45"/>
        <v>94</v>
      </c>
      <c r="B106" s="17" t="s">
        <v>47</v>
      </c>
      <c r="C106" s="54">
        <v>2727.93</v>
      </c>
      <c r="D106" s="54">
        <v>0</v>
      </c>
      <c r="E106" s="54">
        <f t="shared" si="54"/>
        <v>2727.93</v>
      </c>
      <c r="F106" s="54">
        <v>0</v>
      </c>
      <c r="G106" s="27">
        <f t="shared" si="55"/>
        <v>2727.93</v>
      </c>
      <c r="H106" s="54">
        <v>0</v>
      </c>
      <c r="I106" s="27">
        <f t="shared" si="56"/>
        <v>2727.93</v>
      </c>
      <c r="J106" s="51">
        <f t="shared" si="57"/>
        <v>0.99</v>
      </c>
      <c r="K106" s="27">
        <f t="shared" si="58"/>
        <v>2701</v>
      </c>
      <c r="L106" s="18" t="s">
        <v>154</v>
      </c>
    </row>
    <row r="107" spans="1:12" x14ac:dyDescent="0.2">
      <c r="A107" s="144">
        <f t="shared" si="45"/>
        <v>95</v>
      </c>
      <c r="B107" s="17" t="s">
        <v>48</v>
      </c>
      <c r="C107" s="54">
        <v>-388580.12</v>
      </c>
      <c r="D107" s="54">
        <v>0</v>
      </c>
      <c r="E107" s="54">
        <f t="shared" si="54"/>
        <v>-388580.12</v>
      </c>
      <c r="F107" s="54">
        <v>0</v>
      </c>
      <c r="G107" s="27">
        <f t="shared" si="55"/>
        <v>-388580.12</v>
      </c>
      <c r="H107" s="54">
        <v>0</v>
      </c>
      <c r="I107" s="27">
        <f t="shared" si="56"/>
        <v>-388580.12</v>
      </c>
      <c r="J107" s="51">
        <f t="shared" si="57"/>
        <v>0.99</v>
      </c>
      <c r="K107" s="27">
        <f t="shared" si="58"/>
        <v>-384694</v>
      </c>
      <c r="L107" s="18" t="s">
        <v>154</v>
      </c>
    </row>
    <row r="108" spans="1:12" x14ac:dyDescent="0.2">
      <c r="A108" s="144">
        <f t="shared" si="45"/>
        <v>96</v>
      </c>
      <c r="B108" s="122" t="s">
        <v>367</v>
      </c>
      <c r="C108" s="54">
        <v>0</v>
      </c>
      <c r="D108" s="54"/>
      <c r="E108" s="54">
        <f t="shared" ref="E108" si="59">+C108-D108</f>
        <v>0</v>
      </c>
      <c r="F108" s="54">
        <v>0</v>
      </c>
      <c r="G108" s="27">
        <f t="shared" ref="G108" si="60">+E108+F108</f>
        <v>0</v>
      </c>
      <c r="H108" s="54">
        <v>0</v>
      </c>
      <c r="I108" s="27">
        <f t="shared" ref="I108" si="61">+G108+H108</f>
        <v>0</v>
      </c>
      <c r="J108" s="51">
        <f t="shared" si="57"/>
        <v>0.99</v>
      </c>
      <c r="K108" s="27">
        <f t="shared" ref="K108" si="62">IF(I108*J108=0,0, ROUND(I108*J108,0))</f>
        <v>0</v>
      </c>
      <c r="L108" s="131" t="s">
        <v>154</v>
      </c>
    </row>
    <row r="109" spans="1:12" x14ac:dyDescent="0.2">
      <c r="A109" s="144">
        <f t="shared" si="45"/>
        <v>97</v>
      </c>
      <c r="B109" s="17" t="s">
        <v>49</v>
      </c>
      <c r="C109" s="54">
        <v>260029.39</v>
      </c>
      <c r="D109" s="54">
        <v>0</v>
      </c>
      <c r="E109" s="54">
        <f t="shared" si="54"/>
        <v>260029.39</v>
      </c>
      <c r="F109" s="54">
        <v>0</v>
      </c>
      <c r="G109" s="27">
        <f t="shared" si="55"/>
        <v>260029.39</v>
      </c>
      <c r="H109" s="54">
        <v>0</v>
      </c>
      <c r="I109" s="27">
        <f t="shared" si="56"/>
        <v>260029.39</v>
      </c>
      <c r="J109" s="51">
        <f t="shared" si="57"/>
        <v>1</v>
      </c>
      <c r="K109" s="27">
        <f t="shared" si="58"/>
        <v>260029</v>
      </c>
      <c r="L109" s="84" t="s">
        <v>146</v>
      </c>
    </row>
    <row r="110" spans="1:12" x14ac:dyDescent="0.2">
      <c r="A110" s="144">
        <f t="shared" si="45"/>
        <v>98</v>
      </c>
      <c r="B110" s="17" t="s">
        <v>307</v>
      </c>
      <c r="C110" s="54">
        <v>0</v>
      </c>
      <c r="D110" s="54">
        <v>0</v>
      </c>
      <c r="E110" s="54">
        <f t="shared" ref="E110" si="63">+C110-D110</f>
        <v>0</v>
      </c>
      <c r="F110" s="54">
        <v>0</v>
      </c>
      <c r="G110" s="27">
        <f t="shared" ref="G110" si="64">+E110+F110</f>
        <v>0</v>
      </c>
      <c r="H110" s="54">
        <v>0</v>
      </c>
      <c r="I110" s="27">
        <f>+G110+H110</f>
        <v>0</v>
      </c>
      <c r="J110" s="51">
        <f t="shared" si="57"/>
        <v>0.99</v>
      </c>
      <c r="K110" s="27">
        <f>IF(I110*J110=0,0, ROUND(I110*J110,0))</f>
        <v>0</v>
      </c>
      <c r="L110" s="18" t="s">
        <v>154</v>
      </c>
    </row>
    <row r="111" spans="1:12" x14ac:dyDescent="0.2">
      <c r="A111" s="144">
        <f t="shared" si="45"/>
        <v>99</v>
      </c>
      <c r="B111" s="56" t="s">
        <v>245</v>
      </c>
      <c r="C111" s="54">
        <v>1192571.3999999999</v>
      </c>
      <c r="D111" s="54">
        <v>0</v>
      </c>
      <c r="E111" s="54">
        <f t="shared" si="54"/>
        <v>1192571.3999999999</v>
      </c>
      <c r="F111" s="54">
        <v>0</v>
      </c>
      <c r="G111" s="27">
        <f t="shared" si="55"/>
        <v>1192571.3999999999</v>
      </c>
      <c r="H111" s="54">
        <v>0</v>
      </c>
      <c r="I111" s="27">
        <f>+G111+H111</f>
        <v>1192571.3999999999</v>
      </c>
      <c r="J111" s="51">
        <f t="shared" si="57"/>
        <v>0.99</v>
      </c>
      <c r="K111" s="27">
        <f>IF(I111*J111=0,0, ROUND(I111*J111,0))</f>
        <v>1180646</v>
      </c>
      <c r="L111" s="18" t="s">
        <v>154</v>
      </c>
    </row>
    <row r="112" spans="1:12" x14ac:dyDescent="0.2">
      <c r="A112" s="144">
        <f t="shared" si="45"/>
        <v>100</v>
      </c>
      <c r="B112" s="17" t="s">
        <v>50</v>
      </c>
      <c r="C112" s="54">
        <v>6282.92</v>
      </c>
      <c r="D112" s="54">
        <v>0</v>
      </c>
      <c r="E112" s="54">
        <f t="shared" si="54"/>
        <v>6282.92</v>
      </c>
      <c r="F112" s="54">
        <v>0</v>
      </c>
      <c r="G112" s="27">
        <f t="shared" si="55"/>
        <v>6282.92</v>
      </c>
      <c r="H112" s="54">
        <v>0</v>
      </c>
      <c r="I112" s="27">
        <f t="shared" si="56"/>
        <v>6282.92</v>
      </c>
      <c r="J112" s="51">
        <f t="shared" si="57"/>
        <v>0.99</v>
      </c>
      <c r="K112" s="27">
        <f t="shared" si="58"/>
        <v>6220</v>
      </c>
      <c r="L112" s="18" t="s">
        <v>154</v>
      </c>
    </row>
    <row r="113" spans="1:12" x14ac:dyDescent="0.2">
      <c r="A113" s="144">
        <f t="shared" si="45"/>
        <v>101</v>
      </c>
      <c r="B113" s="56" t="s">
        <v>277</v>
      </c>
      <c r="C113" s="54">
        <v>11095.73</v>
      </c>
      <c r="D113" s="54">
        <v>0</v>
      </c>
      <c r="E113" s="54">
        <f>+C113-D113</f>
        <v>11095.73</v>
      </c>
      <c r="F113" s="54">
        <v>0</v>
      </c>
      <c r="G113" s="27">
        <f t="shared" si="55"/>
        <v>11095.73</v>
      </c>
      <c r="H113" s="54">
        <v>0</v>
      </c>
      <c r="I113" s="27">
        <f t="shared" ref="I113:I117" si="65">+G113+H113</f>
        <v>11095.73</v>
      </c>
      <c r="J113" s="51">
        <f t="shared" si="57"/>
        <v>0.99</v>
      </c>
      <c r="K113" s="27">
        <f t="shared" ref="K113:K117" si="66">IF(I113*J113=0,0, ROUND(I113*J113,0))</f>
        <v>10985</v>
      </c>
      <c r="L113" s="18" t="s">
        <v>154</v>
      </c>
    </row>
    <row r="114" spans="1:12" x14ac:dyDescent="0.2">
      <c r="A114" s="144">
        <f t="shared" si="45"/>
        <v>102</v>
      </c>
      <c r="B114" s="56" t="s">
        <v>246</v>
      </c>
      <c r="C114" s="54">
        <v>495300.58</v>
      </c>
      <c r="D114" s="54">
        <v>0</v>
      </c>
      <c r="E114" s="54">
        <f t="shared" si="54"/>
        <v>495300.58</v>
      </c>
      <c r="F114" s="54">
        <v>0</v>
      </c>
      <c r="G114" s="27">
        <f t="shared" si="55"/>
        <v>495300.58</v>
      </c>
      <c r="H114" s="54">
        <v>0</v>
      </c>
      <c r="I114" s="27">
        <f t="shared" si="65"/>
        <v>495300.58</v>
      </c>
      <c r="J114" s="51">
        <f t="shared" si="57"/>
        <v>0.99</v>
      </c>
      <c r="K114" s="27">
        <f t="shared" si="66"/>
        <v>490348</v>
      </c>
      <c r="L114" s="18" t="s">
        <v>154</v>
      </c>
    </row>
    <row r="115" spans="1:12" x14ac:dyDescent="0.2">
      <c r="A115" s="144">
        <f t="shared" si="45"/>
        <v>103</v>
      </c>
      <c r="B115" s="64" t="s">
        <v>308</v>
      </c>
      <c r="C115" s="54">
        <v>0</v>
      </c>
      <c r="D115" s="54">
        <v>0</v>
      </c>
      <c r="E115" s="54">
        <f t="shared" ref="E115" si="67">+C115-D115</f>
        <v>0</v>
      </c>
      <c r="F115" s="54">
        <v>0</v>
      </c>
      <c r="G115" s="27">
        <f t="shared" ref="G115" si="68">+E115+F115</f>
        <v>0</v>
      </c>
      <c r="H115" s="54">
        <v>0</v>
      </c>
      <c r="I115" s="27">
        <f>+G115+H115</f>
        <v>0</v>
      </c>
      <c r="J115" s="51">
        <f t="shared" si="57"/>
        <v>0</v>
      </c>
      <c r="K115" s="27">
        <f>IF(I115*J115=0,0, ROUND(I115*J115,0))</f>
        <v>0</v>
      </c>
      <c r="L115" s="18" t="s">
        <v>152</v>
      </c>
    </row>
    <row r="116" spans="1:12" x14ac:dyDescent="0.2">
      <c r="A116" s="144">
        <f t="shared" si="45"/>
        <v>104</v>
      </c>
      <c r="B116" s="64" t="s">
        <v>309</v>
      </c>
      <c r="C116" s="54">
        <v>0</v>
      </c>
      <c r="D116" s="54">
        <v>0</v>
      </c>
      <c r="E116" s="54">
        <f t="shared" ref="E116" si="69">+C116-D116</f>
        <v>0</v>
      </c>
      <c r="F116" s="54">
        <v>0</v>
      </c>
      <c r="G116" s="27">
        <f t="shared" ref="G116" si="70">+E116+F116</f>
        <v>0</v>
      </c>
      <c r="H116" s="54">
        <v>0</v>
      </c>
      <c r="I116" s="27">
        <f>+G116+H116</f>
        <v>0</v>
      </c>
      <c r="J116" s="51">
        <f t="shared" si="57"/>
        <v>0</v>
      </c>
      <c r="K116" s="27">
        <f>IF(I116*J116=0,0, ROUND(I116*J116,0))</f>
        <v>0</v>
      </c>
      <c r="L116" s="18" t="s">
        <v>152</v>
      </c>
    </row>
    <row r="117" spans="1:12" x14ac:dyDescent="0.2">
      <c r="A117" s="144">
        <f t="shared" si="45"/>
        <v>105</v>
      </c>
      <c r="B117" s="56" t="s">
        <v>264</v>
      </c>
      <c r="C117" s="54">
        <v>0</v>
      </c>
      <c r="D117" s="27">
        <f>C117</f>
        <v>0</v>
      </c>
      <c r="E117" s="54">
        <f>+C117-D117</f>
        <v>0</v>
      </c>
      <c r="F117" s="54">
        <v>0</v>
      </c>
      <c r="G117" s="27">
        <f t="shared" si="55"/>
        <v>0</v>
      </c>
      <c r="H117" s="54">
        <v>0</v>
      </c>
      <c r="I117" s="27">
        <f t="shared" si="65"/>
        <v>0</v>
      </c>
      <c r="J117" s="51">
        <f t="shared" si="57"/>
        <v>0</v>
      </c>
      <c r="K117" s="27">
        <f t="shared" si="66"/>
        <v>0</v>
      </c>
      <c r="L117" s="18" t="s">
        <v>152</v>
      </c>
    </row>
    <row r="118" spans="1:12" x14ac:dyDescent="0.2">
      <c r="A118" s="144">
        <f t="shared" si="45"/>
        <v>106</v>
      </c>
      <c r="B118" s="17" t="s">
        <v>51</v>
      </c>
      <c r="C118" s="54">
        <v>0</v>
      </c>
      <c r="D118" s="27">
        <f>C118</f>
        <v>0</v>
      </c>
      <c r="E118" s="54">
        <f t="shared" si="54"/>
        <v>0</v>
      </c>
      <c r="F118" s="54">
        <v>0</v>
      </c>
      <c r="G118" s="27">
        <f t="shared" si="55"/>
        <v>0</v>
      </c>
      <c r="H118" s="54">
        <v>0</v>
      </c>
      <c r="I118" s="27">
        <f t="shared" si="56"/>
        <v>0</v>
      </c>
      <c r="J118" s="51">
        <f t="shared" si="57"/>
        <v>0.99299999999999999</v>
      </c>
      <c r="K118" s="27">
        <f t="shared" si="58"/>
        <v>0</v>
      </c>
      <c r="L118" s="18" t="s">
        <v>300</v>
      </c>
    </row>
    <row r="119" spans="1:12" x14ac:dyDescent="0.2">
      <c r="A119" s="144">
        <f t="shared" si="45"/>
        <v>107</v>
      </c>
      <c r="B119" s="17" t="s">
        <v>52</v>
      </c>
      <c r="C119" s="54">
        <v>-21972</v>
      </c>
      <c r="D119" s="27">
        <v>0</v>
      </c>
      <c r="E119" s="54">
        <f t="shared" si="54"/>
        <v>-21972</v>
      </c>
      <c r="F119" s="54">
        <v>0</v>
      </c>
      <c r="G119" s="27">
        <f t="shared" si="55"/>
        <v>-21972</v>
      </c>
      <c r="H119" s="54">
        <v>0</v>
      </c>
      <c r="I119" s="27">
        <f t="shared" si="56"/>
        <v>-21972</v>
      </c>
      <c r="J119" s="51">
        <f t="shared" si="57"/>
        <v>0</v>
      </c>
      <c r="K119" s="27">
        <f t="shared" si="58"/>
        <v>0</v>
      </c>
      <c r="L119" s="18" t="s">
        <v>152</v>
      </c>
    </row>
    <row r="120" spans="1:12" x14ac:dyDescent="0.2">
      <c r="A120" s="144">
        <f t="shared" si="45"/>
        <v>108</v>
      </c>
      <c r="B120" s="17" t="s">
        <v>53</v>
      </c>
      <c r="C120" s="54">
        <v>-7441</v>
      </c>
      <c r="D120" s="27">
        <v>0</v>
      </c>
      <c r="E120" s="54">
        <f t="shared" si="54"/>
        <v>-7441</v>
      </c>
      <c r="F120" s="54">
        <v>0</v>
      </c>
      <c r="G120" s="27">
        <f t="shared" si="55"/>
        <v>-7441</v>
      </c>
      <c r="H120" s="54">
        <v>0</v>
      </c>
      <c r="I120" s="27">
        <f t="shared" si="56"/>
        <v>-7441</v>
      </c>
      <c r="J120" s="51">
        <f t="shared" si="57"/>
        <v>0</v>
      </c>
      <c r="K120" s="27">
        <f t="shared" si="58"/>
        <v>0</v>
      </c>
      <c r="L120" s="18" t="s">
        <v>152</v>
      </c>
    </row>
    <row r="121" spans="1:12" x14ac:dyDescent="0.2">
      <c r="A121" s="144">
        <f t="shared" si="45"/>
        <v>109</v>
      </c>
      <c r="B121" s="17" t="s">
        <v>54</v>
      </c>
      <c r="C121" s="54">
        <v>0</v>
      </c>
      <c r="D121" s="27">
        <f>C121</f>
        <v>0</v>
      </c>
      <c r="E121" s="54">
        <f t="shared" si="54"/>
        <v>0</v>
      </c>
      <c r="F121" s="54">
        <v>0</v>
      </c>
      <c r="G121" s="27">
        <f t="shared" si="55"/>
        <v>0</v>
      </c>
      <c r="H121" s="54">
        <v>0</v>
      </c>
      <c r="I121" s="27">
        <f t="shared" si="56"/>
        <v>0</v>
      </c>
      <c r="J121" s="51">
        <f t="shared" si="57"/>
        <v>0.99299999999999999</v>
      </c>
      <c r="K121" s="27">
        <f t="shared" si="58"/>
        <v>0</v>
      </c>
      <c r="L121" s="84" t="s">
        <v>300</v>
      </c>
    </row>
    <row r="122" spans="1:12" x14ac:dyDescent="0.2">
      <c r="A122" s="144">
        <f t="shared" si="45"/>
        <v>110</v>
      </c>
      <c r="B122" s="17" t="s">
        <v>55</v>
      </c>
      <c r="C122" s="54">
        <v>96844.88</v>
      </c>
      <c r="D122" s="54">
        <v>0</v>
      </c>
      <c r="E122" s="54">
        <f t="shared" si="54"/>
        <v>96844.88</v>
      </c>
      <c r="F122" s="54">
        <v>0</v>
      </c>
      <c r="G122" s="27">
        <f t="shared" si="55"/>
        <v>96844.88</v>
      </c>
      <c r="H122" s="54">
        <v>0</v>
      </c>
      <c r="I122" s="27">
        <f t="shared" si="56"/>
        <v>96844.88</v>
      </c>
      <c r="J122" s="51">
        <f t="shared" si="57"/>
        <v>0.98499999999999999</v>
      </c>
      <c r="K122" s="27">
        <f t="shared" si="58"/>
        <v>95392</v>
      </c>
      <c r="L122" s="18" t="s">
        <v>155</v>
      </c>
    </row>
    <row r="123" spans="1:12" x14ac:dyDescent="0.2">
      <c r="A123" s="144">
        <f t="shared" si="45"/>
        <v>111</v>
      </c>
      <c r="B123" s="17" t="s">
        <v>178</v>
      </c>
      <c r="C123" s="82">
        <v>0</v>
      </c>
      <c r="D123" s="54">
        <v>0</v>
      </c>
      <c r="E123" s="54">
        <f t="shared" si="54"/>
        <v>0</v>
      </c>
      <c r="F123" s="54">
        <v>0</v>
      </c>
      <c r="G123" s="27">
        <f t="shared" si="55"/>
        <v>0</v>
      </c>
      <c r="H123" s="27">
        <v>0</v>
      </c>
      <c r="I123" s="27">
        <f t="shared" si="56"/>
        <v>0</v>
      </c>
      <c r="J123" s="51">
        <f t="shared" si="57"/>
        <v>1</v>
      </c>
      <c r="K123" s="27">
        <f t="shared" si="58"/>
        <v>0</v>
      </c>
      <c r="L123" s="18" t="s">
        <v>146</v>
      </c>
    </row>
    <row r="124" spans="1:12" x14ac:dyDescent="0.2">
      <c r="A124" s="144">
        <f t="shared" si="45"/>
        <v>112</v>
      </c>
      <c r="B124" s="17" t="s">
        <v>179</v>
      </c>
      <c r="C124" s="82">
        <v>0</v>
      </c>
      <c r="D124" s="82">
        <v>0</v>
      </c>
      <c r="E124" s="82">
        <f t="shared" si="54"/>
        <v>0</v>
      </c>
      <c r="F124" s="54">
        <v>0</v>
      </c>
      <c r="G124" s="27">
        <f t="shared" si="55"/>
        <v>0</v>
      </c>
      <c r="H124" s="27">
        <v>0</v>
      </c>
      <c r="I124" s="82">
        <f>+G124+H124</f>
        <v>0</v>
      </c>
      <c r="J124" s="51">
        <f t="shared" si="57"/>
        <v>1</v>
      </c>
      <c r="K124" s="27">
        <f t="shared" si="58"/>
        <v>0</v>
      </c>
      <c r="L124" s="18" t="s">
        <v>146</v>
      </c>
    </row>
    <row r="125" spans="1:12" x14ac:dyDescent="0.2">
      <c r="A125" s="18">
        <f t="shared" ref="A125:A150" si="71">+A124+1</f>
        <v>113</v>
      </c>
      <c r="B125" s="75" t="s">
        <v>56</v>
      </c>
      <c r="C125" s="78">
        <f t="shared" ref="C125:I125" si="72">SUM(C101:C124)</f>
        <v>2904491.8699999996</v>
      </c>
      <c r="D125" s="78">
        <f t="shared" si="72"/>
        <v>0</v>
      </c>
      <c r="E125" s="78">
        <f t="shared" si="72"/>
        <v>2904491.8699999996</v>
      </c>
      <c r="F125" s="78">
        <f t="shared" si="72"/>
        <v>0</v>
      </c>
      <c r="G125" s="78">
        <f t="shared" si="72"/>
        <v>2904491.8699999996</v>
      </c>
      <c r="H125" s="78">
        <f t="shared" si="72"/>
        <v>0</v>
      </c>
      <c r="I125" s="78">
        <f t="shared" si="72"/>
        <v>2904491.8699999996</v>
      </c>
      <c r="J125" s="24"/>
      <c r="K125" s="80">
        <f>SUM(K101:K124)</f>
        <v>2906683</v>
      </c>
    </row>
    <row r="126" spans="1:12" x14ac:dyDescent="0.2">
      <c r="A126" s="18">
        <f t="shared" si="71"/>
        <v>114</v>
      </c>
      <c r="B126" s="17" t="s">
        <v>0</v>
      </c>
      <c r="C126" s="54"/>
      <c r="J126" s="81"/>
      <c r="K126" s="76"/>
    </row>
    <row r="127" spans="1:12" x14ac:dyDescent="0.2">
      <c r="A127" s="18">
        <f t="shared" si="71"/>
        <v>115</v>
      </c>
      <c r="B127" s="75" t="s">
        <v>57</v>
      </c>
      <c r="C127" s="54"/>
      <c r="J127" s="81"/>
      <c r="K127" s="76"/>
    </row>
    <row r="128" spans="1:12" x14ac:dyDescent="0.2">
      <c r="A128" s="18">
        <f t="shared" si="71"/>
        <v>116</v>
      </c>
      <c r="B128" s="17" t="s">
        <v>58</v>
      </c>
      <c r="C128" s="54">
        <v>2677.01</v>
      </c>
      <c r="D128" s="54">
        <v>0</v>
      </c>
      <c r="E128" s="54">
        <f t="shared" ref="E128" si="73">+C128-D128</f>
        <v>2677.01</v>
      </c>
      <c r="F128" s="54">
        <v>0</v>
      </c>
      <c r="G128" s="27">
        <f t="shared" ref="G128:G159" si="74">+E128+F128</f>
        <v>2677.01</v>
      </c>
      <c r="H128" s="54">
        <v>0</v>
      </c>
      <c r="I128" s="27">
        <f t="shared" ref="I128:I136" si="75">+G128+H128</f>
        <v>2677.01</v>
      </c>
      <c r="J128" s="51">
        <f t="shared" ref="J128:J146" si="76">VLOOKUP(L128,$C$308:$D$322,2,FALSE)</f>
        <v>0.999</v>
      </c>
      <c r="K128" s="27">
        <f t="shared" ref="K128:K136" si="77">IF(I128*J128=0,0, ROUND(I128*J128,0))</f>
        <v>2674</v>
      </c>
      <c r="L128" s="18" t="s">
        <v>150</v>
      </c>
    </row>
    <row r="129" spans="1:12" x14ac:dyDescent="0.2">
      <c r="A129" s="18">
        <f t="shared" si="71"/>
        <v>117</v>
      </c>
      <c r="B129" s="17" t="s">
        <v>59</v>
      </c>
      <c r="C129" s="54">
        <v>530744.49</v>
      </c>
      <c r="D129" s="54">
        <v>0</v>
      </c>
      <c r="E129" s="54">
        <f t="shared" ref="E129:E139" si="78">+C129-D129</f>
        <v>530744.49</v>
      </c>
      <c r="F129" s="54">
        <v>0</v>
      </c>
      <c r="G129" s="27">
        <f t="shared" si="74"/>
        <v>530744.49</v>
      </c>
      <c r="H129" s="54">
        <v>0</v>
      </c>
      <c r="I129" s="27">
        <f t="shared" si="75"/>
        <v>530744.49</v>
      </c>
      <c r="J129" s="51">
        <f t="shared" si="76"/>
        <v>0.99299999999999999</v>
      </c>
      <c r="K129" s="27">
        <f t="shared" si="77"/>
        <v>527029</v>
      </c>
      <c r="L129" s="18" t="s">
        <v>300</v>
      </c>
    </row>
    <row r="130" spans="1:12" x14ac:dyDescent="0.2">
      <c r="A130" s="18">
        <f t="shared" si="71"/>
        <v>118</v>
      </c>
      <c r="B130" s="56" t="s">
        <v>291</v>
      </c>
      <c r="C130" s="54">
        <v>2066558.88</v>
      </c>
      <c r="D130" s="54">
        <v>0</v>
      </c>
      <c r="E130" s="54">
        <f t="shared" si="78"/>
        <v>2066558.88</v>
      </c>
      <c r="F130" s="54">
        <v>0</v>
      </c>
      <c r="G130" s="27">
        <f t="shared" si="74"/>
        <v>2066558.88</v>
      </c>
      <c r="H130" s="54">
        <v>0</v>
      </c>
      <c r="I130" s="27">
        <f>+G130+H130</f>
        <v>2066558.88</v>
      </c>
      <c r="J130" s="51">
        <f t="shared" si="76"/>
        <v>0.98499999999999999</v>
      </c>
      <c r="K130" s="27">
        <f>IF(I130*J130=0,0, ROUND(I130*J130,0))</f>
        <v>2035560</v>
      </c>
      <c r="L130" s="18" t="s">
        <v>237</v>
      </c>
    </row>
    <row r="131" spans="1:12" x14ac:dyDescent="0.2">
      <c r="A131" s="18">
        <f t="shared" si="71"/>
        <v>119</v>
      </c>
      <c r="B131" s="56" t="s">
        <v>263</v>
      </c>
      <c r="C131" s="54">
        <v>0</v>
      </c>
      <c r="D131" s="54">
        <v>0</v>
      </c>
      <c r="E131" s="54">
        <f>+C131-D131</f>
        <v>0</v>
      </c>
      <c r="F131" s="54">
        <v>0</v>
      </c>
      <c r="G131" s="27">
        <f t="shared" si="74"/>
        <v>0</v>
      </c>
      <c r="H131" s="54">
        <v>0</v>
      </c>
      <c r="I131" s="27">
        <f>+G131+H131</f>
        <v>0</v>
      </c>
      <c r="J131" s="51">
        <f t="shared" si="76"/>
        <v>1</v>
      </c>
      <c r="K131" s="27">
        <f>IF(I131*J131=0,0, ROUND(I131*J131,0))</f>
        <v>0</v>
      </c>
      <c r="L131" s="18" t="s">
        <v>146</v>
      </c>
    </row>
    <row r="132" spans="1:12" x14ac:dyDescent="0.2">
      <c r="A132" s="18">
        <f t="shared" si="71"/>
        <v>120</v>
      </c>
      <c r="B132" s="17" t="s">
        <v>60</v>
      </c>
      <c r="C132" s="54">
        <v>6973.74</v>
      </c>
      <c r="D132" s="54">
        <v>0</v>
      </c>
      <c r="E132" s="54">
        <f t="shared" si="78"/>
        <v>6973.74</v>
      </c>
      <c r="F132" s="54">
        <v>0</v>
      </c>
      <c r="G132" s="27">
        <f t="shared" si="74"/>
        <v>6973.74</v>
      </c>
      <c r="H132" s="27">
        <v>0</v>
      </c>
      <c r="I132" s="27">
        <f t="shared" si="75"/>
        <v>6973.74</v>
      </c>
      <c r="J132" s="51">
        <f t="shared" si="76"/>
        <v>0.99299999999999999</v>
      </c>
      <c r="K132" s="27">
        <f t="shared" si="77"/>
        <v>6925</v>
      </c>
      <c r="L132" s="18" t="s">
        <v>300</v>
      </c>
    </row>
    <row r="133" spans="1:12" x14ac:dyDescent="0.2">
      <c r="A133" s="18">
        <f t="shared" si="71"/>
        <v>121</v>
      </c>
      <c r="B133" s="17" t="s">
        <v>310</v>
      </c>
      <c r="C133" s="54">
        <v>-121087.35</v>
      </c>
      <c r="D133" s="54">
        <v>0</v>
      </c>
      <c r="E133" s="54">
        <f t="shared" si="78"/>
        <v>-121087.35</v>
      </c>
      <c r="F133" s="54">
        <v>0</v>
      </c>
      <c r="G133" s="27">
        <f t="shared" si="74"/>
        <v>-121087.35</v>
      </c>
      <c r="H133" s="54">
        <v>0</v>
      </c>
      <c r="I133" s="27">
        <f>+G133+H133</f>
        <v>-121087.35</v>
      </c>
      <c r="J133" s="51">
        <f t="shared" si="76"/>
        <v>0.99299999999999999</v>
      </c>
      <c r="K133" s="27">
        <f>IF(I133*J133=0,0, ROUND(I133*J133,0))</f>
        <v>-120240</v>
      </c>
      <c r="L133" s="18" t="s">
        <v>300</v>
      </c>
    </row>
    <row r="134" spans="1:12" x14ac:dyDescent="0.2">
      <c r="A134" s="18">
        <f t="shared" si="71"/>
        <v>122</v>
      </c>
      <c r="B134" s="17" t="s">
        <v>311</v>
      </c>
      <c r="C134" s="54">
        <v>73994.080000000002</v>
      </c>
      <c r="D134" s="54">
        <v>0</v>
      </c>
      <c r="E134" s="54">
        <f t="shared" si="78"/>
        <v>73994.080000000002</v>
      </c>
      <c r="F134" s="54">
        <v>0</v>
      </c>
      <c r="G134" s="27">
        <f t="shared" si="74"/>
        <v>73994.080000000002</v>
      </c>
      <c r="H134" s="54">
        <v>0</v>
      </c>
      <c r="I134" s="27">
        <f>+G134+H134</f>
        <v>73994.080000000002</v>
      </c>
      <c r="J134" s="51">
        <f t="shared" si="76"/>
        <v>0.99299999999999999</v>
      </c>
      <c r="K134" s="27">
        <f>IF(I134*J134=0,0, ROUND(I134*J134,0))</f>
        <v>73476</v>
      </c>
      <c r="L134" s="18" t="s">
        <v>300</v>
      </c>
    </row>
    <row r="135" spans="1:12" x14ac:dyDescent="0.2">
      <c r="A135" s="18">
        <f t="shared" si="71"/>
        <v>123</v>
      </c>
      <c r="B135" s="17" t="s">
        <v>61</v>
      </c>
      <c r="C135" s="54">
        <v>0</v>
      </c>
      <c r="D135" s="54">
        <v>0</v>
      </c>
      <c r="E135" s="54">
        <f t="shared" si="78"/>
        <v>0</v>
      </c>
      <c r="F135" s="54">
        <v>0</v>
      </c>
      <c r="G135" s="27">
        <f t="shared" si="74"/>
        <v>0</v>
      </c>
      <c r="H135" s="54">
        <v>0</v>
      </c>
      <c r="I135" s="27">
        <f t="shared" si="75"/>
        <v>0</v>
      </c>
      <c r="J135" s="51">
        <f t="shared" si="76"/>
        <v>0.98499999999999999</v>
      </c>
      <c r="K135" s="27">
        <f t="shared" si="77"/>
        <v>0</v>
      </c>
      <c r="L135" s="18" t="s">
        <v>155</v>
      </c>
    </row>
    <row r="136" spans="1:12" x14ac:dyDescent="0.2">
      <c r="A136" s="18">
        <f t="shared" si="71"/>
        <v>124</v>
      </c>
      <c r="B136" s="17" t="s">
        <v>62</v>
      </c>
      <c r="C136" s="82">
        <v>-12588</v>
      </c>
      <c r="D136" s="54">
        <f>C136</f>
        <v>-12588</v>
      </c>
      <c r="E136" s="82">
        <f t="shared" si="78"/>
        <v>0</v>
      </c>
      <c r="F136" s="54">
        <v>0</v>
      </c>
      <c r="G136" s="27">
        <f t="shared" si="74"/>
        <v>0</v>
      </c>
      <c r="H136" s="54">
        <v>0</v>
      </c>
      <c r="I136" s="41">
        <f t="shared" si="75"/>
        <v>0</v>
      </c>
      <c r="J136" s="51">
        <f t="shared" si="76"/>
        <v>0</v>
      </c>
      <c r="K136" s="27">
        <f t="shared" si="77"/>
        <v>0</v>
      </c>
      <c r="L136" s="83" t="s">
        <v>238</v>
      </c>
    </row>
    <row r="137" spans="1:12" x14ac:dyDescent="0.2">
      <c r="A137" s="18">
        <f t="shared" si="71"/>
        <v>125</v>
      </c>
      <c r="B137" s="56" t="s">
        <v>247</v>
      </c>
      <c r="C137" s="54">
        <v>-846893</v>
      </c>
      <c r="D137" s="54">
        <v>0</v>
      </c>
      <c r="E137" s="54">
        <f t="shared" si="78"/>
        <v>-846893</v>
      </c>
      <c r="F137" s="54">
        <v>0</v>
      </c>
      <c r="G137" s="27">
        <f t="shared" si="74"/>
        <v>-846893</v>
      </c>
      <c r="H137" s="54">
        <v>0</v>
      </c>
      <c r="I137" s="27">
        <f t="shared" ref="I137:I139" si="79">+G137+H137</f>
        <v>-846893</v>
      </c>
      <c r="J137" s="51">
        <f t="shared" si="76"/>
        <v>0.99</v>
      </c>
      <c r="K137" s="27">
        <f t="shared" ref="K137:K139" si="80">IF(I137*J137=0,0, ROUND(I137*J137,0))</f>
        <v>-838424</v>
      </c>
      <c r="L137" s="18" t="s">
        <v>154</v>
      </c>
    </row>
    <row r="138" spans="1:12" x14ac:dyDescent="0.2">
      <c r="A138" s="18">
        <f t="shared" si="71"/>
        <v>126</v>
      </c>
      <c r="B138" s="56" t="s">
        <v>248</v>
      </c>
      <c r="C138" s="54">
        <v>78</v>
      </c>
      <c r="D138" s="54">
        <v>0</v>
      </c>
      <c r="E138" s="54">
        <f t="shared" si="78"/>
        <v>78</v>
      </c>
      <c r="F138" s="54">
        <v>0</v>
      </c>
      <c r="G138" s="27">
        <f t="shared" si="74"/>
        <v>78</v>
      </c>
      <c r="H138" s="54">
        <v>0</v>
      </c>
      <c r="I138" s="27">
        <f t="shared" si="79"/>
        <v>78</v>
      </c>
      <c r="J138" s="51">
        <f t="shared" si="76"/>
        <v>0.99</v>
      </c>
      <c r="K138" s="27">
        <f t="shared" si="80"/>
        <v>77</v>
      </c>
      <c r="L138" s="18" t="s">
        <v>154</v>
      </c>
    </row>
    <row r="139" spans="1:12" x14ac:dyDescent="0.2">
      <c r="A139" s="18">
        <f t="shared" si="71"/>
        <v>127</v>
      </c>
      <c r="B139" s="56" t="s">
        <v>249</v>
      </c>
      <c r="C139" s="54">
        <v>3728444</v>
      </c>
      <c r="D139" s="54">
        <v>0</v>
      </c>
      <c r="E139" s="54">
        <f t="shared" si="78"/>
        <v>3728444</v>
      </c>
      <c r="F139" s="54">
        <v>0</v>
      </c>
      <c r="G139" s="27">
        <f t="shared" si="74"/>
        <v>3728444</v>
      </c>
      <c r="H139" s="54">
        <v>0</v>
      </c>
      <c r="I139" s="27">
        <f t="shared" si="79"/>
        <v>3728444</v>
      </c>
      <c r="J139" s="51">
        <f t="shared" si="76"/>
        <v>0.99</v>
      </c>
      <c r="K139" s="27">
        <f t="shared" si="80"/>
        <v>3691160</v>
      </c>
      <c r="L139" s="18" t="s">
        <v>154</v>
      </c>
    </row>
    <row r="140" spans="1:12" x14ac:dyDescent="0.2">
      <c r="A140" s="18">
        <f t="shared" si="71"/>
        <v>128</v>
      </c>
      <c r="B140" s="56" t="s">
        <v>281</v>
      </c>
      <c r="C140" s="54">
        <v>0</v>
      </c>
      <c r="D140" s="27">
        <v>0</v>
      </c>
      <c r="E140" s="54">
        <f t="shared" ref="E140:E170" si="81">+C140-D140</f>
        <v>0</v>
      </c>
      <c r="F140" s="54">
        <v>0</v>
      </c>
      <c r="G140" s="27">
        <f t="shared" si="74"/>
        <v>0</v>
      </c>
      <c r="H140" s="54">
        <v>0</v>
      </c>
      <c r="I140" s="27">
        <f t="shared" ref="I140:I170" si="82">+G140+H140</f>
        <v>0</v>
      </c>
      <c r="J140" s="51">
        <f t="shared" si="76"/>
        <v>0.98499999999999999</v>
      </c>
      <c r="K140" s="27">
        <f t="shared" ref="K140:K170" si="83">IF(I140*J140=0,0, ROUND(I140*J140,0))</f>
        <v>0</v>
      </c>
      <c r="L140" s="18" t="s">
        <v>155</v>
      </c>
    </row>
    <row r="141" spans="1:12" x14ac:dyDescent="0.2">
      <c r="A141" s="18">
        <f t="shared" si="71"/>
        <v>129</v>
      </c>
      <c r="B141" s="56" t="s">
        <v>250</v>
      </c>
      <c r="C141" s="54">
        <v>0</v>
      </c>
      <c r="D141" s="54">
        <v>0</v>
      </c>
      <c r="E141" s="54">
        <f t="shared" si="81"/>
        <v>0</v>
      </c>
      <c r="F141" s="54">
        <v>0</v>
      </c>
      <c r="G141" s="27">
        <f t="shared" si="74"/>
        <v>0</v>
      </c>
      <c r="H141" s="54">
        <v>0</v>
      </c>
      <c r="I141" s="27">
        <f t="shared" si="82"/>
        <v>0</v>
      </c>
      <c r="J141" s="51">
        <f t="shared" si="76"/>
        <v>0</v>
      </c>
      <c r="K141" s="27">
        <f t="shared" si="83"/>
        <v>0</v>
      </c>
      <c r="L141" s="18" t="s">
        <v>152</v>
      </c>
    </row>
    <row r="142" spans="1:12" x14ac:dyDescent="0.2">
      <c r="A142" s="18">
        <f t="shared" si="71"/>
        <v>130</v>
      </c>
      <c r="B142" s="56" t="s">
        <v>278</v>
      </c>
      <c r="C142" s="54">
        <v>34914.36</v>
      </c>
      <c r="D142" s="27">
        <v>0</v>
      </c>
      <c r="E142" s="54">
        <f t="shared" si="81"/>
        <v>34914.36</v>
      </c>
      <c r="F142" s="54">
        <v>0</v>
      </c>
      <c r="G142" s="27">
        <f t="shared" si="74"/>
        <v>34914.36</v>
      </c>
      <c r="H142" s="54">
        <v>0</v>
      </c>
      <c r="I142" s="27">
        <f t="shared" si="82"/>
        <v>34914.36</v>
      </c>
      <c r="J142" s="51">
        <f t="shared" si="76"/>
        <v>0.98499999999999999</v>
      </c>
      <c r="K142" s="27">
        <f t="shared" si="83"/>
        <v>34391</v>
      </c>
      <c r="L142" s="18" t="s">
        <v>237</v>
      </c>
    </row>
    <row r="143" spans="1:12" x14ac:dyDescent="0.2">
      <c r="A143" s="18">
        <f t="shared" si="71"/>
        <v>131</v>
      </c>
      <c r="B143" s="17" t="s">
        <v>322</v>
      </c>
      <c r="C143" s="54">
        <v>-3598304.22</v>
      </c>
      <c r="D143" s="54">
        <v>0</v>
      </c>
      <c r="E143" s="54">
        <f t="shared" ref="E143" si="84">+C143-D143</f>
        <v>-3598304.22</v>
      </c>
      <c r="F143" s="54">
        <v>0</v>
      </c>
      <c r="G143" s="27">
        <f t="shared" ref="G143" si="85">+E143+F143</f>
        <v>-3598304.22</v>
      </c>
      <c r="H143" s="54">
        <v>0</v>
      </c>
      <c r="I143" s="27">
        <f t="shared" ref="I143" si="86">+G143+H143</f>
        <v>-3598304.22</v>
      </c>
      <c r="J143" s="51">
        <f t="shared" si="76"/>
        <v>0.98499999999999999</v>
      </c>
      <c r="K143" s="27">
        <f t="shared" ref="K143" si="87">IF(I143*J143=0,0, ROUND(I143*J143,0))</f>
        <v>-3544330</v>
      </c>
      <c r="L143" s="18" t="s">
        <v>237</v>
      </c>
    </row>
    <row r="144" spans="1:12" x14ac:dyDescent="0.2">
      <c r="A144" s="18">
        <f t="shared" si="71"/>
        <v>132</v>
      </c>
      <c r="B144" s="17" t="s">
        <v>344</v>
      </c>
      <c r="C144" s="54">
        <v>-23027356.77</v>
      </c>
      <c r="D144" s="54">
        <v>0</v>
      </c>
      <c r="E144" s="54">
        <f t="shared" si="81"/>
        <v>-23027356.77</v>
      </c>
      <c r="F144" s="54">
        <v>0</v>
      </c>
      <c r="G144" s="27">
        <f t="shared" si="74"/>
        <v>-23027356.77</v>
      </c>
      <c r="H144" s="54">
        <v>0</v>
      </c>
      <c r="I144" s="27">
        <f t="shared" si="82"/>
        <v>-23027356.77</v>
      </c>
      <c r="J144" s="51">
        <f t="shared" si="76"/>
        <v>0.98499999999999999</v>
      </c>
      <c r="K144" s="27">
        <f t="shared" si="83"/>
        <v>-22681946</v>
      </c>
      <c r="L144" s="18" t="s">
        <v>237</v>
      </c>
    </row>
    <row r="145" spans="1:12" x14ac:dyDescent="0.2">
      <c r="A145" s="18">
        <f t="shared" si="71"/>
        <v>133</v>
      </c>
      <c r="B145" s="17" t="s">
        <v>345</v>
      </c>
      <c r="C145" s="54">
        <v>-8375.44</v>
      </c>
      <c r="D145" s="54">
        <v>0</v>
      </c>
      <c r="E145" s="54">
        <f t="shared" si="81"/>
        <v>-8375.44</v>
      </c>
      <c r="F145" s="54">
        <v>0</v>
      </c>
      <c r="G145" s="27">
        <f t="shared" si="74"/>
        <v>-8375.44</v>
      </c>
      <c r="H145" s="27">
        <v>0</v>
      </c>
      <c r="I145" s="27">
        <f t="shared" si="82"/>
        <v>-8375.44</v>
      </c>
      <c r="J145" s="51">
        <f t="shared" si="76"/>
        <v>0.98499999999999999</v>
      </c>
      <c r="K145" s="27">
        <f t="shared" si="83"/>
        <v>-8250</v>
      </c>
      <c r="L145" s="18" t="s">
        <v>237</v>
      </c>
    </row>
    <row r="146" spans="1:12" x14ac:dyDescent="0.2">
      <c r="A146" s="18">
        <f t="shared" si="71"/>
        <v>134</v>
      </c>
      <c r="B146" s="17" t="s">
        <v>325</v>
      </c>
      <c r="C146" s="54">
        <v>0</v>
      </c>
      <c r="D146" s="54">
        <v>0</v>
      </c>
      <c r="E146" s="54">
        <f t="shared" si="81"/>
        <v>0</v>
      </c>
      <c r="F146" s="54">
        <v>0</v>
      </c>
      <c r="G146" s="27">
        <f t="shared" si="74"/>
        <v>0</v>
      </c>
      <c r="H146" s="54">
        <v>0</v>
      </c>
      <c r="I146" s="27">
        <f t="shared" si="82"/>
        <v>0</v>
      </c>
      <c r="J146" s="51">
        <f t="shared" si="76"/>
        <v>1</v>
      </c>
      <c r="K146" s="27">
        <f t="shared" si="83"/>
        <v>0</v>
      </c>
      <c r="L146" s="18" t="s">
        <v>146</v>
      </c>
    </row>
    <row r="147" spans="1:12" x14ac:dyDescent="0.2">
      <c r="A147" s="18">
        <f t="shared" si="71"/>
        <v>135</v>
      </c>
      <c r="B147" s="17" t="s">
        <v>326</v>
      </c>
      <c r="C147" s="54">
        <v>6463480.29</v>
      </c>
      <c r="D147" s="54">
        <v>0</v>
      </c>
      <c r="E147" s="54">
        <f t="shared" si="81"/>
        <v>6463480.29</v>
      </c>
      <c r="F147" s="54">
        <v>0</v>
      </c>
      <c r="G147" s="27">
        <f t="shared" si="74"/>
        <v>6463480.29</v>
      </c>
      <c r="H147" s="54">
        <v>0</v>
      </c>
      <c r="I147" s="27">
        <f t="shared" si="82"/>
        <v>6463480.29</v>
      </c>
      <c r="J147" s="51">
        <v>1</v>
      </c>
      <c r="K147" s="27">
        <f t="shared" si="83"/>
        <v>6463480</v>
      </c>
      <c r="L147" s="18" t="s">
        <v>146</v>
      </c>
    </row>
    <row r="148" spans="1:12" x14ac:dyDescent="0.2">
      <c r="A148" s="18">
        <f t="shared" si="71"/>
        <v>136</v>
      </c>
      <c r="B148" s="17" t="s">
        <v>327</v>
      </c>
      <c r="C148" s="54">
        <v>-187911.13</v>
      </c>
      <c r="D148" s="54">
        <v>0</v>
      </c>
      <c r="E148" s="54">
        <f t="shared" si="81"/>
        <v>-187911.13</v>
      </c>
      <c r="F148" s="54">
        <v>0</v>
      </c>
      <c r="G148" s="27">
        <f t="shared" si="74"/>
        <v>-187911.13</v>
      </c>
      <c r="H148" s="54">
        <v>0</v>
      </c>
      <c r="I148" s="27">
        <f t="shared" si="82"/>
        <v>-187911.13</v>
      </c>
      <c r="J148" s="51">
        <f t="shared" ref="J148:J153" si="88">VLOOKUP(L148,$C$308:$D$322,2,FALSE)</f>
        <v>0.98599999999999999</v>
      </c>
      <c r="K148" s="27">
        <f t="shared" si="83"/>
        <v>-185280</v>
      </c>
      <c r="L148" s="18" t="s">
        <v>151</v>
      </c>
    </row>
    <row r="149" spans="1:12" x14ac:dyDescent="0.2">
      <c r="A149" s="18">
        <f t="shared" si="71"/>
        <v>137</v>
      </c>
      <c r="B149" s="17" t="s">
        <v>328</v>
      </c>
      <c r="C149" s="54">
        <v>0</v>
      </c>
      <c r="D149" s="54">
        <v>0</v>
      </c>
      <c r="E149" s="54">
        <f t="shared" si="81"/>
        <v>0</v>
      </c>
      <c r="F149" s="54">
        <v>0</v>
      </c>
      <c r="G149" s="27">
        <f t="shared" si="74"/>
        <v>0</v>
      </c>
      <c r="H149" s="54">
        <v>0</v>
      </c>
      <c r="I149" s="27">
        <f t="shared" si="82"/>
        <v>0</v>
      </c>
      <c r="J149" s="51">
        <f t="shared" si="88"/>
        <v>1</v>
      </c>
      <c r="K149" s="27">
        <f t="shared" si="83"/>
        <v>0</v>
      </c>
      <c r="L149" s="18" t="s">
        <v>146</v>
      </c>
    </row>
    <row r="150" spans="1:12" x14ac:dyDescent="0.2">
      <c r="A150" s="142">
        <f t="shared" si="71"/>
        <v>138</v>
      </c>
      <c r="B150" s="17" t="s">
        <v>329</v>
      </c>
      <c r="C150" s="54">
        <v>296618.18</v>
      </c>
      <c r="D150" s="54">
        <v>0</v>
      </c>
      <c r="E150" s="54">
        <f t="shared" si="81"/>
        <v>296618.18</v>
      </c>
      <c r="F150" s="54">
        <v>0</v>
      </c>
      <c r="G150" s="27">
        <f t="shared" si="74"/>
        <v>296618.18</v>
      </c>
      <c r="H150" s="54">
        <v>0</v>
      </c>
      <c r="I150" s="27">
        <f t="shared" si="82"/>
        <v>296618.18</v>
      </c>
      <c r="J150" s="51">
        <f t="shared" si="88"/>
        <v>0.98499999999999999</v>
      </c>
      <c r="K150" s="27">
        <f t="shared" si="83"/>
        <v>292169</v>
      </c>
      <c r="L150" s="142" t="s">
        <v>225</v>
      </c>
    </row>
    <row r="151" spans="1:12" x14ac:dyDescent="0.2">
      <c r="A151" s="18">
        <f t="shared" ref="A151:A240" si="89">+A150+1</f>
        <v>139</v>
      </c>
      <c r="B151" s="17" t="s">
        <v>330</v>
      </c>
      <c r="C151" s="54">
        <v>0</v>
      </c>
      <c r="D151" s="54">
        <f>C151</f>
        <v>0</v>
      </c>
      <c r="E151" s="54">
        <f t="shared" si="81"/>
        <v>0</v>
      </c>
      <c r="F151" s="54">
        <v>0</v>
      </c>
      <c r="G151" s="27">
        <f t="shared" si="74"/>
        <v>0</v>
      </c>
      <c r="H151" s="54">
        <v>0</v>
      </c>
      <c r="I151" s="27">
        <f t="shared" si="82"/>
        <v>0</v>
      </c>
      <c r="J151" s="51">
        <f t="shared" si="88"/>
        <v>0</v>
      </c>
      <c r="K151" s="27">
        <f t="shared" si="83"/>
        <v>0</v>
      </c>
      <c r="L151" s="18" t="s">
        <v>152</v>
      </c>
    </row>
    <row r="152" spans="1:12" x14ac:dyDescent="0.2">
      <c r="A152" s="18">
        <f t="shared" si="89"/>
        <v>140</v>
      </c>
      <c r="B152" s="17" t="s">
        <v>331</v>
      </c>
      <c r="C152" s="54">
        <v>0</v>
      </c>
      <c r="D152" s="54">
        <f>C152</f>
        <v>0</v>
      </c>
      <c r="E152" s="54">
        <f t="shared" si="81"/>
        <v>0</v>
      </c>
      <c r="F152" s="54">
        <v>0</v>
      </c>
      <c r="G152" s="27">
        <f t="shared" si="74"/>
        <v>0</v>
      </c>
      <c r="H152" s="54">
        <v>0</v>
      </c>
      <c r="I152" s="27">
        <f t="shared" si="82"/>
        <v>0</v>
      </c>
      <c r="J152" s="51">
        <f t="shared" si="88"/>
        <v>0</v>
      </c>
      <c r="K152" s="27">
        <f t="shared" si="83"/>
        <v>0</v>
      </c>
      <c r="L152" s="18" t="s">
        <v>152</v>
      </c>
    </row>
    <row r="153" spans="1:12" x14ac:dyDescent="0.2">
      <c r="A153" s="142">
        <f t="shared" si="89"/>
        <v>141</v>
      </c>
      <c r="B153" s="17" t="s">
        <v>332</v>
      </c>
      <c r="C153" s="54">
        <v>0</v>
      </c>
      <c r="D153" s="54">
        <v>0</v>
      </c>
      <c r="E153" s="54">
        <f t="shared" si="81"/>
        <v>0</v>
      </c>
      <c r="F153" s="54">
        <v>0</v>
      </c>
      <c r="G153" s="27">
        <f t="shared" si="74"/>
        <v>0</v>
      </c>
      <c r="H153" s="54">
        <v>0</v>
      </c>
      <c r="I153" s="27">
        <f t="shared" si="82"/>
        <v>0</v>
      </c>
      <c r="J153" s="51">
        <f t="shared" si="88"/>
        <v>0.98499999999999999</v>
      </c>
      <c r="K153" s="27">
        <f t="shared" si="83"/>
        <v>0</v>
      </c>
      <c r="L153" s="142" t="s">
        <v>225</v>
      </c>
    </row>
    <row r="154" spans="1:12" x14ac:dyDescent="0.2">
      <c r="A154" s="142">
        <f t="shared" si="89"/>
        <v>142</v>
      </c>
      <c r="B154" s="17" t="s">
        <v>333</v>
      </c>
      <c r="C154" s="54">
        <v>0</v>
      </c>
      <c r="D154" s="54">
        <v>0</v>
      </c>
      <c r="E154" s="54">
        <f t="shared" si="81"/>
        <v>0</v>
      </c>
      <c r="F154" s="54">
        <v>0</v>
      </c>
      <c r="G154" s="27">
        <f t="shared" si="74"/>
        <v>0</v>
      </c>
      <c r="H154" s="54">
        <v>0</v>
      </c>
      <c r="I154" s="27">
        <f t="shared" si="82"/>
        <v>0</v>
      </c>
      <c r="J154" s="51">
        <v>0.98565999999999998</v>
      </c>
      <c r="K154" s="27">
        <f t="shared" si="83"/>
        <v>0</v>
      </c>
      <c r="L154" s="142" t="s">
        <v>146</v>
      </c>
    </row>
    <row r="155" spans="1:12" x14ac:dyDescent="0.2">
      <c r="A155" s="142">
        <f t="shared" si="89"/>
        <v>143</v>
      </c>
      <c r="B155" s="17" t="s">
        <v>334</v>
      </c>
      <c r="C155" s="54">
        <v>0</v>
      </c>
      <c r="D155" s="54">
        <v>0</v>
      </c>
      <c r="E155" s="54">
        <f t="shared" si="81"/>
        <v>0</v>
      </c>
      <c r="F155" s="54">
        <v>0</v>
      </c>
      <c r="G155" s="27">
        <f t="shared" si="74"/>
        <v>0</v>
      </c>
      <c r="H155" s="54">
        <v>0</v>
      </c>
      <c r="I155" s="27">
        <f t="shared" si="82"/>
        <v>0</v>
      </c>
      <c r="J155" s="51">
        <f>VLOOKUP(L155,$C$308:$D$322,2,FALSE)</f>
        <v>0.98499999999999999</v>
      </c>
      <c r="K155" s="27">
        <f t="shared" si="83"/>
        <v>0</v>
      </c>
      <c r="L155" s="142" t="s">
        <v>225</v>
      </c>
    </row>
    <row r="156" spans="1:12" x14ac:dyDescent="0.2">
      <c r="A156" s="18">
        <f t="shared" si="89"/>
        <v>144</v>
      </c>
      <c r="B156" s="17" t="s">
        <v>335</v>
      </c>
      <c r="C156" s="54">
        <v>0</v>
      </c>
      <c r="D156" s="54">
        <f>C156</f>
        <v>0</v>
      </c>
      <c r="E156" s="54">
        <f t="shared" si="81"/>
        <v>0</v>
      </c>
      <c r="F156" s="54">
        <v>0</v>
      </c>
      <c r="G156" s="27">
        <f t="shared" si="74"/>
        <v>0</v>
      </c>
      <c r="H156" s="54">
        <v>0</v>
      </c>
      <c r="I156" s="27">
        <f t="shared" si="82"/>
        <v>0</v>
      </c>
      <c r="J156" s="51">
        <f>VLOOKUP(L156,$C$308:$D$322,2,FALSE)</f>
        <v>0</v>
      </c>
      <c r="K156" s="27">
        <f t="shared" si="83"/>
        <v>0</v>
      </c>
      <c r="L156" s="18" t="s">
        <v>152</v>
      </c>
    </row>
    <row r="157" spans="1:12" x14ac:dyDescent="0.2">
      <c r="A157" s="18">
        <f t="shared" si="89"/>
        <v>145</v>
      </c>
      <c r="B157" s="17" t="s">
        <v>336</v>
      </c>
      <c r="C157" s="54">
        <v>0</v>
      </c>
      <c r="D157" s="54">
        <f>C157</f>
        <v>0</v>
      </c>
      <c r="E157" s="54">
        <f t="shared" si="81"/>
        <v>0</v>
      </c>
      <c r="F157" s="54">
        <v>0</v>
      </c>
      <c r="G157" s="27">
        <f t="shared" si="74"/>
        <v>0</v>
      </c>
      <c r="H157" s="54">
        <v>0</v>
      </c>
      <c r="I157" s="27">
        <f t="shared" si="82"/>
        <v>0</v>
      </c>
      <c r="J157" s="51">
        <f>VLOOKUP(L157,$C$308:$D$322,2,FALSE)</f>
        <v>0</v>
      </c>
      <c r="K157" s="27">
        <f t="shared" si="83"/>
        <v>0</v>
      </c>
      <c r="L157" s="18" t="s">
        <v>152</v>
      </c>
    </row>
    <row r="158" spans="1:12" x14ac:dyDescent="0.2">
      <c r="A158" s="18">
        <f t="shared" si="89"/>
        <v>146</v>
      </c>
      <c r="B158" s="17" t="s">
        <v>337</v>
      </c>
      <c r="C158" s="54">
        <v>21993.439999999999</v>
      </c>
      <c r="D158" s="54">
        <v>0</v>
      </c>
      <c r="E158" s="54">
        <f t="shared" si="81"/>
        <v>21993.439999999999</v>
      </c>
      <c r="F158" s="54">
        <v>0</v>
      </c>
      <c r="G158" s="27">
        <f t="shared" si="74"/>
        <v>21993.439999999999</v>
      </c>
      <c r="H158" s="54">
        <v>0</v>
      </c>
      <c r="I158" s="27">
        <f>+G158+H158</f>
        <v>21993.439999999999</v>
      </c>
      <c r="J158" s="51">
        <f>VLOOKUP(L158,$C$308:$D$322,2,FALSE)</f>
        <v>0</v>
      </c>
      <c r="K158" s="27">
        <f>IF(I158*J158=0,0, ROUND(I158*J158,0))</f>
        <v>0</v>
      </c>
      <c r="L158" s="18" t="s">
        <v>152</v>
      </c>
    </row>
    <row r="159" spans="1:12" x14ac:dyDescent="0.2">
      <c r="A159" s="18">
        <f t="shared" si="89"/>
        <v>147</v>
      </c>
      <c r="B159" s="17" t="s">
        <v>338</v>
      </c>
      <c r="C159" s="54">
        <v>-46239.53</v>
      </c>
      <c r="D159" s="54">
        <v>0</v>
      </c>
      <c r="E159" s="54">
        <f t="shared" si="81"/>
        <v>-46239.53</v>
      </c>
      <c r="F159" s="54">
        <v>0</v>
      </c>
      <c r="G159" s="27">
        <f t="shared" si="74"/>
        <v>-46239.53</v>
      </c>
      <c r="H159" s="54">
        <v>0</v>
      </c>
      <c r="I159" s="27">
        <f>+G159+H159</f>
        <v>-46239.53</v>
      </c>
      <c r="J159" s="51">
        <f>VLOOKUP(L159,$C$308:$D$322,2,FALSE)</f>
        <v>0</v>
      </c>
      <c r="K159" s="27">
        <f>IF(I159*J159=0,0, ROUND(I159*J159,0))</f>
        <v>0</v>
      </c>
      <c r="L159" s="18" t="s">
        <v>152</v>
      </c>
    </row>
    <row r="160" spans="1:12" x14ac:dyDescent="0.2">
      <c r="A160" s="18">
        <f t="shared" si="89"/>
        <v>148</v>
      </c>
      <c r="B160" s="17" t="s">
        <v>339</v>
      </c>
      <c r="C160" s="54">
        <v>-148999.98000000001</v>
      </c>
      <c r="D160" s="54">
        <v>0</v>
      </c>
      <c r="E160" s="54">
        <f t="shared" ref="E160" si="90">+C160-D160</f>
        <v>-148999.98000000001</v>
      </c>
      <c r="F160" s="54">
        <v>0</v>
      </c>
      <c r="G160" s="27">
        <f t="shared" ref="G160" si="91">+E160+F160</f>
        <v>-148999.98000000001</v>
      </c>
      <c r="H160" s="54">
        <v>0</v>
      </c>
      <c r="I160" s="27">
        <f t="shared" ref="I160" si="92">+G160+H160</f>
        <v>-148999.98000000001</v>
      </c>
      <c r="J160" s="51">
        <f t="shared" ref="J160" si="93">VLOOKUP(L160,$C$308:$D$322,2,FALSE)</f>
        <v>1</v>
      </c>
      <c r="K160" s="27">
        <f t="shared" ref="K160" si="94">IF(I160*J160=0,0, ROUND(I160*J160,0))</f>
        <v>-149000</v>
      </c>
      <c r="L160" s="142" t="s">
        <v>146</v>
      </c>
    </row>
    <row r="161" spans="1:12" x14ac:dyDescent="0.2">
      <c r="A161" s="18">
        <f t="shared" si="89"/>
        <v>149</v>
      </c>
      <c r="B161" s="17" t="s">
        <v>340</v>
      </c>
      <c r="C161" s="54">
        <v>-88267.77</v>
      </c>
      <c r="D161" s="54">
        <v>0</v>
      </c>
      <c r="E161" s="54">
        <f t="shared" ref="E161" si="95">+C161-D161</f>
        <v>-88267.77</v>
      </c>
      <c r="F161" s="54">
        <v>0</v>
      </c>
      <c r="G161" s="27">
        <f t="shared" ref="G161" si="96">+E161+F161</f>
        <v>-88267.77</v>
      </c>
      <c r="H161" s="54">
        <v>0</v>
      </c>
      <c r="I161" s="27">
        <f t="shared" ref="I161" si="97">+G161+H161</f>
        <v>-88267.77</v>
      </c>
      <c r="J161" s="51">
        <f t="shared" ref="J161:J170" si="98">VLOOKUP(L161,$C$308:$D$322,2,FALSE)</f>
        <v>1</v>
      </c>
      <c r="K161" s="27">
        <f t="shared" ref="K161" si="99">IF(I161*J161=0,0, ROUND(I161*J161,0))</f>
        <v>-88268</v>
      </c>
      <c r="L161" s="18" t="s">
        <v>146</v>
      </c>
    </row>
    <row r="162" spans="1:12" x14ac:dyDescent="0.2">
      <c r="A162" s="18">
        <f t="shared" si="89"/>
        <v>150</v>
      </c>
      <c r="B162" s="17" t="s">
        <v>341</v>
      </c>
      <c r="C162" s="54">
        <v>0</v>
      </c>
      <c r="D162" s="54">
        <v>0</v>
      </c>
      <c r="E162" s="54">
        <f t="shared" si="81"/>
        <v>0</v>
      </c>
      <c r="F162" s="54">
        <v>0</v>
      </c>
      <c r="G162" s="27">
        <f t="shared" ref="G162:G170" si="100">+E162+F162</f>
        <v>0</v>
      </c>
      <c r="H162" s="54">
        <v>0</v>
      </c>
      <c r="I162" s="27">
        <f t="shared" si="82"/>
        <v>0</v>
      </c>
      <c r="J162" s="51">
        <f t="shared" si="98"/>
        <v>1</v>
      </c>
      <c r="K162" s="27">
        <f t="shared" si="83"/>
        <v>0</v>
      </c>
      <c r="L162" s="18" t="s">
        <v>146</v>
      </c>
    </row>
    <row r="163" spans="1:12" x14ac:dyDescent="0.2">
      <c r="A163" s="18">
        <f t="shared" si="89"/>
        <v>151</v>
      </c>
      <c r="B163" s="17" t="s">
        <v>342</v>
      </c>
      <c r="C163" s="54">
        <v>0</v>
      </c>
      <c r="D163" s="54">
        <v>0</v>
      </c>
      <c r="E163" s="54">
        <f t="shared" si="81"/>
        <v>0</v>
      </c>
      <c r="F163" s="54">
        <v>0</v>
      </c>
      <c r="G163" s="27">
        <f t="shared" si="100"/>
        <v>0</v>
      </c>
      <c r="H163" s="54">
        <v>0</v>
      </c>
      <c r="I163" s="27">
        <f t="shared" si="82"/>
        <v>0</v>
      </c>
      <c r="J163" s="51">
        <f t="shared" si="98"/>
        <v>1</v>
      </c>
      <c r="K163" s="27">
        <f t="shared" si="83"/>
        <v>0</v>
      </c>
      <c r="L163" s="18" t="s">
        <v>146</v>
      </c>
    </row>
    <row r="164" spans="1:12" x14ac:dyDescent="0.2">
      <c r="A164" s="144">
        <f t="shared" si="89"/>
        <v>152</v>
      </c>
      <c r="B164" s="122" t="s">
        <v>368</v>
      </c>
      <c r="C164" s="54">
        <v>628215.64</v>
      </c>
      <c r="D164" s="54">
        <v>0</v>
      </c>
      <c r="E164" s="54">
        <f t="shared" ref="E164:E169" si="101">+C164-D164</f>
        <v>628215.64</v>
      </c>
      <c r="F164" s="54">
        <v>0</v>
      </c>
      <c r="G164" s="27">
        <f t="shared" si="100"/>
        <v>628215.64</v>
      </c>
      <c r="H164" s="54">
        <v>0</v>
      </c>
      <c r="I164" s="27">
        <f t="shared" ref="I164:I169" si="102">+G164+H164</f>
        <v>628215.64</v>
      </c>
      <c r="J164" s="51">
        <f t="shared" si="98"/>
        <v>0.98499999999999999</v>
      </c>
      <c r="K164" s="27">
        <f t="shared" ref="K164:K169" si="103">IF(I164*J164=0,0, ROUND(I164*J164,0))</f>
        <v>618792</v>
      </c>
      <c r="L164" s="133" t="s">
        <v>225</v>
      </c>
    </row>
    <row r="165" spans="1:12" x14ac:dyDescent="0.2">
      <c r="A165" s="144">
        <f t="shared" si="89"/>
        <v>153</v>
      </c>
      <c r="B165" s="122" t="s">
        <v>369</v>
      </c>
      <c r="C165" s="54">
        <v>-1316579.58</v>
      </c>
      <c r="D165" s="54">
        <v>0</v>
      </c>
      <c r="E165" s="54">
        <f t="shared" si="101"/>
        <v>-1316579.58</v>
      </c>
      <c r="F165" s="54">
        <v>0</v>
      </c>
      <c r="G165" s="27">
        <f t="shared" si="100"/>
        <v>-1316579.58</v>
      </c>
      <c r="H165" s="54">
        <v>0</v>
      </c>
      <c r="I165" s="27">
        <f t="shared" si="102"/>
        <v>-1316579.58</v>
      </c>
      <c r="J165" s="51">
        <f t="shared" si="98"/>
        <v>0.98499999999999999</v>
      </c>
      <c r="K165" s="27">
        <f t="shared" si="103"/>
        <v>-1296831</v>
      </c>
      <c r="L165" s="133" t="s">
        <v>225</v>
      </c>
    </row>
    <row r="166" spans="1:12" x14ac:dyDescent="0.2">
      <c r="A166" s="144">
        <f t="shared" si="89"/>
        <v>154</v>
      </c>
      <c r="B166" s="122" t="s">
        <v>370</v>
      </c>
      <c r="C166" s="54">
        <v>-15000000</v>
      </c>
      <c r="D166" s="54">
        <v>0</v>
      </c>
      <c r="E166" s="54">
        <f t="shared" si="101"/>
        <v>-15000000</v>
      </c>
      <c r="F166" s="54">
        <v>0</v>
      </c>
      <c r="G166" s="27">
        <f t="shared" si="100"/>
        <v>-15000000</v>
      </c>
      <c r="H166" s="54">
        <v>0</v>
      </c>
      <c r="I166" s="27">
        <f t="shared" si="102"/>
        <v>-15000000</v>
      </c>
      <c r="J166" s="51">
        <f t="shared" si="98"/>
        <v>0.98499999999999999</v>
      </c>
      <c r="K166" s="27">
        <f t="shared" si="103"/>
        <v>-14775000</v>
      </c>
      <c r="L166" s="133" t="s">
        <v>225</v>
      </c>
    </row>
    <row r="167" spans="1:12" x14ac:dyDescent="0.2">
      <c r="A167" s="144">
        <f t="shared" si="89"/>
        <v>155</v>
      </c>
      <c r="B167" s="122" t="s">
        <v>371</v>
      </c>
      <c r="C167" s="54">
        <v>0</v>
      </c>
      <c r="D167" s="54">
        <v>0</v>
      </c>
      <c r="E167" s="54">
        <f t="shared" si="101"/>
        <v>0</v>
      </c>
      <c r="F167" s="54">
        <v>0</v>
      </c>
      <c r="G167" s="27">
        <f t="shared" si="100"/>
        <v>0</v>
      </c>
      <c r="H167" s="54">
        <v>0</v>
      </c>
      <c r="I167" s="27">
        <f t="shared" si="102"/>
        <v>0</v>
      </c>
      <c r="J167" s="51">
        <f t="shared" si="98"/>
        <v>0.98499999999999999</v>
      </c>
      <c r="K167" s="27">
        <f t="shared" si="103"/>
        <v>0</v>
      </c>
      <c r="L167" s="133" t="s">
        <v>225</v>
      </c>
    </row>
    <row r="168" spans="1:12" x14ac:dyDescent="0.2">
      <c r="A168" s="144">
        <f t="shared" si="89"/>
        <v>156</v>
      </c>
      <c r="B168" s="122" t="s">
        <v>372</v>
      </c>
      <c r="C168" s="54">
        <v>-268516.77</v>
      </c>
      <c r="D168" s="54">
        <v>0</v>
      </c>
      <c r="E168" s="54">
        <f t="shared" si="101"/>
        <v>-268516.77</v>
      </c>
      <c r="F168" s="54">
        <v>0</v>
      </c>
      <c r="G168" s="27">
        <f t="shared" si="100"/>
        <v>-268516.77</v>
      </c>
      <c r="H168" s="54">
        <v>0</v>
      </c>
      <c r="I168" s="27">
        <f t="shared" si="102"/>
        <v>-268516.77</v>
      </c>
      <c r="J168" s="51">
        <f t="shared" si="98"/>
        <v>0.98499999999999999</v>
      </c>
      <c r="K168" s="27">
        <f t="shared" si="103"/>
        <v>-264489</v>
      </c>
      <c r="L168" s="133" t="s">
        <v>225</v>
      </c>
    </row>
    <row r="169" spans="1:12" x14ac:dyDescent="0.2">
      <c r="A169" s="144">
        <f t="shared" si="89"/>
        <v>157</v>
      </c>
      <c r="B169" s="122" t="s">
        <v>373</v>
      </c>
      <c r="C169" s="54">
        <v>229203.13</v>
      </c>
      <c r="D169" s="54">
        <v>0</v>
      </c>
      <c r="E169" s="54">
        <f t="shared" si="101"/>
        <v>229203.13</v>
      </c>
      <c r="F169" s="54">
        <v>0</v>
      </c>
      <c r="G169" s="27">
        <f t="shared" si="100"/>
        <v>229203.13</v>
      </c>
      <c r="H169" s="54">
        <v>0</v>
      </c>
      <c r="I169" s="27">
        <f t="shared" si="102"/>
        <v>229203.13</v>
      </c>
      <c r="J169" s="51">
        <f t="shared" si="98"/>
        <v>0.98499999999999999</v>
      </c>
      <c r="K169" s="27">
        <f t="shared" si="103"/>
        <v>225765</v>
      </c>
      <c r="L169" s="133" t="s">
        <v>225</v>
      </c>
    </row>
    <row r="170" spans="1:12" x14ac:dyDescent="0.2">
      <c r="A170" s="144">
        <f t="shared" si="89"/>
        <v>158</v>
      </c>
      <c r="B170" s="17" t="s">
        <v>343</v>
      </c>
      <c r="C170" s="54">
        <v>0</v>
      </c>
      <c r="D170" s="54">
        <v>0</v>
      </c>
      <c r="E170" s="54">
        <f t="shared" si="81"/>
        <v>0</v>
      </c>
      <c r="F170" s="54">
        <v>0</v>
      </c>
      <c r="G170" s="27">
        <f t="shared" si="100"/>
        <v>0</v>
      </c>
      <c r="H170" s="54">
        <v>0</v>
      </c>
      <c r="I170" s="27">
        <f t="shared" si="82"/>
        <v>0</v>
      </c>
      <c r="J170" s="51">
        <f t="shared" si="98"/>
        <v>0.98499999999999999</v>
      </c>
      <c r="K170" s="27">
        <f t="shared" si="83"/>
        <v>0</v>
      </c>
      <c r="L170" s="18" t="s">
        <v>237</v>
      </c>
    </row>
    <row r="171" spans="1:12" x14ac:dyDescent="0.2">
      <c r="A171" s="144">
        <f t="shared" si="89"/>
        <v>159</v>
      </c>
      <c r="B171" s="56"/>
      <c r="C171" s="54"/>
      <c r="D171" s="27"/>
      <c r="E171" s="54"/>
      <c r="F171" s="54"/>
      <c r="G171" s="27"/>
      <c r="H171" s="54"/>
      <c r="I171" s="27"/>
      <c r="J171" s="51"/>
      <c r="K171" s="27"/>
      <c r="L171" s="18"/>
    </row>
    <row r="172" spans="1:12" x14ac:dyDescent="0.2">
      <c r="A172" s="144">
        <f t="shared" si="89"/>
        <v>160</v>
      </c>
      <c r="B172" s="75" t="s">
        <v>63</v>
      </c>
      <c r="C172" s="78">
        <f t="shared" ref="C172:I172" si="104">SUM(C128:C171)</f>
        <v>-30587224.300000004</v>
      </c>
      <c r="D172" s="78">
        <f t="shared" si="104"/>
        <v>-12588</v>
      </c>
      <c r="E172" s="78">
        <f t="shared" si="104"/>
        <v>-30574636.300000004</v>
      </c>
      <c r="F172" s="78">
        <f t="shared" si="104"/>
        <v>0</v>
      </c>
      <c r="G172" s="78">
        <f t="shared" si="104"/>
        <v>-30574636.300000004</v>
      </c>
      <c r="H172" s="78">
        <f t="shared" si="104"/>
        <v>0</v>
      </c>
      <c r="I172" s="78">
        <f t="shared" si="104"/>
        <v>-30574636.300000004</v>
      </c>
      <c r="J172" s="24"/>
      <c r="K172" s="78">
        <f>SUM(K128:K171)</f>
        <v>-29980560</v>
      </c>
    </row>
    <row r="173" spans="1:12" x14ac:dyDescent="0.2">
      <c r="A173" s="144">
        <f t="shared" si="89"/>
        <v>161</v>
      </c>
      <c r="B173" s="17" t="s">
        <v>0</v>
      </c>
      <c r="C173" s="54"/>
      <c r="E173" s="27"/>
      <c r="J173" s="81"/>
      <c r="K173" s="76"/>
    </row>
    <row r="174" spans="1:12" x14ac:dyDescent="0.2">
      <c r="A174" s="144">
        <f t="shared" si="89"/>
        <v>162</v>
      </c>
      <c r="B174" s="75" t="s">
        <v>64</v>
      </c>
      <c r="C174" s="54"/>
      <c r="J174" s="81"/>
      <c r="K174" s="76"/>
    </row>
    <row r="175" spans="1:12" x14ac:dyDescent="0.2">
      <c r="A175" s="144">
        <f t="shared" si="89"/>
        <v>163</v>
      </c>
      <c r="B175" s="17" t="s">
        <v>355</v>
      </c>
      <c r="C175" s="82">
        <v>0</v>
      </c>
      <c r="D175" s="82">
        <v>0</v>
      </c>
      <c r="E175" s="82">
        <f>+C175-D175</f>
        <v>0</v>
      </c>
      <c r="F175" s="54">
        <v>0</v>
      </c>
      <c r="G175" s="27">
        <f>+E175+F175</f>
        <v>0</v>
      </c>
      <c r="H175" s="54">
        <v>0</v>
      </c>
      <c r="I175" s="82">
        <f>+G175+H175</f>
        <v>0</v>
      </c>
      <c r="J175" s="51">
        <f>VLOOKUP(L175,$C$308:$D$322,2,FALSE)</f>
        <v>0</v>
      </c>
      <c r="K175" s="27">
        <f>IF(I175*J175=0,0, ROUND(I175*J175,0))</f>
        <v>0</v>
      </c>
      <c r="L175" s="18" t="s">
        <v>152</v>
      </c>
    </row>
    <row r="176" spans="1:12" x14ac:dyDescent="0.2">
      <c r="A176" s="144">
        <f t="shared" si="89"/>
        <v>164</v>
      </c>
      <c r="B176" s="75" t="s">
        <v>65</v>
      </c>
      <c r="C176" s="78">
        <f t="shared" ref="C176:I176" si="105">+C175</f>
        <v>0</v>
      </c>
      <c r="D176" s="78">
        <f t="shared" si="105"/>
        <v>0</v>
      </c>
      <c r="E176" s="78">
        <f t="shared" si="105"/>
        <v>0</v>
      </c>
      <c r="F176" s="78">
        <f t="shared" si="105"/>
        <v>0</v>
      </c>
      <c r="G176" s="78">
        <f t="shared" si="105"/>
        <v>0</v>
      </c>
      <c r="H176" s="78">
        <f t="shared" si="105"/>
        <v>0</v>
      </c>
      <c r="I176" s="78">
        <f t="shared" si="105"/>
        <v>0</v>
      </c>
      <c r="J176" s="24"/>
      <c r="K176" s="80">
        <f>+K175</f>
        <v>0</v>
      </c>
    </row>
    <row r="177" spans="1:12" x14ac:dyDescent="0.2">
      <c r="A177" s="144">
        <f t="shared" si="89"/>
        <v>165</v>
      </c>
      <c r="B177" s="17" t="s">
        <v>0</v>
      </c>
      <c r="C177" s="54"/>
      <c r="J177" s="81"/>
      <c r="K177" s="76"/>
    </row>
    <row r="178" spans="1:12" x14ac:dyDescent="0.2">
      <c r="A178" s="144">
        <f t="shared" si="89"/>
        <v>166</v>
      </c>
      <c r="B178" s="75" t="s">
        <v>66</v>
      </c>
      <c r="C178" s="54">
        <v>0</v>
      </c>
      <c r="J178" s="81"/>
      <c r="K178" s="76"/>
    </row>
    <row r="179" spans="1:12" x14ac:dyDescent="0.2">
      <c r="A179" s="144">
        <f t="shared" si="89"/>
        <v>167</v>
      </c>
      <c r="B179" s="17" t="s">
        <v>67</v>
      </c>
      <c r="C179" s="54">
        <v>33651</v>
      </c>
      <c r="D179" s="54">
        <v>0</v>
      </c>
      <c r="E179" s="54">
        <f t="shared" ref="E179:E221" si="106">+C179-D179</f>
        <v>33651</v>
      </c>
      <c r="F179" s="54">
        <v>0</v>
      </c>
      <c r="G179" s="27">
        <f t="shared" ref="G179:G221" si="107">+E179+F179</f>
        <v>33651</v>
      </c>
      <c r="H179" s="27">
        <v>0</v>
      </c>
      <c r="I179" s="27">
        <f t="shared" ref="I179:I203" si="108">+G179+H179</f>
        <v>33651</v>
      </c>
      <c r="J179" s="51">
        <f t="shared" ref="J179:J189" si="109">VLOOKUP(L179,$C$308:$D$322,2,FALSE)</f>
        <v>0.98499999999999999</v>
      </c>
      <c r="K179" s="27">
        <f t="shared" ref="K179:K203" si="110">IF(I179*J179=0,0, ROUND(I179*J179,0))</f>
        <v>33146</v>
      </c>
      <c r="L179" s="18" t="s">
        <v>225</v>
      </c>
    </row>
    <row r="180" spans="1:12" x14ac:dyDescent="0.2">
      <c r="A180" s="144">
        <f t="shared" si="89"/>
        <v>168</v>
      </c>
      <c r="B180" s="17" t="s">
        <v>68</v>
      </c>
      <c r="C180" s="54">
        <v>-2500548.98</v>
      </c>
      <c r="D180" s="54">
        <v>0</v>
      </c>
      <c r="E180" s="54">
        <f t="shared" si="106"/>
        <v>-2500548.98</v>
      </c>
      <c r="F180" s="54">
        <v>0</v>
      </c>
      <c r="G180" s="27">
        <f t="shared" si="107"/>
        <v>-2500548.98</v>
      </c>
      <c r="H180" s="54">
        <v>0</v>
      </c>
      <c r="I180" s="27">
        <f t="shared" si="108"/>
        <v>-2500548.98</v>
      </c>
      <c r="J180" s="51">
        <f t="shared" si="109"/>
        <v>0.99</v>
      </c>
      <c r="K180" s="27">
        <f t="shared" si="110"/>
        <v>-2475543</v>
      </c>
      <c r="L180" s="18" t="s">
        <v>154</v>
      </c>
    </row>
    <row r="181" spans="1:12" x14ac:dyDescent="0.2">
      <c r="A181" s="144">
        <f t="shared" si="89"/>
        <v>169</v>
      </c>
      <c r="B181" s="56" t="s">
        <v>251</v>
      </c>
      <c r="C181" s="54">
        <v>-3728444</v>
      </c>
      <c r="D181" s="54">
        <v>0</v>
      </c>
      <c r="E181" s="54">
        <f t="shared" si="106"/>
        <v>-3728444</v>
      </c>
      <c r="F181" s="54">
        <v>0</v>
      </c>
      <c r="G181" s="27">
        <f t="shared" si="107"/>
        <v>-3728444</v>
      </c>
      <c r="H181" s="54">
        <v>0</v>
      </c>
      <c r="I181" s="27">
        <f>+G181+H181</f>
        <v>-3728444</v>
      </c>
      <c r="J181" s="51">
        <f t="shared" si="109"/>
        <v>0.99</v>
      </c>
      <c r="K181" s="27">
        <f>IF(I181*J181=0,0, ROUND(I181*J181,0))</f>
        <v>-3691160</v>
      </c>
      <c r="L181" s="18" t="s">
        <v>154</v>
      </c>
    </row>
    <row r="182" spans="1:12" x14ac:dyDescent="0.2">
      <c r="A182" s="144">
        <f t="shared" si="89"/>
        <v>170</v>
      </c>
      <c r="B182" s="17" t="s">
        <v>69</v>
      </c>
      <c r="C182" s="54">
        <v>294829</v>
      </c>
      <c r="D182" s="54">
        <v>0</v>
      </c>
      <c r="E182" s="54">
        <f t="shared" si="106"/>
        <v>294829</v>
      </c>
      <c r="F182" s="54">
        <v>0</v>
      </c>
      <c r="G182" s="27">
        <f t="shared" si="107"/>
        <v>294829</v>
      </c>
      <c r="H182" s="54">
        <v>0</v>
      </c>
      <c r="I182" s="27">
        <f t="shared" si="108"/>
        <v>294829</v>
      </c>
      <c r="J182" s="51">
        <f t="shared" si="109"/>
        <v>0.99</v>
      </c>
      <c r="K182" s="27">
        <f t="shared" si="110"/>
        <v>291881</v>
      </c>
      <c r="L182" s="18" t="s">
        <v>154</v>
      </c>
    </row>
    <row r="183" spans="1:12" x14ac:dyDescent="0.2">
      <c r="A183" s="144">
        <f t="shared" si="89"/>
        <v>171</v>
      </c>
      <c r="B183" s="17" t="s">
        <v>70</v>
      </c>
      <c r="C183" s="54">
        <v>1906330.52</v>
      </c>
      <c r="D183" s="27">
        <v>0</v>
      </c>
      <c r="E183" s="54">
        <f t="shared" si="106"/>
        <v>1906330.52</v>
      </c>
      <c r="F183" s="54">
        <v>0</v>
      </c>
      <c r="G183" s="27">
        <f t="shared" si="107"/>
        <v>1906330.52</v>
      </c>
      <c r="H183" s="27">
        <v>0</v>
      </c>
      <c r="I183" s="27">
        <f t="shared" si="108"/>
        <v>1906330.52</v>
      </c>
      <c r="J183" s="51">
        <f t="shared" si="109"/>
        <v>0.98499999999999999</v>
      </c>
      <c r="K183" s="27">
        <f t="shared" si="110"/>
        <v>1877736</v>
      </c>
      <c r="L183" s="18" t="s">
        <v>149</v>
      </c>
    </row>
    <row r="184" spans="1:12" x14ac:dyDescent="0.2">
      <c r="A184" s="144">
        <f t="shared" si="89"/>
        <v>172</v>
      </c>
      <c r="B184" s="17" t="s">
        <v>312</v>
      </c>
      <c r="C184" s="54">
        <v>216620.16</v>
      </c>
      <c r="D184" s="54">
        <v>0</v>
      </c>
      <c r="E184" s="54">
        <f t="shared" si="106"/>
        <v>216620.16</v>
      </c>
      <c r="F184" s="54">
        <v>0</v>
      </c>
      <c r="G184" s="27">
        <f t="shared" si="107"/>
        <v>216620.16</v>
      </c>
      <c r="H184" s="54">
        <v>0</v>
      </c>
      <c r="I184" s="27">
        <f>+G184+H184</f>
        <v>216620.16</v>
      </c>
      <c r="J184" s="51">
        <f t="shared" si="109"/>
        <v>0.99</v>
      </c>
      <c r="K184" s="27">
        <f>IF(I184*J184=0,0, ROUND(I184*J184,0))</f>
        <v>214454</v>
      </c>
      <c r="L184" s="83" t="s">
        <v>154</v>
      </c>
    </row>
    <row r="185" spans="1:12" x14ac:dyDescent="0.2">
      <c r="A185" s="144">
        <f t="shared" si="89"/>
        <v>173</v>
      </c>
      <c r="B185" s="56" t="s">
        <v>252</v>
      </c>
      <c r="C185" s="54">
        <v>0</v>
      </c>
      <c r="D185" s="54">
        <v>0</v>
      </c>
      <c r="E185" s="54">
        <f t="shared" si="106"/>
        <v>0</v>
      </c>
      <c r="F185" s="54">
        <v>0</v>
      </c>
      <c r="G185" s="27">
        <f t="shared" si="107"/>
        <v>0</v>
      </c>
      <c r="H185" s="54">
        <v>0</v>
      </c>
      <c r="I185" s="27">
        <f>+G185+H185</f>
        <v>0</v>
      </c>
      <c r="J185" s="51">
        <f t="shared" si="109"/>
        <v>0.99</v>
      </c>
      <c r="K185" s="27">
        <f>IF(I185*J185=0,0, ROUND(I185*J185,0))</f>
        <v>0</v>
      </c>
      <c r="L185" s="83" t="s">
        <v>154</v>
      </c>
    </row>
    <row r="186" spans="1:12" x14ac:dyDescent="0.2">
      <c r="A186" s="144">
        <f t="shared" si="89"/>
        <v>174</v>
      </c>
      <c r="B186" s="56" t="s">
        <v>253</v>
      </c>
      <c r="C186" s="54">
        <v>0</v>
      </c>
      <c r="D186" s="54">
        <v>0</v>
      </c>
      <c r="E186" s="54">
        <f t="shared" si="106"/>
        <v>0</v>
      </c>
      <c r="F186" s="54">
        <v>0</v>
      </c>
      <c r="G186" s="27">
        <f t="shared" si="107"/>
        <v>0</v>
      </c>
      <c r="H186" s="54">
        <v>0</v>
      </c>
      <c r="I186" s="27">
        <f>+G186+H186</f>
        <v>0</v>
      </c>
      <c r="J186" s="51">
        <f t="shared" si="109"/>
        <v>0.99</v>
      </c>
      <c r="K186" s="27">
        <f>IF(I186*J186=0,0, ROUND(I186*J186,0))</f>
        <v>0</v>
      </c>
      <c r="L186" s="83" t="s">
        <v>154</v>
      </c>
    </row>
    <row r="187" spans="1:12" x14ac:dyDescent="0.2">
      <c r="A187" s="144">
        <f t="shared" si="89"/>
        <v>175</v>
      </c>
      <c r="B187" s="121" t="s">
        <v>374</v>
      </c>
      <c r="C187" s="54">
        <v>-9308922.0700000003</v>
      </c>
      <c r="D187" s="54">
        <v>0</v>
      </c>
      <c r="E187" s="54">
        <f t="shared" ref="E187:E188" si="111">+C187-D187</f>
        <v>-9308922.0700000003</v>
      </c>
      <c r="F187" s="54">
        <v>0</v>
      </c>
      <c r="G187" s="27">
        <f t="shared" ref="G187:G188" si="112">+E187+F187</f>
        <v>-9308922.0700000003</v>
      </c>
      <c r="H187" s="27">
        <v>0</v>
      </c>
      <c r="I187" s="27">
        <f t="shared" ref="I187:I188" si="113">+G187+H187</f>
        <v>-9308922.0700000003</v>
      </c>
      <c r="J187" s="51">
        <f t="shared" si="109"/>
        <v>0.98499999999999999</v>
      </c>
      <c r="K187" s="27">
        <f t="shared" ref="K187:K188" si="114">IF(I187*J187=0,0, ROUND(I187*J187,0))</f>
        <v>-9169288</v>
      </c>
      <c r="L187" s="133" t="s">
        <v>225</v>
      </c>
    </row>
    <row r="188" spans="1:12" x14ac:dyDescent="0.2">
      <c r="A188" s="144">
        <f t="shared" si="89"/>
        <v>176</v>
      </c>
      <c r="B188" s="121" t="s">
        <v>375</v>
      </c>
      <c r="C188" s="54">
        <v>9342530.0600000005</v>
      </c>
      <c r="D188" s="54">
        <v>0</v>
      </c>
      <c r="E188" s="54">
        <f t="shared" si="111"/>
        <v>9342530.0600000005</v>
      </c>
      <c r="F188" s="54">
        <v>0</v>
      </c>
      <c r="G188" s="27">
        <f t="shared" si="112"/>
        <v>9342530.0600000005</v>
      </c>
      <c r="H188" s="27">
        <v>0</v>
      </c>
      <c r="I188" s="27">
        <f t="shared" si="113"/>
        <v>9342530.0600000005</v>
      </c>
      <c r="J188" s="51">
        <f t="shared" si="109"/>
        <v>0.98499999999999999</v>
      </c>
      <c r="K188" s="27">
        <f t="shared" si="114"/>
        <v>9202392</v>
      </c>
      <c r="L188" s="133" t="s">
        <v>225</v>
      </c>
    </row>
    <row r="189" spans="1:12" x14ac:dyDescent="0.2">
      <c r="A189" s="144">
        <f t="shared" si="89"/>
        <v>177</v>
      </c>
      <c r="B189" s="17" t="s">
        <v>71</v>
      </c>
      <c r="C189" s="54">
        <v>0</v>
      </c>
      <c r="D189" s="54">
        <v>0</v>
      </c>
      <c r="E189" s="54">
        <f t="shared" si="106"/>
        <v>0</v>
      </c>
      <c r="F189" s="54">
        <v>0</v>
      </c>
      <c r="G189" s="27">
        <f t="shared" si="107"/>
        <v>0</v>
      </c>
      <c r="H189" s="54">
        <v>0</v>
      </c>
      <c r="I189" s="27">
        <f t="shared" si="108"/>
        <v>0</v>
      </c>
      <c r="J189" s="51">
        <f t="shared" si="109"/>
        <v>1</v>
      </c>
      <c r="K189" s="27">
        <f t="shared" si="110"/>
        <v>0</v>
      </c>
      <c r="L189" s="18" t="s">
        <v>146</v>
      </c>
    </row>
    <row r="190" spans="1:12" x14ac:dyDescent="0.2">
      <c r="A190" s="144">
        <f t="shared" si="89"/>
        <v>178</v>
      </c>
      <c r="B190" s="122" t="s">
        <v>376</v>
      </c>
      <c r="C190" s="54">
        <v>-71358.33</v>
      </c>
      <c r="D190" s="54">
        <v>0</v>
      </c>
      <c r="E190" s="54">
        <f t="shared" si="106"/>
        <v>-71358.33</v>
      </c>
      <c r="F190" s="54">
        <v>0</v>
      </c>
      <c r="G190" s="27">
        <f t="shared" si="107"/>
        <v>-71358.33</v>
      </c>
      <c r="H190" s="27">
        <v>0</v>
      </c>
      <c r="I190" s="27">
        <f t="shared" si="108"/>
        <v>-71358.33</v>
      </c>
      <c r="J190" s="51">
        <f t="shared" ref="J190" si="115">VLOOKUP(L190,$C$308:$D$322,2,FALSE)</f>
        <v>0.98499999999999999</v>
      </c>
      <c r="K190" s="27">
        <f t="shared" si="110"/>
        <v>-70288</v>
      </c>
      <c r="L190" s="133" t="s">
        <v>225</v>
      </c>
    </row>
    <row r="191" spans="1:12" x14ac:dyDescent="0.2">
      <c r="A191" s="144">
        <f t="shared" si="89"/>
        <v>179</v>
      </c>
      <c r="B191" s="17" t="s">
        <v>268</v>
      </c>
      <c r="C191" s="54">
        <v>0</v>
      </c>
      <c r="D191" s="54">
        <f>C191</f>
        <v>0</v>
      </c>
      <c r="E191" s="54">
        <f>+C191-D191</f>
        <v>0</v>
      </c>
      <c r="F191" s="54">
        <v>0</v>
      </c>
      <c r="G191" s="27">
        <f t="shared" si="107"/>
        <v>0</v>
      </c>
      <c r="H191" s="54">
        <v>0</v>
      </c>
      <c r="I191" s="27">
        <f>+G191+H191</f>
        <v>0</v>
      </c>
      <c r="J191" s="51">
        <f t="shared" ref="J191:J213" si="116">VLOOKUP(L191,$C$308:$D$322,2,FALSE)</f>
        <v>0</v>
      </c>
      <c r="K191" s="27">
        <f>IF(I191*J191=0,0, ROUND(I191*J191,0))</f>
        <v>0</v>
      </c>
      <c r="L191" s="18" t="s">
        <v>152</v>
      </c>
    </row>
    <row r="192" spans="1:12" x14ac:dyDescent="0.2">
      <c r="A192" s="144">
        <f t="shared" si="89"/>
        <v>180</v>
      </c>
      <c r="B192" s="17" t="s">
        <v>180</v>
      </c>
      <c r="C192" s="54">
        <v>0</v>
      </c>
      <c r="D192" s="54">
        <f>C192</f>
        <v>0</v>
      </c>
      <c r="E192" s="54">
        <f>+C192-D192</f>
        <v>0</v>
      </c>
      <c r="F192" s="54">
        <v>0</v>
      </c>
      <c r="G192" s="27">
        <f t="shared" si="107"/>
        <v>0</v>
      </c>
      <c r="H192" s="54">
        <v>0</v>
      </c>
      <c r="I192" s="27">
        <f t="shared" si="108"/>
        <v>0</v>
      </c>
      <c r="J192" s="51">
        <f t="shared" si="116"/>
        <v>0.98499999999999999</v>
      </c>
      <c r="K192" s="27">
        <f t="shared" si="110"/>
        <v>0</v>
      </c>
      <c r="L192" s="18" t="s">
        <v>225</v>
      </c>
    </row>
    <row r="193" spans="1:12" x14ac:dyDescent="0.2">
      <c r="A193" s="144">
        <f t="shared" si="89"/>
        <v>181</v>
      </c>
      <c r="B193" s="17" t="s">
        <v>350</v>
      </c>
      <c r="C193" s="54">
        <v>0</v>
      </c>
      <c r="D193" s="54">
        <f>C193</f>
        <v>0</v>
      </c>
      <c r="E193" s="54">
        <f>+C193-D193</f>
        <v>0</v>
      </c>
      <c r="F193" s="54">
        <v>0</v>
      </c>
      <c r="G193" s="27">
        <f t="shared" ref="G193:G194" si="117">+E193+F193</f>
        <v>0</v>
      </c>
      <c r="H193" s="54">
        <v>0</v>
      </c>
      <c r="I193" s="27">
        <f t="shared" ref="I193:I194" si="118">+G193+H193</f>
        <v>0</v>
      </c>
      <c r="J193" s="51">
        <f t="shared" si="116"/>
        <v>0</v>
      </c>
      <c r="K193" s="27">
        <f t="shared" ref="K193:K195" si="119">IF(I193*J193=0,0, ROUND(I193*J193,0))</f>
        <v>0</v>
      </c>
      <c r="L193" s="18" t="s">
        <v>152</v>
      </c>
    </row>
    <row r="194" spans="1:12" x14ac:dyDescent="0.2">
      <c r="A194" s="144">
        <f t="shared" si="89"/>
        <v>182</v>
      </c>
      <c r="B194" s="17" t="s">
        <v>351</v>
      </c>
      <c r="C194" s="54">
        <v>0</v>
      </c>
      <c r="D194" s="54">
        <f>C194</f>
        <v>0</v>
      </c>
      <c r="E194" s="54">
        <f>+C194-D194</f>
        <v>0</v>
      </c>
      <c r="F194" s="54">
        <v>0</v>
      </c>
      <c r="G194" s="27">
        <f t="shared" si="117"/>
        <v>0</v>
      </c>
      <c r="H194" s="54">
        <v>0</v>
      </c>
      <c r="I194" s="27">
        <f t="shared" si="118"/>
        <v>0</v>
      </c>
      <c r="J194" s="51">
        <f t="shared" si="116"/>
        <v>0</v>
      </c>
      <c r="K194" s="27">
        <f t="shared" si="119"/>
        <v>0</v>
      </c>
      <c r="L194" s="18" t="s">
        <v>152</v>
      </c>
    </row>
    <row r="195" spans="1:12" x14ac:dyDescent="0.2">
      <c r="A195" s="144">
        <f t="shared" si="89"/>
        <v>183</v>
      </c>
      <c r="B195" s="17" t="s">
        <v>313</v>
      </c>
      <c r="C195" s="54">
        <v>404000</v>
      </c>
      <c r="D195" s="54">
        <v>0</v>
      </c>
      <c r="E195" s="54">
        <f t="shared" ref="E195" si="120">+C195-D195</f>
        <v>404000</v>
      </c>
      <c r="F195" s="54">
        <v>0</v>
      </c>
      <c r="G195" s="27">
        <f t="shared" si="107"/>
        <v>404000</v>
      </c>
      <c r="H195" s="54">
        <v>0</v>
      </c>
      <c r="I195" s="27">
        <f>+G195+H195</f>
        <v>404000</v>
      </c>
      <c r="J195" s="51">
        <f t="shared" si="116"/>
        <v>0.98499999999999999</v>
      </c>
      <c r="K195" s="27">
        <f t="shared" si="119"/>
        <v>397940</v>
      </c>
      <c r="L195" s="133" t="s">
        <v>225</v>
      </c>
    </row>
    <row r="196" spans="1:12" x14ac:dyDescent="0.2">
      <c r="A196" s="144">
        <f t="shared" si="89"/>
        <v>184</v>
      </c>
      <c r="B196" s="17" t="s">
        <v>72</v>
      </c>
      <c r="C196" s="54">
        <v>-34849</v>
      </c>
      <c r="D196" s="54">
        <v>0</v>
      </c>
      <c r="E196" s="54">
        <f t="shared" si="106"/>
        <v>-34849</v>
      </c>
      <c r="F196" s="54">
        <v>0</v>
      </c>
      <c r="G196" s="27">
        <f t="shared" si="107"/>
        <v>-34849</v>
      </c>
      <c r="H196" s="27">
        <v>0</v>
      </c>
      <c r="I196" s="27">
        <f t="shared" si="108"/>
        <v>-34849</v>
      </c>
      <c r="J196" s="51">
        <f t="shared" si="116"/>
        <v>0</v>
      </c>
      <c r="K196" s="27">
        <f t="shared" si="110"/>
        <v>0</v>
      </c>
      <c r="L196" s="18" t="s">
        <v>152</v>
      </c>
    </row>
    <row r="197" spans="1:12" x14ac:dyDescent="0.2">
      <c r="A197" s="144">
        <f t="shared" si="89"/>
        <v>185</v>
      </c>
      <c r="B197" s="56" t="s">
        <v>254</v>
      </c>
      <c r="C197" s="54">
        <v>-27798</v>
      </c>
      <c r="D197" s="54">
        <v>0</v>
      </c>
      <c r="E197" s="54">
        <f t="shared" si="106"/>
        <v>-27798</v>
      </c>
      <c r="F197" s="54">
        <v>0</v>
      </c>
      <c r="G197" s="27">
        <f t="shared" si="107"/>
        <v>-27798</v>
      </c>
      <c r="H197" s="54">
        <v>0</v>
      </c>
      <c r="I197" s="27">
        <f>+G197+H197</f>
        <v>-27798</v>
      </c>
      <c r="J197" s="51">
        <f t="shared" si="116"/>
        <v>0</v>
      </c>
      <c r="K197" s="27">
        <f>IF(I197*J197=0,0, ROUND(I197*J197,0))</f>
        <v>0</v>
      </c>
      <c r="L197" s="83" t="s">
        <v>152</v>
      </c>
    </row>
    <row r="198" spans="1:12" x14ac:dyDescent="0.2">
      <c r="A198" s="144">
        <f t="shared" si="89"/>
        <v>186</v>
      </c>
      <c r="B198" s="56" t="s">
        <v>255</v>
      </c>
      <c r="C198" s="54">
        <v>0</v>
      </c>
      <c r="D198" s="54">
        <f>C198</f>
        <v>0</v>
      </c>
      <c r="E198" s="54">
        <f t="shared" si="106"/>
        <v>0</v>
      </c>
      <c r="F198" s="54">
        <v>0</v>
      </c>
      <c r="G198" s="27">
        <f t="shared" si="107"/>
        <v>0</v>
      </c>
      <c r="H198" s="54">
        <v>0</v>
      </c>
      <c r="I198" s="27">
        <f>+G198+H198</f>
        <v>0</v>
      </c>
      <c r="J198" s="51">
        <f t="shared" si="116"/>
        <v>0</v>
      </c>
      <c r="K198" s="27">
        <f>IF(I198*J198=0,0, ROUND(I198*J198,0))</f>
        <v>0</v>
      </c>
      <c r="L198" s="83" t="s">
        <v>152</v>
      </c>
    </row>
    <row r="199" spans="1:12" x14ac:dyDescent="0.2">
      <c r="A199" s="144">
        <f t="shared" si="89"/>
        <v>187</v>
      </c>
      <c r="B199" s="56" t="s">
        <v>353</v>
      </c>
      <c r="C199" s="54">
        <v>0</v>
      </c>
      <c r="D199" s="54">
        <f>C199</f>
        <v>0</v>
      </c>
      <c r="E199" s="54">
        <f>+C199-D199</f>
        <v>0</v>
      </c>
      <c r="F199" s="54">
        <v>0</v>
      </c>
      <c r="G199" s="27">
        <f t="shared" ref="G199" si="121">+E199+F199</f>
        <v>0</v>
      </c>
      <c r="H199" s="54">
        <v>0</v>
      </c>
      <c r="I199" s="27">
        <f>+G199+H199</f>
        <v>0</v>
      </c>
      <c r="J199" s="51">
        <f t="shared" si="116"/>
        <v>0</v>
      </c>
      <c r="K199" s="27">
        <f>IF(I199*J199=0,0, ROUND(I199*J199,0))</f>
        <v>0</v>
      </c>
      <c r="L199" s="18" t="s">
        <v>152</v>
      </c>
    </row>
    <row r="200" spans="1:12" x14ac:dyDescent="0.2">
      <c r="A200" s="144">
        <f t="shared" si="89"/>
        <v>188</v>
      </c>
      <c r="B200" s="17" t="s">
        <v>73</v>
      </c>
      <c r="C200" s="54">
        <v>6890887.0800000001</v>
      </c>
      <c r="D200" s="54">
        <v>0</v>
      </c>
      <c r="E200" s="54">
        <f t="shared" si="106"/>
        <v>6890887.0800000001</v>
      </c>
      <c r="F200" s="54">
        <v>0</v>
      </c>
      <c r="G200" s="27">
        <f t="shared" si="107"/>
        <v>6890887.0800000001</v>
      </c>
      <c r="H200" s="54">
        <v>0</v>
      </c>
      <c r="I200" s="27">
        <f t="shared" si="108"/>
        <v>6890887.0800000001</v>
      </c>
      <c r="J200" s="51">
        <f t="shared" si="116"/>
        <v>0.98499999999999999</v>
      </c>
      <c r="K200" s="27">
        <f t="shared" si="110"/>
        <v>6787524</v>
      </c>
      <c r="L200" s="18" t="s">
        <v>153</v>
      </c>
    </row>
    <row r="201" spans="1:12" x14ac:dyDescent="0.2">
      <c r="A201" s="144">
        <f t="shared" si="89"/>
        <v>189</v>
      </c>
      <c r="B201" s="17" t="s">
        <v>74</v>
      </c>
      <c r="C201" s="54">
        <v>-6890887.0800000001</v>
      </c>
      <c r="D201" s="54">
        <v>0</v>
      </c>
      <c r="E201" s="54">
        <f t="shared" si="106"/>
        <v>-6890887.0800000001</v>
      </c>
      <c r="F201" s="54">
        <v>0</v>
      </c>
      <c r="G201" s="27">
        <f t="shared" si="107"/>
        <v>-6890887.0800000001</v>
      </c>
      <c r="H201" s="54">
        <v>0</v>
      </c>
      <c r="I201" s="27">
        <f t="shared" si="108"/>
        <v>-6890887.0800000001</v>
      </c>
      <c r="J201" s="51">
        <f t="shared" si="116"/>
        <v>0.98499999999999999</v>
      </c>
      <c r="K201" s="27">
        <f t="shared" si="110"/>
        <v>-6787524</v>
      </c>
      <c r="L201" s="18" t="s">
        <v>153</v>
      </c>
    </row>
    <row r="202" spans="1:12" x14ac:dyDescent="0.2">
      <c r="A202" s="144">
        <f t="shared" si="89"/>
        <v>190</v>
      </c>
      <c r="B202" s="17" t="s">
        <v>75</v>
      </c>
      <c r="C202" s="54">
        <v>-359839</v>
      </c>
      <c r="D202" s="54">
        <v>0</v>
      </c>
      <c r="E202" s="54">
        <f t="shared" si="106"/>
        <v>-359839</v>
      </c>
      <c r="F202" s="54">
        <v>0</v>
      </c>
      <c r="G202" s="27">
        <f t="shared" si="107"/>
        <v>-359839</v>
      </c>
      <c r="H202" s="54">
        <v>0</v>
      </c>
      <c r="I202" s="27">
        <f t="shared" si="108"/>
        <v>-359839</v>
      </c>
      <c r="J202" s="51">
        <f t="shared" si="116"/>
        <v>0.99</v>
      </c>
      <c r="K202" s="27">
        <f t="shared" si="110"/>
        <v>-356241</v>
      </c>
      <c r="L202" s="18" t="s">
        <v>154</v>
      </c>
    </row>
    <row r="203" spans="1:12" x14ac:dyDescent="0.2">
      <c r="A203" s="144">
        <f t="shared" si="89"/>
        <v>191</v>
      </c>
      <c r="B203" s="56" t="s">
        <v>256</v>
      </c>
      <c r="C203" s="54">
        <v>0</v>
      </c>
      <c r="D203" s="82">
        <v>0</v>
      </c>
      <c r="E203" s="82">
        <f t="shared" si="106"/>
        <v>0</v>
      </c>
      <c r="F203" s="54">
        <v>0</v>
      </c>
      <c r="G203" s="27">
        <f t="shared" si="107"/>
        <v>0</v>
      </c>
      <c r="H203" s="54">
        <v>0</v>
      </c>
      <c r="I203" s="41">
        <f t="shared" si="108"/>
        <v>0</v>
      </c>
      <c r="J203" s="51">
        <f t="shared" si="116"/>
        <v>0.98499999999999999</v>
      </c>
      <c r="K203" s="27">
        <f t="shared" si="110"/>
        <v>0</v>
      </c>
      <c r="L203" s="18" t="s">
        <v>225</v>
      </c>
    </row>
    <row r="204" spans="1:12" x14ac:dyDescent="0.2">
      <c r="A204" s="144">
        <f t="shared" si="89"/>
        <v>192</v>
      </c>
      <c r="B204" s="56" t="s">
        <v>257</v>
      </c>
      <c r="C204" s="54">
        <v>0</v>
      </c>
      <c r="D204" s="82">
        <v>0</v>
      </c>
      <c r="E204" s="82">
        <f t="shared" ref="E204" si="122">+C204-D204</f>
        <v>0</v>
      </c>
      <c r="F204" s="54">
        <v>0</v>
      </c>
      <c r="G204" s="27">
        <f t="shared" si="107"/>
        <v>0</v>
      </c>
      <c r="H204" s="54">
        <v>0</v>
      </c>
      <c r="I204" s="41">
        <f t="shared" ref="I204" si="123">+G204+H204</f>
        <v>0</v>
      </c>
      <c r="J204" s="51">
        <f t="shared" si="116"/>
        <v>0.98499999999999999</v>
      </c>
      <c r="K204" s="27">
        <f t="shared" ref="K204:K215" si="124">IF(I204*J204=0,0, ROUND(I204*J204,0))</f>
        <v>0</v>
      </c>
      <c r="L204" s="18" t="s">
        <v>225</v>
      </c>
    </row>
    <row r="205" spans="1:12" x14ac:dyDescent="0.2">
      <c r="A205" s="144">
        <f t="shared" si="89"/>
        <v>193</v>
      </c>
      <c r="B205" s="64" t="s">
        <v>392</v>
      </c>
      <c r="C205" s="54"/>
      <c r="D205" s="82">
        <v>0</v>
      </c>
      <c r="E205" s="82">
        <f t="shared" ref="E205:E218" si="125">+C205-D205</f>
        <v>0</v>
      </c>
      <c r="F205" s="54">
        <v>0</v>
      </c>
      <c r="G205" s="27">
        <f t="shared" ref="G205:G218" si="126">+E205+F205</f>
        <v>0</v>
      </c>
      <c r="H205" s="54">
        <v>0</v>
      </c>
      <c r="I205" s="41">
        <f t="shared" ref="I205:I218" si="127">+G205+H205</f>
        <v>0</v>
      </c>
      <c r="J205" s="51">
        <f t="shared" si="116"/>
        <v>0</v>
      </c>
      <c r="K205" s="27">
        <f t="shared" si="124"/>
        <v>0</v>
      </c>
      <c r="L205" s="131" t="s">
        <v>152</v>
      </c>
    </row>
    <row r="206" spans="1:12" x14ac:dyDescent="0.2">
      <c r="A206" s="144">
        <f t="shared" si="89"/>
        <v>194</v>
      </c>
      <c r="B206" s="64" t="s">
        <v>383</v>
      </c>
      <c r="C206" s="54"/>
      <c r="D206" s="82">
        <v>0</v>
      </c>
      <c r="E206" s="82">
        <f t="shared" si="125"/>
        <v>0</v>
      </c>
      <c r="F206" s="54">
        <v>0</v>
      </c>
      <c r="G206" s="27">
        <f t="shared" si="126"/>
        <v>0</v>
      </c>
      <c r="H206" s="54">
        <v>0</v>
      </c>
      <c r="I206" s="41">
        <f t="shared" si="127"/>
        <v>0</v>
      </c>
      <c r="J206" s="51">
        <f t="shared" si="116"/>
        <v>0</v>
      </c>
      <c r="K206" s="27">
        <f t="shared" si="124"/>
        <v>0</v>
      </c>
      <c r="L206" s="131" t="s">
        <v>152</v>
      </c>
    </row>
    <row r="207" spans="1:12" x14ac:dyDescent="0.2">
      <c r="A207" s="144">
        <f t="shared" si="89"/>
        <v>195</v>
      </c>
      <c r="B207" s="64" t="s">
        <v>384</v>
      </c>
      <c r="C207" s="54">
        <v>0</v>
      </c>
      <c r="D207" s="82">
        <v>0</v>
      </c>
      <c r="E207" s="82">
        <f t="shared" si="125"/>
        <v>0</v>
      </c>
      <c r="F207" s="54">
        <v>0</v>
      </c>
      <c r="G207" s="27">
        <f t="shared" si="126"/>
        <v>0</v>
      </c>
      <c r="H207" s="54">
        <v>0</v>
      </c>
      <c r="I207" s="41">
        <f t="shared" si="127"/>
        <v>0</v>
      </c>
      <c r="J207" s="51">
        <f t="shared" si="116"/>
        <v>1</v>
      </c>
      <c r="K207" s="27">
        <f t="shared" si="124"/>
        <v>0</v>
      </c>
      <c r="L207" s="123" t="s">
        <v>146</v>
      </c>
    </row>
    <row r="208" spans="1:12" x14ac:dyDescent="0.2">
      <c r="A208" s="144">
        <f t="shared" si="89"/>
        <v>196</v>
      </c>
      <c r="B208" s="64" t="s">
        <v>393</v>
      </c>
      <c r="C208" s="54">
        <v>0</v>
      </c>
      <c r="D208" s="82">
        <v>0</v>
      </c>
      <c r="E208" s="82">
        <f t="shared" si="125"/>
        <v>0</v>
      </c>
      <c r="F208" s="54">
        <v>0</v>
      </c>
      <c r="G208" s="27">
        <f t="shared" si="126"/>
        <v>0</v>
      </c>
      <c r="H208" s="54">
        <v>0</v>
      </c>
      <c r="I208" s="41">
        <f t="shared" si="127"/>
        <v>0</v>
      </c>
      <c r="J208" s="51">
        <f t="shared" si="116"/>
        <v>0</v>
      </c>
      <c r="K208" s="27">
        <f t="shared" si="124"/>
        <v>0</v>
      </c>
      <c r="L208" s="131" t="s">
        <v>152</v>
      </c>
    </row>
    <row r="209" spans="1:12" x14ac:dyDescent="0.2">
      <c r="A209" s="144">
        <f t="shared" si="89"/>
        <v>197</v>
      </c>
      <c r="B209" s="64" t="s">
        <v>385</v>
      </c>
      <c r="C209" s="54">
        <v>0</v>
      </c>
      <c r="D209" s="82">
        <v>0</v>
      </c>
      <c r="E209" s="82">
        <f t="shared" si="125"/>
        <v>0</v>
      </c>
      <c r="F209" s="54">
        <v>0</v>
      </c>
      <c r="G209" s="27">
        <f t="shared" si="126"/>
        <v>0</v>
      </c>
      <c r="H209" s="54">
        <v>0</v>
      </c>
      <c r="I209" s="41">
        <f t="shared" si="127"/>
        <v>0</v>
      </c>
      <c r="J209" s="51">
        <f t="shared" si="116"/>
        <v>0</v>
      </c>
      <c r="K209" s="27">
        <f t="shared" si="124"/>
        <v>0</v>
      </c>
      <c r="L209" s="131" t="s">
        <v>152</v>
      </c>
    </row>
    <row r="210" spans="1:12" x14ac:dyDescent="0.2">
      <c r="A210" s="144">
        <f t="shared" si="89"/>
        <v>198</v>
      </c>
      <c r="B210" s="64" t="s">
        <v>386</v>
      </c>
      <c r="C210" s="54">
        <v>0</v>
      </c>
      <c r="D210" s="82">
        <v>0</v>
      </c>
      <c r="E210" s="82">
        <f t="shared" si="125"/>
        <v>0</v>
      </c>
      <c r="F210" s="54">
        <v>0</v>
      </c>
      <c r="G210" s="27">
        <f t="shared" si="126"/>
        <v>0</v>
      </c>
      <c r="H210" s="54">
        <v>0</v>
      </c>
      <c r="I210" s="41">
        <f t="shared" si="127"/>
        <v>0</v>
      </c>
      <c r="J210" s="51">
        <f t="shared" si="116"/>
        <v>1</v>
      </c>
      <c r="K210" s="27">
        <f t="shared" si="124"/>
        <v>0</v>
      </c>
      <c r="L210" s="123" t="s">
        <v>146</v>
      </c>
    </row>
    <row r="211" spans="1:12" x14ac:dyDescent="0.2">
      <c r="A211" s="144">
        <f t="shared" si="89"/>
        <v>199</v>
      </c>
      <c r="B211" s="64" t="s">
        <v>387</v>
      </c>
      <c r="C211" s="54">
        <v>0</v>
      </c>
      <c r="D211" s="82">
        <v>0</v>
      </c>
      <c r="E211" s="82">
        <f t="shared" si="125"/>
        <v>0</v>
      </c>
      <c r="F211" s="54">
        <v>0</v>
      </c>
      <c r="G211" s="27">
        <f t="shared" si="126"/>
        <v>0</v>
      </c>
      <c r="H211" s="54">
        <v>0</v>
      </c>
      <c r="I211" s="41">
        <f t="shared" si="127"/>
        <v>0</v>
      </c>
      <c r="J211" s="51">
        <f t="shared" si="116"/>
        <v>0</v>
      </c>
      <c r="K211" s="27">
        <f t="shared" si="124"/>
        <v>0</v>
      </c>
      <c r="L211" s="131" t="s">
        <v>152</v>
      </c>
    </row>
    <row r="212" spans="1:12" x14ac:dyDescent="0.2">
      <c r="A212" s="144">
        <f t="shared" si="89"/>
        <v>200</v>
      </c>
      <c r="B212" s="64" t="s">
        <v>388</v>
      </c>
      <c r="C212" s="54">
        <v>0</v>
      </c>
      <c r="D212" s="82">
        <v>0</v>
      </c>
      <c r="E212" s="82">
        <f t="shared" si="125"/>
        <v>0</v>
      </c>
      <c r="F212" s="54">
        <v>0</v>
      </c>
      <c r="G212" s="27">
        <f t="shared" si="126"/>
        <v>0</v>
      </c>
      <c r="H212" s="54">
        <v>0</v>
      </c>
      <c r="I212" s="41">
        <f t="shared" si="127"/>
        <v>0</v>
      </c>
      <c r="J212" s="51">
        <f t="shared" si="116"/>
        <v>0</v>
      </c>
      <c r="K212" s="27">
        <f t="shared" si="124"/>
        <v>0</v>
      </c>
      <c r="L212" s="131" t="s">
        <v>152</v>
      </c>
    </row>
    <row r="213" spans="1:12" x14ac:dyDescent="0.2">
      <c r="A213" s="144">
        <f t="shared" si="89"/>
        <v>201</v>
      </c>
      <c r="B213" s="64" t="s">
        <v>389</v>
      </c>
      <c r="C213" s="54">
        <v>0</v>
      </c>
      <c r="D213" s="82">
        <v>0</v>
      </c>
      <c r="E213" s="82">
        <f t="shared" si="125"/>
        <v>0</v>
      </c>
      <c r="F213" s="54">
        <v>0</v>
      </c>
      <c r="G213" s="27">
        <f t="shared" si="126"/>
        <v>0</v>
      </c>
      <c r="H213" s="54">
        <v>0</v>
      </c>
      <c r="I213" s="41">
        <f t="shared" si="127"/>
        <v>0</v>
      </c>
      <c r="J213" s="51">
        <f t="shared" si="116"/>
        <v>1</v>
      </c>
      <c r="K213" s="27">
        <f t="shared" si="124"/>
        <v>0</v>
      </c>
      <c r="L213" s="123" t="s">
        <v>146</v>
      </c>
    </row>
    <row r="214" spans="1:12" x14ac:dyDescent="0.2">
      <c r="A214" s="144">
        <f t="shared" si="89"/>
        <v>202</v>
      </c>
      <c r="B214" s="64" t="s">
        <v>390</v>
      </c>
      <c r="C214" s="54">
        <v>0</v>
      </c>
      <c r="D214" s="82">
        <v>0</v>
      </c>
      <c r="E214" s="82">
        <f t="shared" si="125"/>
        <v>0</v>
      </c>
      <c r="F214" s="54">
        <v>0</v>
      </c>
      <c r="G214" s="27">
        <f t="shared" si="126"/>
        <v>0</v>
      </c>
      <c r="H214" s="54">
        <v>0</v>
      </c>
      <c r="I214" s="41">
        <f t="shared" si="127"/>
        <v>0</v>
      </c>
      <c r="J214" s="51">
        <f t="shared" ref="J214" si="128">VLOOKUP(L214,$C$308:$D$322,2,FALSE)</f>
        <v>0</v>
      </c>
      <c r="K214" s="27">
        <f t="shared" ref="K214:K216" si="129">IF(I214*J214=0,0, ROUND(I214*J214,0))</f>
        <v>0</v>
      </c>
      <c r="L214" s="131" t="s">
        <v>152</v>
      </c>
    </row>
    <row r="215" spans="1:12" x14ac:dyDescent="0.2">
      <c r="A215" s="144">
        <f t="shared" si="89"/>
        <v>203</v>
      </c>
      <c r="B215" s="64" t="s">
        <v>391</v>
      </c>
      <c r="C215" s="54">
        <v>0</v>
      </c>
      <c r="D215" s="82">
        <v>0</v>
      </c>
      <c r="E215" s="82">
        <f t="shared" si="125"/>
        <v>0</v>
      </c>
      <c r="F215" s="54">
        <v>0</v>
      </c>
      <c r="G215" s="27">
        <f t="shared" si="126"/>
        <v>0</v>
      </c>
      <c r="H215" s="54">
        <v>0</v>
      </c>
      <c r="I215" s="41">
        <f t="shared" si="127"/>
        <v>0</v>
      </c>
      <c r="J215" s="51">
        <f>VLOOKUP(L215,$C$308:$D$322,2,FALSE)</f>
        <v>1</v>
      </c>
      <c r="K215" s="27">
        <f t="shared" si="124"/>
        <v>0</v>
      </c>
      <c r="L215" s="123" t="s">
        <v>146</v>
      </c>
    </row>
    <row r="216" spans="1:12" x14ac:dyDescent="0.2">
      <c r="A216" s="144">
        <f t="shared" si="89"/>
        <v>204</v>
      </c>
      <c r="B216" s="64" t="s">
        <v>403</v>
      </c>
      <c r="C216" s="54">
        <v>0</v>
      </c>
      <c r="D216" s="82">
        <v>0</v>
      </c>
      <c r="E216" s="82">
        <f t="shared" si="125"/>
        <v>0</v>
      </c>
      <c r="F216" s="54">
        <v>0</v>
      </c>
      <c r="G216" s="27">
        <f t="shared" si="126"/>
        <v>0</v>
      </c>
      <c r="H216" s="54">
        <v>0</v>
      </c>
      <c r="I216" s="41">
        <f t="shared" si="127"/>
        <v>0</v>
      </c>
      <c r="J216" s="51">
        <v>0</v>
      </c>
      <c r="K216" s="27">
        <f t="shared" si="129"/>
        <v>0</v>
      </c>
      <c r="L216" s="143" t="s">
        <v>152</v>
      </c>
    </row>
    <row r="217" spans="1:12" x14ac:dyDescent="0.2">
      <c r="A217" s="144">
        <f t="shared" si="89"/>
        <v>205</v>
      </c>
      <c r="B217" s="64" t="s">
        <v>394</v>
      </c>
      <c r="C217" s="54">
        <v>0</v>
      </c>
      <c r="D217" s="82">
        <v>0</v>
      </c>
      <c r="E217" s="82">
        <f t="shared" si="125"/>
        <v>0</v>
      </c>
      <c r="F217" s="54">
        <v>0</v>
      </c>
      <c r="G217" s="27">
        <f t="shared" si="126"/>
        <v>0</v>
      </c>
      <c r="H217" s="54">
        <v>0</v>
      </c>
      <c r="I217" s="41">
        <f t="shared" si="127"/>
        <v>0</v>
      </c>
      <c r="J217" s="51">
        <f t="shared" ref="J217:J218" si="130">VLOOKUP(L217,$C$308:$D$322,2,FALSE)</f>
        <v>0</v>
      </c>
      <c r="K217" s="27">
        <f t="shared" ref="K217:K218" si="131">IF(I217*J217=0,0, ROUND(I217*J217,0))</f>
        <v>0</v>
      </c>
      <c r="L217" s="131" t="s">
        <v>152</v>
      </c>
    </row>
    <row r="218" spans="1:12" x14ac:dyDescent="0.2">
      <c r="A218" s="144">
        <f t="shared" si="89"/>
        <v>206</v>
      </c>
      <c r="B218" s="64" t="s">
        <v>395</v>
      </c>
      <c r="C218" s="54">
        <v>0</v>
      </c>
      <c r="D218" s="82">
        <v>0</v>
      </c>
      <c r="E218" s="82">
        <f t="shared" si="125"/>
        <v>0</v>
      </c>
      <c r="F218" s="54">
        <v>0</v>
      </c>
      <c r="G218" s="27">
        <f t="shared" si="126"/>
        <v>0</v>
      </c>
      <c r="H218" s="54">
        <v>0</v>
      </c>
      <c r="I218" s="41">
        <f t="shared" si="127"/>
        <v>0</v>
      </c>
      <c r="J218" s="51">
        <f t="shared" si="130"/>
        <v>0</v>
      </c>
      <c r="K218" s="27">
        <f t="shared" si="131"/>
        <v>0</v>
      </c>
      <c r="L218" s="131" t="s">
        <v>152</v>
      </c>
    </row>
    <row r="219" spans="1:12" x14ac:dyDescent="0.2">
      <c r="A219" s="144">
        <f t="shared" si="89"/>
        <v>207</v>
      </c>
      <c r="B219" s="64" t="s">
        <v>359</v>
      </c>
      <c r="C219" s="54">
        <v>14797</v>
      </c>
      <c r="D219" s="82">
        <v>0</v>
      </c>
      <c r="E219" s="82">
        <f t="shared" ref="E219" si="132">+C219-D219</f>
        <v>14797</v>
      </c>
      <c r="F219" s="54">
        <v>0</v>
      </c>
      <c r="G219" s="27">
        <f t="shared" si="107"/>
        <v>14797</v>
      </c>
      <c r="H219" s="54">
        <v>0</v>
      </c>
      <c r="I219" s="41">
        <f t="shared" ref="I219" si="133">+G219+H219</f>
        <v>14797</v>
      </c>
      <c r="J219" s="51">
        <f>VLOOKUP(L219,$C$308:$D$322,2,FALSE)</f>
        <v>0.98499999999999999</v>
      </c>
      <c r="K219" s="27">
        <f t="shared" ref="K219" si="134">IF(I219*J219=0,0, ROUND(I219*J219,0))</f>
        <v>14575</v>
      </c>
      <c r="L219" s="18" t="s">
        <v>225</v>
      </c>
    </row>
    <row r="220" spans="1:12" x14ac:dyDescent="0.2">
      <c r="A220" s="144">
        <f t="shared" si="89"/>
        <v>208</v>
      </c>
      <c r="B220" s="121" t="s">
        <v>377</v>
      </c>
      <c r="C220" s="54">
        <v>225273</v>
      </c>
      <c r="D220" s="82">
        <v>0</v>
      </c>
      <c r="E220" s="82">
        <f t="shared" ref="E220" si="135">+C220-D220</f>
        <v>225273</v>
      </c>
      <c r="F220" s="54">
        <v>0</v>
      </c>
      <c r="G220" s="27">
        <f t="shared" ref="G220" si="136">+E220+F220</f>
        <v>225273</v>
      </c>
      <c r="H220" s="54">
        <v>0</v>
      </c>
      <c r="I220" s="41">
        <f t="shared" ref="I220" si="137">+G220+H220</f>
        <v>225273</v>
      </c>
      <c r="J220" s="51">
        <f>VLOOKUP(L220,$C$308:$D$322,2,FALSE)</f>
        <v>0.98499999999999999</v>
      </c>
      <c r="K220" s="27">
        <f t="shared" ref="K220" si="138">IF(I220*J220=0,0, ROUND(I220*J220,0))</f>
        <v>221894</v>
      </c>
      <c r="L220" s="131" t="s">
        <v>225</v>
      </c>
    </row>
    <row r="221" spans="1:12" x14ac:dyDescent="0.2">
      <c r="A221" s="144">
        <f t="shared" si="89"/>
        <v>209</v>
      </c>
      <c r="B221" s="64" t="s">
        <v>362</v>
      </c>
      <c r="C221" s="54">
        <v>0</v>
      </c>
      <c r="D221" s="54">
        <v>0</v>
      </c>
      <c r="E221" s="54">
        <f t="shared" si="106"/>
        <v>0</v>
      </c>
      <c r="F221" s="54">
        <v>0</v>
      </c>
      <c r="G221" s="27">
        <f t="shared" si="107"/>
        <v>0</v>
      </c>
      <c r="H221" s="54">
        <v>0</v>
      </c>
      <c r="I221" s="27">
        <f>+G221+H221</f>
        <v>0</v>
      </c>
      <c r="J221" s="51">
        <f>VLOOKUP(L221,$C$308:$D$322,2,FALSE)</f>
        <v>0</v>
      </c>
      <c r="K221" s="27">
        <f>IF(I221*J221=0,0, ROUND(I221*J221,0))</f>
        <v>0</v>
      </c>
      <c r="L221" s="83" t="s">
        <v>152</v>
      </c>
    </row>
    <row r="222" spans="1:12" x14ac:dyDescent="0.2">
      <c r="A222" s="144">
        <f t="shared" si="89"/>
        <v>210</v>
      </c>
      <c r="B222" s="75" t="s">
        <v>76</v>
      </c>
      <c r="C222" s="78">
        <f>SUM(C179:C221)</f>
        <v>-3593728.6400000006</v>
      </c>
      <c r="D222" s="78">
        <f t="shared" ref="D222:I222" si="139">SUM(D179:D221)</f>
        <v>0</v>
      </c>
      <c r="E222" s="78">
        <f t="shared" si="139"/>
        <v>-3593728.6400000006</v>
      </c>
      <c r="F222" s="78">
        <f t="shared" si="139"/>
        <v>0</v>
      </c>
      <c r="G222" s="78">
        <f t="shared" si="139"/>
        <v>-3593728.6400000006</v>
      </c>
      <c r="H222" s="78">
        <f t="shared" si="139"/>
        <v>0</v>
      </c>
      <c r="I222" s="78">
        <f t="shared" si="139"/>
        <v>-3593728.6400000006</v>
      </c>
      <c r="J222" s="24"/>
      <c r="K222" s="78">
        <f>SUM(K179:K221)</f>
        <v>-3508502</v>
      </c>
    </row>
    <row r="223" spans="1:12" x14ac:dyDescent="0.2">
      <c r="A223" s="144">
        <f t="shared" si="89"/>
        <v>211</v>
      </c>
      <c r="B223" s="17" t="s">
        <v>0</v>
      </c>
      <c r="C223" s="54"/>
      <c r="J223" s="81"/>
      <c r="K223" s="76"/>
    </row>
    <row r="224" spans="1:12" x14ac:dyDescent="0.2">
      <c r="A224" s="144">
        <f t="shared" si="89"/>
        <v>212</v>
      </c>
      <c r="B224" s="75" t="s">
        <v>77</v>
      </c>
      <c r="C224" s="54"/>
      <c r="J224" s="81"/>
      <c r="K224" s="76"/>
    </row>
    <row r="225" spans="1:12" x14ac:dyDescent="0.2">
      <c r="A225" s="144">
        <f t="shared" si="89"/>
        <v>213</v>
      </c>
      <c r="B225" s="122" t="s">
        <v>378</v>
      </c>
      <c r="C225" s="54">
        <v>0</v>
      </c>
      <c r="D225" s="82">
        <v>0</v>
      </c>
      <c r="E225" s="82">
        <f t="shared" ref="E225" si="140">+C225-D225</f>
        <v>0</v>
      </c>
      <c r="F225" s="54">
        <v>0</v>
      </c>
      <c r="G225" s="27">
        <f t="shared" ref="G225" si="141">+E225+F225</f>
        <v>0</v>
      </c>
      <c r="H225" s="54">
        <v>0</v>
      </c>
      <c r="I225" s="41">
        <f t="shared" ref="I225" si="142">+G225+H225</f>
        <v>0</v>
      </c>
      <c r="J225" s="51">
        <f>VLOOKUP(L225,$C$308:$D$322,2,FALSE)</f>
        <v>0.98499999999999999</v>
      </c>
      <c r="K225" s="27">
        <f t="shared" ref="K225" si="143">IF(I225*J225=0,0, ROUND(I225*J225,0))</f>
        <v>0</v>
      </c>
      <c r="L225" s="133" t="s">
        <v>225</v>
      </c>
    </row>
    <row r="226" spans="1:12" x14ac:dyDescent="0.2">
      <c r="A226" s="144">
        <f t="shared" si="89"/>
        <v>214</v>
      </c>
      <c r="B226" s="17" t="s">
        <v>292</v>
      </c>
      <c r="C226" s="54">
        <v>-918</v>
      </c>
      <c r="D226" s="54">
        <v>0</v>
      </c>
      <c r="E226" s="54">
        <f t="shared" ref="E226:E236" si="144">+C226-D226</f>
        <v>-918</v>
      </c>
      <c r="F226" s="54">
        <v>0</v>
      </c>
      <c r="G226" s="27">
        <f t="shared" ref="G226:G236" si="145">+E226+F226</f>
        <v>-918</v>
      </c>
      <c r="H226" s="54">
        <v>0</v>
      </c>
      <c r="I226" s="27">
        <f t="shared" ref="I226:I235" si="146">+G226+H226</f>
        <v>-918</v>
      </c>
      <c r="J226" s="51">
        <f t="shared" ref="J226:J234" si="147">VLOOKUP(L226,$C$308:$D$322,2,FALSE)</f>
        <v>0.99</v>
      </c>
      <c r="K226" s="27">
        <f t="shared" ref="K226:K235" si="148">IF(I226*J226=0,0, ROUND(I226*J226,0))</f>
        <v>-909</v>
      </c>
      <c r="L226" s="18" t="s">
        <v>154</v>
      </c>
    </row>
    <row r="227" spans="1:12" x14ac:dyDescent="0.2">
      <c r="A227" s="144">
        <f t="shared" si="89"/>
        <v>215</v>
      </c>
      <c r="B227" s="17" t="s">
        <v>78</v>
      </c>
      <c r="C227" s="54">
        <v>0</v>
      </c>
      <c r="D227" s="54">
        <v>0</v>
      </c>
      <c r="E227" s="54">
        <f t="shared" ref="E227" si="149">+C227-D227</f>
        <v>0</v>
      </c>
      <c r="F227" s="54">
        <v>0</v>
      </c>
      <c r="G227" s="27">
        <f t="shared" si="145"/>
        <v>0</v>
      </c>
      <c r="H227" s="54">
        <v>0</v>
      </c>
      <c r="I227" s="27">
        <f t="shared" ref="I227" si="150">+G227+H227</f>
        <v>0</v>
      </c>
      <c r="J227" s="51">
        <f t="shared" si="147"/>
        <v>0.99</v>
      </c>
      <c r="K227" s="27">
        <f t="shared" ref="K227" si="151">IF(I227*J227=0,0, ROUND(I227*J227,0))</f>
        <v>0</v>
      </c>
      <c r="L227" s="18" t="s">
        <v>154</v>
      </c>
    </row>
    <row r="228" spans="1:12" x14ac:dyDescent="0.2">
      <c r="A228" s="144">
        <f t="shared" si="89"/>
        <v>216</v>
      </c>
      <c r="B228" s="17" t="s">
        <v>79</v>
      </c>
      <c r="C228" s="54">
        <v>91034</v>
      </c>
      <c r="D228" s="54">
        <v>0</v>
      </c>
      <c r="E228" s="54">
        <f t="shared" si="144"/>
        <v>91034</v>
      </c>
      <c r="F228" s="54">
        <v>0</v>
      </c>
      <c r="G228" s="27">
        <f t="shared" si="145"/>
        <v>91034</v>
      </c>
      <c r="H228" s="54">
        <v>0</v>
      </c>
      <c r="I228" s="27">
        <f t="shared" si="146"/>
        <v>91034</v>
      </c>
      <c r="J228" s="51">
        <f t="shared" si="147"/>
        <v>0.99</v>
      </c>
      <c r="K228" s="27">
        <f t="shared" si="148"/>
        <v>90124</v>
      </c>
      <c r="L228" s="18" t="s">
        <v>154</v>
      </c>
    </row>
    <row r="229" spans="1:12" x14ac:dyDescent="0.2">
      <c r="A229" s="144">
        <f t="shared" si="89"/>
        <v>217</v>
      </c>
      <c r="B229" s="17" t="s">
        <v>80</v>
      </c>
      <c r="C229" s="54">
        <v>326</v>
      </c>
      <c r="D229" s="54">
        <f>C229</f>
        <v>326</v>
      </c>
      <c r="E229" s="54">
        <f t="shared" si="144"/>
        <v>0</v>
      </c>
      <c r="F229" s="54">
        <v>0</v>
      </c>
      <c r="G229" s="27">
        <f t="shared" si="145"/>
        <v>0</v>
      </c>
      <c r="H229" s="54">
        <v>0</v>
      </c>
      <c r="I229" s="27">
        <f t="shared" si="146"/>
        <v>0</v>
      </c>
      <c r="J229" s="51">
        <f t="shared" si="147"/>
        <v>0</v>
      </c>
      <c r="K229" s="27">
        <f t="shared" si="148"/>
        <v>0</v>
      </c>
      <c r="L229" s="18" t="s">
        <v>152</v>
      </c>
    </row>
    <row r="230" spans="1:12" x14ac:dyDescent="0.2">
      <c r="A230" s="144">
        <f t="shared" si="89"/>
        <v>218</v>
      </c>
      <c r="B230" s="17" t="s">
        <v>279</v>
      </c>
      <c r="C230" s="54">
        <v>0</v>
      </c>
      <c r="D230" s="27">
        <f>C230</f>
        <v>0</v>
      </c>
      <c r="E230" s="54">
        <f>+C230-D230</f>
        <v>0</v>
      </c>
      <c r="F230" s="54">
        <v>0</v>
      </c>
      <c r="G230" s="27">
        <f t="shared" si="145"/>
        <v>0</v>
      </c>
      <c r="H230" s="54">
        <v>0</v>
      </c>
      <c r="I230" s="27">
        <f>+G230+H230</f>
        <v>0</v>
      </c>
      <c r="J230" s="51">
        <f t="shared" si="147"/>
        <v>0</v>
      </c>
      <c r="K230" s="27">
        <f>IF(I230*J230=0,0, ROUND(I230*J230,0))</f>
        <v>0</v>
      </c>
      <c r="L230" s="18" t="s">
        <v>152</v>
      </c>
    </row>
    <row r="231" spans="1:12" x14ac:dyDescent="0.2">
      <c r="A231" s="144">
        <f t="shared" si="89"/>
        <v>219</v>
      </c>
      <c r="B231" s="17" t="s">
        <v>81</v>
      </c>
      <c r="C231" s="54">
        <v>214581</v>
      </c>
      <c r="D231" s="54">
        <f>C231</f>
        <v>214581</v>
      </c>
      <c r="E231" s="54">
        <f t="shared" si="144"/>
        <v>0</v>
      </c>
      <c r="F231" s="54">
        <v>0</v>
      </c>
      <c r="G231" s="27">
        <f t="shared" si="145"/>
        <v>0</v>
      </c>
      <c r="H231" s="54">
        <v>0</v>
      </c>
      <c r="I231" s="27">
        <f t="shared" si="146"/>
        <v>0</v>
      </c>
      <c r="J231" s="51">
        <f t="shared" si="147"/>
        <v>0</v>
      </c>
      <c r="K231" s="27">
        <f t="shared" si="148"/>
        <v>0</v>
      </c>
      <c r="L231" s="18" t="s">
        <v>152</v>
      </c>
    </row>
    <row r="232" spans="1:12" x14ac:dyDescent="0.2">
      <c r="A232" s="144">
        <f t="shared" si="89"/>
        <v>220</v>
      </c>
      <c r="B232" s="17" t="s">
        <v>280</v>
      </c>
      <c r="C232" s="54">
        <v>0</v>
      </c>
      <c r="D232" s="27">
        <v>0</v>
      </c>
      <c r="E232" s="54">
        <f>+C232-D232</f>
        <v>0</v>
      </c>
      <c r="F232" s="54">
        <v>0</v>
      </c>
      <c r="G232" s="27">
        <f t="shared" si="145"/>
        <v>0</v>
      </c>
      <c r="H232" s="54">
        <v>0</v>
      </c>
      <c r="I232" s="27">
        <f>+G232+H232</f>
        <v>0</v>
      </c>
      <c r="J232" s="51">
        <f t="shared" si="147"/>
        <v>0.99</v>
      </c>
      <c r="K232" s="27">
        <f>IF(I232*J232=0,0, ROUND(I232*J232,0))</f>
        <v>0</v>
      </c>
      <c r="L232" s="18" t="s">
        <v>154</v>
      </c>
    </row>
    <row r="233" spans="1:12" x14ac:dyDescent="0.2">
      <c r="A233" s="144">
        <f t="shared" si="89"/>
        <v>221</v>
      </c>
      <c r="B233" s="56" t="s">
        <v>258</v>
      </c>
      <c r="C233" s="54">
        <v>0</v>
      </c>
      <c r="D233" s="54">
        <v>0</v>
      </c>
      <c r="E233" s="54">
        <f t="shared" si="144"/>
        <v>0</v>
      </c>
      <c r="F233" s="54">
        <v>0</v>
      </c>
      <c r="G233" s="27">
        <f t="shared" si="145"/>
        <v>0</v>
      </c>
      <c r="H233" s="54">
        <v>0</v>
      </c>
      <c r="I233" s="27">
        <f>+G233+H233</f>
        <v>0</v>
      </c>
      <c r="J233" s="51">
        <f t="shared" si="147"/>
        <v>0</v>
      </c>
      <c r="K233" s="27">
        <f>IF(I233*J233=0,0, ROUND(I233*J233,0))</f>
        <v>0</v>
      </c>
      <c r="L233" s="83" t="s">
        <v>152</v>
      </c>
    </row>
    <row r="234" spans="1:12" x14ac:dyDescent="0.2">
      <c r="A234" s="144">
        <f t="shared" si="89"/>
        <v>222</v>
      </c>
      <c r="B234" s="17" t="s">
        <v>82</v>
      </c>
      <c r="C234" s="54">
        <v>0</v>
      </c>
      <c r="D234" s="54">
        <v>0</v>
      </c>
      <c r="E234" s="54">
        <f t="shared" si="144"/>
        <v>0</v>
      </c>
      <c r="F234" s="54">
        <v>0</v>
      </c>
      <c r="G234" s="27">
        <f t="shared" si="145"/>
        <v>0</v>
      </c>
      <c r="H234" s="27">
        <v>0</v>
      </c>
      <c r="I234" s="27">
        <f t="shared" si="146"/>
        <v>0</v>
      </c>
      <c r="J234" s="51">
        <f t="shared" si="147"/>
        <v>0.98499999999999999</v>
      </c>
      <c r="K234" s="27">
        <f t="shared" si="148"/>
        <v>0</v>
      </c>
      <c r="L234" s="18" t="s">
        <v>149</v>
      </c>
    </row>
    <row r="235" spans="1:12" x14ac:dyDescent="0.2">
      <c r="A235" s="144">
        <f t="shared" si="89"/>
        <v>223</v>
      </c>
      <c r="B235" s="122" t="s">
        <v>379</v>
      </c>
      <c r="C235" s="54">
        <v>-18382</v>
      </c>
      <c r="D235" s="82">
        <v>0</v>
      </c>
      <c r="E235" s="82">
        <f t="shared" si="144"/>
        <v>-18382</v>
      </c>
      <c r="F235" s="54">
        <v>0</v>
      </c>
      <c r="G235" s="27">
        <f t="shared" si="145"/>
        <v>-18382</v>
      </c>
      <c r="H235" s="54">
        <v>0</v>
      </c>
      <c r="I235" s="41">
        <f t="shared" si="146"/>
        <v>-18382</v>
      </c>
      <c r="J235" s="51">
        <f>VLOOKUP(L235,$C$308:$D$322,2,FALSE)</f>
        <v>0.98499999999999999</v>
      </c>
      <c r="K235" s="27">
        <f t="shared" si="148"/>
        <v>-18106</v>
      </c>
      <c r="L235" s="133" t="s">
        <v>225</v>
      </c>
    </row>
    <row r="236" spans="1:12" x14ac:dyDescent="0.2">
      <c r="A236" s="144">
        <f t="shared" si="89"/>
        <v>224</v>
      </c>
      <c r="B236" s="56" t="s">
        <v>259</v>
      </c>
      <c r="C236" s="54">
        <v>66465</v>
      </c>
      <c r="D236" s="54">
        <v>0</v>
      </c>
      <c r="E236" s="54">
        <f t="shared" si="144"/>
        <v>66465</v>
      </c>
      <c r="F236" s="54">
        <v>0</v>
      </c>
      <c r="G236" s="27">
        <f t="shared" si="145"/>
        <v>66465</v>
      </c>
      <c r="H236" s="54">
        <v>0</v>
      </c>
      <c r="I236" s="27">
        <f>+G236+H236</f>
        <v>66465</v>
      </c>
      <c r="J236" s="51">
        <f>VLOOKUP(L236,$C$308:$D$322,2,FALSE)</f>
        <v>0</v>
      </c>
      <c r="K236" s="27">
        <f>IF(I236*J236=0,0, ROUND(I236*J236,0))</f>
        <v>0</v>
      </c>
      <c r="L236" s="83" t="s">
        <v>152</v>
      </c>
    </row>
    <row r="237" spans="1:12" x14ac:dyDescent="0.2">
      <c r="A237" s="144">
        <f t="shared" si="89"/>
        <v>225</v>
      </c>
      <c r="B237" s="75" t="s">
        <v>83</v>
      </c>
      <c r="C237" s="78">
        <f t="shared" ref="C237:I237" si="152">SUM(C225:C236)</f>
        <v>353106</v>
      </c>
      <c r="D237" s="78">
        <f t="shared" si="152"/>
        <v>214907</v>
      </c>
      <c r="E237" s="78">
        <f t="shared" si="152"/>
        <v>138199</v>
      </c>
      <c r="F237" s="78">
        <f t="shared" si="152"/>
        <v>0</v>
      </c>
      <c r="G237" s="78">
        <f t="shared" si="152"/>
        <v>138199</v>
      </c>
      <c r="H237" s="78">
        <f t="shared" si="152"/>
        <v>0</v>
      </c>
      <c r="I237" s="78">
        <f t="shared" si="152"/>
        <v>138199</v>
      </c>
      <c r="J237" s="24"/>
      <c r="K237" s="78">
        <f>SUM(K225:K236)</f>
        <v>71109</v>
      </c>
    </row>
    <row r="238" spans="1:12" x14ac:dyDescent="0.2">
      <c r="A238" s="144">
        <f t="shared" si="89"/>
        <v>226</v>
      </c>
      <c r="B238" s="17" t="s">
        <v>0</v>
      </c>
      <c r="C238" s="54"/>
      <c r="J238" s="81"/>
      <c r="K238" s="76"/>
    </row>
    <row r="239" spans="1:12" x14ac:dyDescent="0.2">
      <c r="A239" s="144">
        <f t="shared" si="89"/>
        <v>227</v>
      </c>
      <c r="B239" s="75" t="s">
        <v>84</v>
      </c>
      <c r="C239" s="54"/>
      <c r="J239" s="81"/>
      <c r="K239" s="76"/>
    </row>
    <row r="240" spans="1:12" x14ac:dyDescent="0.2">
      <c r="A240" s="144">
        <f t="shared" si="89"/>
        <v>228</v>
      </c>
      <c r="B240" s="17" t="s">
        <v>85</v>
      </c>
      <c r="C240" s="54">
        <v>-99490</v>
      </c>
      <c r="D240" s="54">
        <v>0</v>
      </c>
      <c r="E240" s="54">
        <f>+C240-D240</f>
        <v>-99490</v>
      </c>
      <c r="F240" s="54">
        <v>0</v>
      </c>
      <c r="G240" s="27">
        <f t="shared" ref="G240:G241" si="153">+E240+F240</f>
        <v>-99490</v>
      </c>
      <c r="H240" s="54">
        <v>0</v>
      </c>
      <c r="I240" s="27">
        <f>+G240+H240</f>
        <v>-99490</v>
      </c>
      <c r="J240" s="51">
        <f>VLOOKUP(L240,$C$308:$D$322,2,FALSE)</f>
        <v>0.98499999999999999</v>
      </c>
      <c r="K240" s="27">
        <f>IF(I240*J240=0,0, ROUND(I240*J240,0))</f>
        <v>-97998</v>
      </c>
      <c r="L240" s="18" t="s">
        <v>225</v>
      </c>
    </row>
    <row r="241" spans="1:12" x14ac:dyDescent="0.2">
      <c r="A241" s="144">
        <f t="shared" ref="A241:A275" si="154">+A240+1</f>
        <v>229</v>
      </c>
      <c r="B241" s="17" t="s">
        <v>86</v>
      </c>
      <c r="C241" s="54">
        <v>0</v>
      </c>
      <c r="D241" s="82">
        <v>0</v>
      </c>
      <c r="E241" s="82">
        <f>+C241-D241</f>
        <v>0</v>
      </c>
      <c r="F241" s="54">
        <v>0</v>
      </c>
      <c r="G241" s="27">
        <f t="shared" si="153"/>
        <v>0</v>
      </c>
      <c r="H241" s="54">
        <v>0</v>
      </c>
      <c r="I241" s="82">
        <f>+G241+H241</f>
        <v>0</v>
      </c>
      <c r="J241" s="51">
        <f>VLOOKUP(L241,$C$308:$D$322,2,FALSE)</f>
        <v>0.98499999999999999</v>
      </c>
      <c r="K241" s="27">
        <f>IF(I241*J241=0,0, ROUND(I241*J241,0))</f>
        <v>0</v>
      </c>
      <c r="L241" s="18" t="s">
        <v>225</v>
      </c>
    </row>
    <row r="242" spans="1:12" x14ac:dyDescent="0.2">
      <c r="A242" s="144">
        <f t="shared" si="154"/>
        <v>230</v>
      </c>
      <c r="B242" s="75" t="s">
        <v>87</v>
      </c>
      <c r="C242" s="78">
        <f t="shared" ref="C242:I242" si="155">SUM(C240:C241)</f>
        <v>-99490</v>
      </c>
      <c r="D242" s="78">
        <f t="shared" si="155"/>
        <v>0</v>
      </c>
      <c r="E242" s="78">
        <f t="shared" si="155"/>
        <v>-99490</v>
      </c>
      <c r="F242" s="78">
        <f t="shared" si="155"/>
        <v>0</v>
      </c>
      <c r="G242" s="78">
        <f t="shared" si="155"/>
        <v>-99490</v>
      </c>
      <c r="H242" s="78">
        <f t="shared" si="155"/>
        <v>0</v>
      </c>
      <c r="I242" s="78">
        <f t="shared" si="155"/>
        <v>-99490</v>
      </c>
      <c r="J242" s="24"/>
      <c r="K242" s="78">
        <f>SUM(K240:K241)</f>
        <v>-97998</v>
      </c>
    </row>
    <row r="243" spans="1:12" x14ac:dyDescent="0.2">
      <c r="A243" s="144">
        <f t="shared" si="154"/>
        <v>231</v>
      </c>
      <c r="B243" s="17" t="s">
        <v>0</v>
      </c>
      <c r="C243" s="54"/>
      <c r="J243" s="81"/>
      <c r="K243" s="76"/>
    </row>
    <row r="244" spans="1:12" x14ac:dyDescent="0.2">
      <c r="A244" s="144">
        <f t="shared" si="154"/>
        <v>232</v>
      </c>
      <c r="B244" s="75" t="s">
        <v>88</v>
      </c>
      <c r="C244" s="54"/>
      <c r="J244" s="81"/>
      <c r="K244" s="76"/>
    </row>
    <row r="245" spans="1:12" x14ac:dyDescent="0.2">
      <c r="A245" s="144">
        <f t="shared" si="154"/>
        <v>233</v>
      </c>
      <c r="B245" s="17" t="s">
        <v>89</v>
      </c>
      <c r="C245" s="54">
        <v>-3467221</v>
      </c>
      <c r="D245" s="54">
        <v>0</v>
      </c>
      <c r="E245" s="54">
        <f>+C245-D245</f>
        <v>-3467221</v>
      </c>
      <c r="F245" s="54">
        <v>0</v>
      </c>
      <c r="G245" s="27">
        <f>+E245+F245</f>
        <v>-3467221</v>
      </c>
      <c r="H245" s="54">
        <v>0</v>
      </c>
      <c r="I245" s="27">
        <f>+G245+H245</f>
        <v>-3467221</v>
      </c>
      <c r="J245" s="51">
        <f>VLOOKUP(L245,$C$308:$D$322,2,FALSE)</f>
        <v>0.98499999999999999</v>
      </c>
      <c r="K245" s="27">
        <f>IF(I245*J245=0,0, ROUND(I245*J245,0))</f>
        <v>-3415213</v>
      </c>
      <c r="L245" s="18" t="s">
        <v>225</v>
      </c>
    </row>
    <row r="246" spans="1:12" x14ac:dyDescent="0.2">
      <c r="A246" s="144">
        <f t="shared" si="154"/>
        <v>234</v>
      </c>
      <c r="B246" s="75" t="s">
        <v>90</v>
      </c>
      <c r="C246" s="78">
        <f t="shared" ref="C246:I246" si="156">SUM(C245:C245)</f>
        <v>-3467221</v>
      </c>
      <c r="D246" s="78">
        <f t="shared" si="156"/>
        <v>0</v>
      </c>
      <c r="E246" s="78">
        <f t="shared" si="156"/>
        <v>-3467221</v>
      </c>
      <c r="F246" s="78">
        <f t="shared" si="156"/>
        <v>0</v>
      </c>
      <c r="G246" s="78">
        <f t="shared" si="156"/>
        <v>-3467221</v>
      </c>
      <c r="H246" s="78">
        <f t="shared" si="156"/>
        <v>0</v>
      </c>
      <c r="I246" s="78">
        <f t="shared" si="156"/>
        <v>-3467221</v>
      </c>
      <c r="J246" s="24"/>
      <c r="K246" s="80">
        <f>SUM(K245:K245)</f>
        <v>-3415213</v>
      </c>
    </row>
    <row r="247" spans="1:12" x14ac:dyDescent="0.2">
      <c r="A247" s="144">
        <f t="shared" si="154"/>
        <v>235</v>
      </c>
      <c r="B247" s="17" t="s">
        <v>0</v>
      </c>
      <c r="C247" s="54"/>
      <c r="J247" s="81"/>
      <c r="K247" s="76"/>
    </row>
    <row r="248" spans="1:12" x14ac:dyDescent="0.2">
      <c r="A248" s="144">
        <f t="shared" si="154"/>
        <v>236</v>
      </c>
      <c r="B248" s="75" t="s">
        <v>91</v>
      </c>
      <c r="C248" s="54"/>
      <c r="J248" s="81"/>
      <c r="K248" s="76"/>
    </row>
    <row r="249" spans="1:12" x14ac:dyDescent="0.2">
      <c r="A249" s="144">
        <f t="shared" si="154"/>
        <v>237</v>
      </c>
      <c r="B249" s="17" t="s">
        <v>346</v>
      </c>
      <c r="C249" s="82">
        <v>37226</v>
      </c>
      <c r="D249" s="82">
        <v>0</v>
      </c>
      <c r="E249" s="82">
        <f>+C249-D249</f>
        <v>37226</v>
      </c>
      <c r="F249" s="82">
        <v>0</v>
      </c>
      <c r="G249" s="27">
        <f>+E249+F249</f>
        <v>37226</v>
      </c>
      <c r="H249" s="54">
        <v>0</v>
      </c>
      <c r="I249" s="82">
        <f>+G249+H249</f>
        <v>37226</v>
      </c>
      <c r="J249" s="51">
        <f>VLOOKUP(L249,$C$308:$D$322,2,FALSE)</f>
        <v>0.98499999999999999</v>
      </c>
      <c r="K249" s="27">
        <f>IF(I249*J249=0,0, ROUND(I249*J249,0))</f>
        <v>36668</v>
      </c>
      <c r="L249" s="18" t="s">
        <v>237</v>
      </c>
    </row>
    <row r="250" spans="1:12" x14ac:dyDescent="0.2">
      <c r="A250" s="144">
        <f t="shared" si="154"/>
        <v>238</v>
      </c>
      <c r="B250" s="75" t="s">
        <v>92</v>
      </c>
      <c r="C250" s="78">
        <f t="shared" ref="C250:I250" si="157">SUM(C249:C249)</f>
        <v>37226</v>
      </c>
      <c r="D250" s="78">
        <f t="shared" si="157"/>
        <v>0</v>
      </c>
      <c r="E250" s="78">
        <f t="shared" si="157"/>
        <v>37226</v>
      </c>
      <c r="F250" s="78">
        <f t="shared" si="157"/>
        <v>0</v>
      </c>
      <c r="G250" s="78">
        <f t="shared" si="157"/>
        <v>37226</v>
      </c>
      <c r="H250" s="78">
        <f t="shared" si="157"/>
        <v>0</v>
      </c>
      <c r="I250" s="78">
        <f t="shared" si="157"/>
        <v>37226</v>
      </c>
      <c r="J250" s="24"/>
      <c r="K250" s="80">
        <f>SUM(K249:K249)</f>
        <v>36668</v>
      </c>
    </row>
    <row r="251" spans="1:12" x14ac:dyDescent="0.2">
      <c r="A251" s="144">
        <f t="shared" si="154"/>
        <v>239</v>
      </c>
      <c r="B251" s="17" t="s">
        <v>0</v>
      </c>
      <c r="C251" s="54"/>
      <c r="J251" s="81"/>
      <c r="K251" s="76"/>
    </row>
    <row r="252" spans="1:12" x14ac:dyDescent="0.2">
      <c r="A252" s="144">
        <f t="shared" si="154"/>
        <v>240</v>
      </c>
      <c r="B252" s="75" t="s">
        <v>93</v>
      </c>
      <c r="C252" s="54"/>
      <c r="J252" s="81"/>
      <c r="K252" s="76"/>
    </row>
    <row r="253" spans="1:12" x14ac:dyDescent="0.2">
      <c r="A253" s="144">
        <f t="shared" si="154"/>
        <v>241</v>
      </c>
      <c r="B253" s="17" t="s">
        <v>94</v>
      </c>
      <c r="C253" s="54">
        <v>0</v>
      </c>
      <c r="D253" s="54">
        <f>C253</f>
        <v>0</v>
      </c>
      <c r="E253" s="54">
        <f t="shared" ref="E253:E263" si="158">+C253-D253</f>
        <v>0</v>
      </c>
      <c r="F253" s="54">
        <v>0</v>
      </c>
      <c r="G253" s="27">
        <f t="shared" ref="G253:G263" si="159">+E253+F253</f>
        <v>0</v>
      </c>
      <c r="H253" s="54">
        <v>0</v>
      </c>
      <c r="I253" s="27">
        <f t="shared" ref="I253:I263" si="160">+G253+H253</f>
        <v>0</v>
      </c>
      <c r="J253" s="51">
        <f t="shared" ref="J253:J263" si="161">VLOOKUP(L253,$C$308:$D$322,2,FALSE)</f>
        <v>0</v>
      </c>
      <c r="K253" s="27">
        <f t="shared" ref="K253:K263" si="162">IF(I253*J253=0,0, ROUND(I253*J253,0))</f>
        <v>0</v>
      </c>
      <c r="L253" s="83" t="s">
        <v>238</v>
      </c>
    </row>
    <row r="254" spans="1:12" x14ac:dyDescent="0.2">
      <c r="A254" s="144">
        <f t="shared" si="154"/>
        <v>242</v>
      </c>
      <c r="B254" s="17" t="s">
        <v>95</v>
      </c>
      <c r="C254" s="54">
        <v>5166635</v>
      </c>
      <c r="D254" s="54">
        <v>0</v>
      </c>
      <c r="E254" s="54">
        <f t="shared" si="158"/>
        <v>5166635</v>
      </c>
      <c r="F254" s="54">
        <v>0</v>
      </c>
      <c r="G254" s="27">
        <f t="shared" si="159"/>
        <v>5166635</v>
      </c>
      <c r="H254" s="54">
        <v>0</v>
      </c>
      <c r="I254" s="27">
        <f t="shared" si="160"/>
        <v>5166635</v>
      </c>
      <c r="J254" s="51">
        <f t="shared" si="161"/>
        <v>0.98599999999999999</v>
      </c>
      <c r="K254" s="27">
        <f t="shared" si="162"/>
        <v>5094302</v>
      </c>
      <c r="L254" s="18" t="s">
        <v>151</v>
      </c>
    </row>
    <row r="255" spans="1:12" x14ac:dyDescent="0.2">
      <c r="A255" s="144">
        <f t="shared" si="154"/>
        <v>243</v>
      </c>
      <c r="B255" s="17" t="s">
        <v>96</v>
      </c>
      <c r="C255" s="54">
        <v>0</v>
      </c>
      <c r="D255" s="54">
        <v>0</v>
      </c>
      <c r="E255" s="54">
        <f t="shared" si="158"/>
        <v>0</v>
      </c>
      <c r="F255" s="54">
        <v>0</v>
      </c>
      <c r="G255" s="27">
        <f t="shared" si="159"/>
        <v>0</v>
      </c>
      <c r="H255" s="54">
        <v>0</v>
      </c>
      <c r="I255" s="27">
        <f t="shared" si="160"/>
        <v>0</v>
      </c>
      <c r="J255" s="51">
        <f t="shared" si="161"/>
        <v>0</v>
      </c>
      <c r="K255" s="27">
        <f t="shared" si="162"/>
        <v>0</v>
      </c>
      <c r="L255" s="83" t="s">
        <v>238</v>
      </c>
    </row>
    <row r="256" spans="1:12" x14ac:dyDescent="0.2">
      <c r="A256" s="144">
        <f t="shared" si="154"/>
        <v>244</v>
      </c>
      <c r="B256" s="17" t="s">
        <v>97</v>
      </c>
      <c r="C256" s="54">
        <v>0</v>
      </c>
      <c r="D256" s="54">
        <v>0</v>
      </c>
      <c r="E256" s="54">
        <f t="shared" si="158"/>
        <v>0</v>
      </c>
      <c r="F256" s="54">
        <v>0</v>
      </c>
      <c r="G256" s="27">
        <f t="shared" si="159"/>
        <v>0</v>
      </c>
      <c r="H256" s="54">
        <v>0</v>
      </c>
      <c r="I256" s="27">
        <f t="shared" si="160"/>
        <v>0</v>
      </c>
      <c r="J256" s="51">
        <f t="shared" si="161"/>
        <v>0</v>
      </c>
      <c r="K256" s="27">
        <f t="shared" si="162"/>
        <v>0</v>
      </c>
      <c r="L256" s="83" t="s">
        <v>238</v>
      </c>
    </row>
    <row r="257" spans="1:12" x14ac:dyDescent="0.2">
      <c r="A257" s="144">
        <f t="shared" si="154"/>
        <v>245</v>
      </c>
      <c r="B257" s="17" t="s">
        <v>98</v>
      </c>
      <c r="C257" s="54">
        <v>287340</v>
      </c>
      <c r="D257" s="54">
        <v>0</v>
      </c>
      <c r="E257" s="54">
        <f t="shared" si="158"/>
        <v>287340</v>
      </c>
      <c r="F257" s="54">
        <v>0</v>
      </c>
      <c r="G257" s="27">
        <f t="shared" si="159"/>
        <v>287340</v>
      </c>
      <c r="H257" s="54">
        <v>0</v>
      </c>
      <c r="I257" s="27">
        <f t="shared" si="160"/>
        <v>287340</v>
      </c>
      <c r="J257" s="51">
        <f t="shared" si="161"/>
        <v>0.98599999999999999</v>
      </c>
      <c r="K257" s="27">
        <f t="shared" si="162"/>
        <v>283317</v>
      </c>
      <c r="L257" s="18" t="s">
        <v>151</v>
      </c>
    </row>
    <row r="258" spans="1:12" x14ac:dyDescent="0.2">
      <c r="A258" s="144">
        <f t="shared" si="154"/>
        <v>246</v>
      </c>
      <c r="B258" s="17" t="s">
        <v>99</v>
      </c>
      <c r="C258" s="54">
        <v>0</v>
      </c>
      <c r="D258" s="54">
        <v>0</v>
      </c>
      <c r="E258" s="54">
        <f t="shared" si="158"/>
        <v>0</v>
      </c>
      <c r="F258" s="54">
        <v>0</v>
      </c>
      <c r="G258" s="27">
        <f t="shared" si="159"/>
        <v>0</v>
      </c>
      <c r="H258" s="54">
        <v>0</v>
      </c>
      <c r="I258" s="27">
        <f t="shared" si="160"/>
        <v>0</v>
      </c>
      <c r="J258" s="51">
        <f t="shared" si="161"/>
        <v>0.98599999999999999</v>
      </c>
      <c r="K258" s="27">
        <f t="shared" si="162"/>
        <v>0</v>
      </c>
      <c r="L258" s="18" t="s">
        <v>151</v>
      </c>
    </row>
    <row r="259" spans="1:12" x14ac:dyDescent="0.2">
      <c r="A259" s="144">
        <f t="shared" si="154"/>
        <v>247</v>
      </c>
      <c r="B259" s="17" t="s">
        <v>100</v>
      </c>
      <c r="C259" s="54">
        <v>9181</v>
      </c>
      <c r="D259" s="54">
        <v>0</v>
      </c>
      <c r="E259" s="54">
        <f t="shared" si="158"/>
        <v>9181</v>
      </c>
      <c r="F259" s="54">
        <v>0</v>
      </c>
      <c r="G259" s="27">
        <f t="shared" si="159"/>
        <v>9181</v>
      </c>
      <c r="H259" s="54">
        <v>0</v>
      </c>
      <c r="I259" s="27">
        <f t="shared" si="160"/>
        <v>9181</v>
      </c>
      <c r="J259" s="51">
        <f t="shared" si="161"/>
        <v>0.98599999999999999</v>
      </c>
      <c r="K259" s="27">
        <f t="shared" si="162"/>
        <v>9052</v>
      </c>
      <c r="L259" s="18" t="s">
        <v>151</v>
      </c>
    </row>
    <row r="260" spans="1:12" x14ac:dyDescent="0.2">
      <c r="A260" s="144">
        <f t="shared" si="154"/>
        <v>248</v>
      </c>
      <c r="B260" s="17" t="s">
        <v>260</v>
      </c>
      <c r="C260" s="54">
        <v>0</v>
      </c>
      <c r="D260" s="54">
        <v>0</v>
      </c>
      <c r="E260" s="54">
        <f t="shared" si="158"/>
        <v>0</v>
      </c>
      <c r="F260" s="54">
        <v>0</v>
      </c>
      <c r="G260" s="27">
        <f t="shared" si="159"/>
        <v>0</v>
      </c>
      <c r="H260" s="54">
        <v>0</v>
      </c>
      <c r="I260" s="27">
        <f>+G260+H260</f>
        <v>0</v>
      </c>
      <c r="J260" s="51">
        <f t="shared" si="161"/>
        <v>0.98599999999999999</v>
      </c>
      <c r="K260" s="27">
        <f>IF(I260*J260=0,0, ROUND(I260*J260,0))</f>
        <v>0</v>
      </c>
      <c r="L260" s="84" t="s">
        <v>151</v>
      </c>
    </row>
    <row r="261" spans="1:12" x14ac:dyDescent="0.2">
      <c r="A261" s="144">
        <f t="shared" si="154"/>
        <v>249</v>
      </c>
      <c r="B261" s="17" t="s">
        <v>101</v>
      </c>
      <c r="C261" s="54">
        <v>0</v>
      </c>
      <c r="D261" s="54">
        <f t="shared" ref="D261:D262" si="163">C261</f>
        <v>0</v>
      </c>
      <c r="E261" s="54">
        <f t="shared" si="158"/>
        <v>0</v>
      </c>
      <c r="F261" s="54">
        <v>0</v>
      </c>
      <c r="G261" s="27">
        <f t="shared" si="159"/>
        <v>0</v>
      </c>
      <c r="H261" s="54">
        <v>0</v>
      </c>
      <c r="I261" s="27">
        <f t="shared" si="160"/>
        <v>0</v>
      </c>
      <c r="J261" s="51">
        <f t="shared" si="161"/>
        <v>0</v>
      </c>
      <c r="K261" s="27">
        <f t="shared" si="162"/>
        <v>0</v>
      </c>
      <c r="L261" s="83" t="s">
        <v>238</v>
      </c>
    </row>
    <row r="262" spans="1:12" x14ac:dyDescent="0.2">
      <c r="A262" s="144">
        <f t="shared" si="154"/>
        <v>250</v>
      </c>
      <c r="B262" s="17" t="s">
        <v>261</v>
      </c>
      <c r="C262" s="54">
        <v>0</v>
      </c>
      <c r="D262" s="54">
        <f t="shared" si="163"/>
        <v>0</v>
      </c>
      <c r="E262" s="54">
        <f t="shared" si="158"/>
        <v>0</v>
      </c>
      <c r="F262" s="54">
        <v>0</v>
      </c>
      <c r="G262" s="27">
        <f t="shared" si="159"/>
        <v>0</v>
      </c>
      <c r="H262" s="54">
        <v>0</v>
      </c>
      <c r="I262" s="27">
        <f>+G262+H262</f>
        <v>0</v>
      </c>
      <c r="J262" s="51">
        <f t="shared" si="161"/>
        <v>0</v>
      </c>
      <c r="K262" s="27">
        <f>IF(I262*J262=0,0, ROUND(I262*J262,0))</f>
        <v>0</v>
      </c>
      <c r="L262" s="83" t="s">
        <v>238</v>
      </c>
    </row>
    <row r="263" spans="1:12" x14ac:dyDescent="0.2">
      <c r="A263" s="144">
        <f t="shared" si="154"/>
        <v>251</v>
      </c>
      <c r="B263" s="17" t="s">
        <v>102</v>
      </c>
      <c r="C263" s="82">
        <v>-5463156</v>
      </c>
      <c r="D263" s="82">
        <v>0</v>
      </c>
      <c r="E263" s="82">
        <f t="shared" si="158"/>
        <v>-5463156</v>
      </c>
      <c r="F263" s="54">
        <v>0</v>
      </c>
      <c r="G263" s="27">
        <f t="shared" si="159"/>
        <v>-5463156</v>
      </c>
      <c r="H263" s="54">
        <v>0</v>
      </c>
      <c r="I263" s="41">
        <f t="shared" si="160"/>
        <v>-5463156</v>
      </c>
      <c r="J263" s="51">
        <f t="shared" si="161"/>
        <v>0.98599999999999999</v>
      </c>
      <c r="K263" s="27">
        <f t="shared" si="162"/>
        <v>-5386672</v>
      </c>
      <c r="L263" s="18" t="s">
        <v>151</v>
      </c>
    </row>
    <row r="264" spans="1:12" x14ac:dyDescent="0.2">
      <c r="A264" s="144">
        <f t="shared" si="154"/>
        <v>252</v>
      </c>
      <c r="B264" s="75" t="s">
        <v>103</v>
      </c>
      <c r="C264" s="78">
        <f t="shared" ref="C264:I264" si="164">SUM(C253:C263)</f>
        <v>0</v>
      </c>
      <c r="D264" s="78">
        <f t="shared" si="164"/>
        <v>0</v>
      </c>
      <c r="E264" s="78">
        <f t="shared" si="164"/>
        <v>0</v>
      </c>
      <c r="F264" s="78">
        <f t="shared" si="164"/>
        <v>0</v>
      </c>
      <c r="G264" s="78">
        <f t="shared" si="164"/>
        <v>0</v>
      </c>
      <c r="H264" s="78">
        <f t="shared" si="164"/>
        <v>0</v>
      </c>
      <c r="I264" s="78">
        <f t="shared" si="164"/>
        <v>0</v>
      </c>
      <c r="J264" s="24"/>
      <c r="K264" s="80">
        <f>SUM(K253:K263)</f>
        <v>-1</v>
      </c>
    </row>
    <row r="265" spans="1:12" x14ac:dyDescent="0.2">
      <c r="A265" s="144">
        <f t="shared" si="154"/>
        <v>253</v>
      </c>
      <c r="B265" s="17" t="s">
        <v>0</v>
      </c>
      <c r="C265" s="54"/>
      <c r="J265" s="81"/>
      <c r="K265" s="76"/>
    </row>
    <row r="266" spans="1:12" x14ac:dyDescent="0.2">
      <c r="A266" s="144">
        <f t="shared" si="154"/>
        <v>254</v>
      </c>
      <c r="B266" s="75" t="s">
        <v>104</v>
      </c>
      <c r="C266" s="54"/>
      <c r="J266" s="81"/>
      <c r="K266" s="76"/>
    </row>
    <row r="267" spans="1:12" x14ac:dyDescent="0.2">
      <c r="A267" s="144">
        <f t="shared" si="154"/>
        <v>255</v>
      </c>
      <c r="B267" s="17" t="s">
        <v>105</v>
      </c>
      <c r="C267" s="54">
        <v>256407</v>
      </c>
      <c r="D267" s="54">
        <v>0</v>
      </c>
      <c r="E267" s="54">
        <f t="shared" ref="E267:E273" si="165">+C267-D267</f>
        <v>256407</v>
      </c>
      <c r="F267" s="54">
        <v>0</v>
      </c>
      <c r="G267" s="27">
        <f t="shared" ref="G267:G273" si="166">+E267+F267</f>
        <v>256407</v>
      </c>
      <c r="H267" s="54">
        <v>0</v>
      </c>
      <c r="I267" s="27">
        <f t="shared" ref="I267:I273" si="167">+G267+H267</f>
        <v>256407</v>
      </c>
      <c r="J267" s="51">
        <f t="shared" ref="J267:J273" si="168">VLOOKUP(L267,$C$308:$D$322,2,FALSE)</f>
        <v>0.98599999999999999</v>
      </c>
      <c r="K267" s="27">
        <f t="shared" ref="K267:K273" si="169">IF(I267*J267=0,0, ROUND(I267*J267,0))</f>
        <v>252817</v>
      </c>
      <c r="L267" s="18" t="s">
        <v>151</v>
      </c>
    </row>
    <row r="268" spans="1:12" x14ac:dyDescent="0.2">
      <c r="A268" s="144">
        <f t="shared" si="154"/>
        <v>256</v>
      </c>
      <c r="B268" s="17" t="s">
        <v>265</v>
      </c>
      <c r="C268" s="54">
        <v>0</v>
      </c>
      <c r="D268" s="54">
        <v>0</v>
      </c>
      <c r="E268" s="54">
        <f t="shared" si="165"/>
        <v>0</v>
      </c>
      <c r="F268" s="54">
        <v>0</v>
      </c>
      <c r="G268" s="27">
        <f t="shared" si="166"/>
        <v>0</v>
      </c>
      <c r="H268" s="54">
        <v>0</v>
      </c>
      <c r="I268" s="27">
        <f t="shared" si="167"/>
        <v>0</v>
      </c>
      <c r="J268" s="51">
        <f t="shared" si="168"/>
        <v>0.98599999999999999</v>
      </c>
      <c r="K268" s="27">
        <f t="shared" si="169"/>
        <v>0</v>
      </c>
      <c r="L268" s="83" t="s">
        <v>151</v>
      </c>
    </row>
    <row r="269" spans="1:12" x14ac:dyDescent="0.2">
      <c r="A269" s="144">
        <f t="shared" si="154"/>
        <v>257</v>
      </c>
      <c r="B269" s="17" t="s">
        <v>262</v>
      </c>
      <c r="C269" s="54">
        <v>0</v>
      </c>
      <c r="D269" s="54">
        <f>C269</f>
        <v>0</v>
      </c>
      <c r="E269" s="54">
        <f t="shared" si="165"/>
        <v>0</v>
      </c>
      <c r="F269" s="54">
        <v>0</v>
      </c>
      <c r="G269" s="27">
        <f t="shared" si="166"/>
        <v>0</v>
      </c>
      <c r="H269" s="54">
        <v>0</v>
      </c>
      <c r="I269" s="27">
        <f t="shared" si="167"/>
        <v>0</v>
      </c>
      <c r="J269" s="51">
        <f t="shared" si="168"/>
        <v>0</v>
      </c>
      <c r="K269" s="27">
        <f t="shared" si="169"/>
        <v>0</v>
      </c>
      <c r="L269" s="83" t="s">
        <v>238</v>
      </c>
    </row>
    <row r="270" spans="1:12" x14ac:dyDescent="0.2">
      <c r="A270" s="144">
        <f t="shared" si="154"/>
        <v>258</v>
      </c>
      <c r="B270" s="17" t="s">
        <v>106</v>
      </c>
      <c r="C270" s="54">
        <v>0</v>
      </c>
      <c r="D270" s="54">
        <f>C270</f>
        <v>0</v>
      </c>
      <c r="E270" s="54">
        <f t="shared" si="165"/>
        <v>0</v>
      </c>
      <c r="F270" s="54">
        <v>0</v>
      </c>
      <c r="G270" s="27">
        <f t="shared" si="166"/>
        <v>0</v>
      </c>
      <c r="H270" s="54">
        <v>0</v>
      </c>
      <c r="I270" s="27">
        <f t="shared" si="167"/>
        <v>0</v>
      </c>
      <c r="J270" s="51">
        <f t="shared" si="168"/>
        <v>0</v>
      </c>
      <c r="K270" s="27">
        <f t="shared" si="169"/>
        <v>0</v>
      </c>
      <c r="L270" s="83" t="s">
        <v>238</v>
      </c>
    </row>
    <row r="271" spans="1:12" x14ac:dyDescent="0.2">
      <c r="A271" s="144">
        <f t="shared" si="154"/>
        <v>259</v>
      </c>
      <c r="B271" s="17" t="s">
        <v>266</v>
      </c>
      <c r="C271" s="54">
        <v>0</v>
      </c>
      <c r="D271" s="54">
        <v>0</v>
      </c>
      <c r="E271" s="54">
        <f t="shared" si="165"/>
        <v>0</v>
      </c>
      <c r="F271" s="54">
        <v>0</v>
      </c>
      <c r="G271" s="27">
        <f t="shared" si="166"/>
        <v>0</v>
      </c>
      <c r="H271" s="54">
        <v>0</v>
      </c>
      <c r="I271" s="27">
        <f t="shared" si="167"/>
        <v>0</v>
      </c>
      <c r="J271" s="51">
        <f t="shared" si="168"/>
        <v>0.98599999999999999</v>
      </c>
      <c r="K271" s="27">
        <f t="shared" si="169"/>
        <v>0</v>
      </c>
      <c r="L271" s="83" t="s">
        <v>151</v>
      </c>
    </row>
    <row r="272" spans="1:12" x14ac:dyDescent="0.2">
      <c r="A272" s="144">
        <f t="shared" si="154"/>
        <v>260</v>
      </c>
      <c r="B272" s="17" t="s">
        <v>267</v>
      </c>
      <c r="C272" s="54">
        <v>0</v>
      </c>
      <c r="D272" s="54">
        <v>0</v>
      </c>
      <c r="E272" s="54">
        <f t="shared" si="165"/>
        <v>0</v>
      </c>
      <c r="F272" s="54">
        <v>0</v>
      </c>
      <c r="G272" s="27">
        <f t="shared" si="166"/>
        <v>0</v>
      </c>
      <c r="H272" s="54">
        <v>0</v>
      </c>
      <c r="I272" s="27">
        <f t="shared" si="167"/>
        <v>0</v>
      </c>
      <c r="J272" s="51">
        <f t="shared" si="168"/>
        <v>0.98599999999999999</v>
      </c>
      <c r="K272" s="27">
        <f t="shared" si="169"/>
        <v>0</v>
      </c>
      <c r="L272" s="83" t="s">
        <v>151</v>
      </c>
    </row>
    <row r="273" spans="1:13" x14ac:dyDescent="0.2">
      <c r="A273" s="144">
        <f t="shared" si="154"/>
        <v>261</v>
      </c>
      <c r="B273" s="17" t="s">
        <v>107</v>
      </c>
      <c r="C273" s="54">
        <v>0</v>
      </c>
      <c r="D273" s="82">
        <v>0</v>
      </c>
      <c r="E273" s="82">
        <f t="shared" si="165"/>
        <v>0</v>
      </c>
      <c r="F273" s="54">
        <v>0</v>
      </c>
      <c r="G273" s="27">
        <f t="shared" si="166"/>
        <v>0</v>
      </c>
      <c r="H273" s="54">
        <v>0</v>
      </c>
      <c r="I273" s="82">
        <f t="shared" si="167"/>
        <v>0</v>
      </c>
      <c r="J273" s="51">
        <f t="shared" si="168"/>
        <v>0.98599999999999999</v>
      </c>
      <c r="K273" s="27">
        <f t="shared" si="169"/>
        <v>0</v>
      </c>
      <c r="L273" s="18" t="s">
        <v>151</v>
      </c>
    </row>
    <row r="274" spans="1:13" x14ac:dyDescent="0.2">
      <c r="A274" s="144">
        <f t="shared" si="154"/>
        <v>262</v>
      </c>
      <c r="B274" s="75" t="s">
        <v>108</v>
      </c>
      <c r="C274" s="78">
        <f t="shared" ref="C274:I274" si="170">SUM(C267:C273)</f>
        <v>256407</v>
      </c>
      <c r="D274" s="78">
        <f t="shared" si="170"/>
        <v>0</v>
      </c>
      <c r="E274" s="78">
        <f t="shared" si="170"/>
        <v>256407</v>
      </c>
      <c r="F274" s="78">
        <f t="shared" si="170"/>
        <v>0</v>
      </c>
      <c r="G274" s="78">
        <f t="shared" si="170"/>
        <v>256407</v>
      </c>
      <c r="H274" s="78">
        <f t="shared" si="170"/>
        <v>0</v>
      </c>
      <c r="I274" s="78">
        <f t="shared" si="170"/>
        <v>256407</v>
      </c>
      <c r="J274" s="24"/>
      <c r="K274" s="80">
        <f>SUM(K267:K273)</f>
        <v>252817</v>
      </c>
    </row>
    <row r="275" spans="1:13" x14ac:dyDescent="0.2">
      <c r="A275" s="144">
        <f t="shared" si="154"/>
        <v>263</v>
      </c>
      <c r="B275" s="17" t="s">
        <v>0</v>
      </c>
      <c r="C275" s="54"/>
      <c r="J275" s="81"/>
      <c r="K275" s="76"/>
    </row>
    <row r="276" spans="1:13" x14ac:dyDescent="0.2">
      <c r="A276" s="18"/>
      <c r="B276" s="75" t="s">
        <v>109</v>
      </c>
      <c r="C276" s="85">
        <f t="shared" ref="C276:I276" si="171">+C42+C54+C61+C70+C75+C79+C83+C89+C94+C98+C125+C172+C176+C222+C237+C242+C246+C250+C264+C274</f>
        <v>-61549862.180000007</v>
      </c>
      <c r="D276" s="85">
        <f t="shared" si="171"/>
        <v>-1027203</v>
      </c>
      <c r="E276" s="85">
        <f t="shared" si="171"/>
        <v>-60522659.180000007</v>
      </c>
      <c r="F276" s="85">
        <f t="shared" si="171"/>
        <v>0</v>
      </c>
      <c r="G276" s="85">
        <f t="shared" si="171"/>
        <v>-60522659.180000007</v>
      </c>
      <c r="H276" s="85">
        <f t="shared" si="171"/>
        <v>0</v>
      </c>
      <c r="I276" s="85">
        <f t="shared" si="171"/>
        <v>-60522659.180000007</v>
      </c>
      <c r="J276" s="24"/>
      <c r="K276" s="85">
        <f>+K42+K54+K61+K70+K75+K79+K83+K89+K94+K98+K125+K172+K176+K222+K237+K242+K246+K250+K264+K274</f>
        <v>-59429987</v>
      </c>
      <c r="M276" s="27"/>
    </row>
    <row r="277" spans="1:13" x14ac:dyDescent="0.2">
      <c r="A277" s="18">
        <f t="shared" ref="A277:A297" si="172">+A276+1</f>
        <v>1</v>
      </c>
      <c r="B277" s="17" t="s">
        <v>0</v>
      </c>
      <c r="C277" s="54"/>
      <c r="E277" s="27"/>
      <c r="J277" s="81"/>
      <c r="K277" s="76"/>
    </row>
    <row r="278" spans="1:13" x14ac:dyDescent="0.2">
      <c r="A278" s="18">
        <f t="shared" si="172"/>
        <v>2</v>
      </c>
      <c r="C278" s="54"/>
      <c r="E278" s="54"/>
      <c r="F278" s="54"/>
      <c r="G278" s="54"/>
      <c r="H278" s="54"/>
      <c r="I278" s="54"/>
      <c r="J278" s="81"/>
      <c r="K278" s="86"/>
    </row>
    <row r="279" spans="1:13" x14ac:dyDescent="0.2">
      <c r="A279" s="18">
        <f t="shared" si="172"/>
        <v>3</v>
      </c>
      <c r="B279" s="56" t="s">
        <v>274</v>
      </c>
      <c r="C279" s="46">
        <v>1425776</v>
      </c>
      <c r="D279" s="46">
        <f>+C279</f>
        <v>1425776</v>
      </c>
      <c r="E279" s="46">
        <f>+C279-D279</f>
        <v>0</v>
      </c>
      <c r="F279" s="46">
        <v>0</v>
      </c>
      <c r="G279" s="26">
        <f>+E279+F279</f>
        <v>0</v>
      </c>
      <c r="H279" s="46">
        <v>0</v>
      </c>
      <c r="I279" s="46">
        <f>+G279-H279</f>
        <v>0</v>
      </c>
      <c r="K279" s="87">
        <v>0</v>
      </c>
    </row>
    <row r="280" spans="1:13" x14ac:dyDescent="0.2">
      <c r="A280" s="18">
        <f t="shared" si="172"/>
        <v>4</v>
      </c>
      <c r="B280" s="75" t="s">
        <v>110</v>
      </c>
      <c r="C280" s="54">
        <f t="shared" ref="C280:I280" si="173">+C19+C276+C279</f>
        <v>-8543051.5600000024</v>
      </c>
      <c r="D280" s="54">
        <f t="shared" si="173"/>
        <v>-2243228.8199999998</v>
      </c>
      <c r="E280" s="54">
        <f t="shared" si="173"/>
        <v>-6299822.7400000021</v>
      </c>
      <c r="F280" s="54">
        <f t="shared" si="173"/>
        <v>0</v>
      </c>
      <c r="G280" s="54">
        <f t="shared" si="173"/>
        <v>-6299822.7400000021</v>
      </c>
      <c r="H280" s="54">
        <f t="shared" si="173"/>
        <v>0</v>
      </c>
      <c r="I280" s="54">
        <f t="shared" si="173"/>
        <v>-6299822.7400000021</v>
      </c>
      <c r="K280" s="54">
        <f>+K19+K276+K279</f>
        <v>-9366581</v>
      </c>
    </row>
    <row r="281" spans="1:13" x14ac:dyDescent="0.2">
      <c r="A281" s="18">
        <f t="shared" si="172"/>
        <v>5</v>
      </c>
      <c r="B281" s="17" t="s">
        <v>111</v>
      </c>
      <c r="C281" s="88">
        <v>0.21</v>
      </c>
      <c r="D281" s="88">
        <v>0.21</v>
      </c>
      <c r="E281" s="88">
        <v>0.21</v>
      </c>
      <c r="F281" s="88">
        <v>0.21</v>
      </c>
      <c r="G281" s="88">
        <v>0.21</v>
      </c>
      <c r="H281" s="88">
        <v>0.21</v>
      </c>
      <c r="I281" s="88">
        <v>0.21</v>
      </c>
      <c r="K281" s="89">
        <v>0.21</v>
      </c>
    </row>
    <row r="282" spans="1:13" x14ac:dyDescent="0.2">
      <c r="A282" s="18">
        <f t="shared" si="172"/>
        <v>6</v>
      </c>
      <c r="B282" s="17" t="s">
        <v>112</v>
      </c>
      <c r="C282" s="54">
        <f t="shared" ref="C282:I282" si="174">ROUND(C280*C281,0)</f>
        <v>-1794041</v>
      </c>
      <c r="D282" s="54">
        <f t="shared" si="174"/>
        <v>-471078</v>
      </c>
      <c r="E282" s="54">
        <f t="shared" si="174"/>
        <v>-1322963</v>
      </c>
      <c r="F282" s="54">
        <f t="shared" si="174"/>
        <v>0</v>
      </c>
      <c r="G282" s="54">
        <f t="shared" si="174"/>
        <v>-1322963</v>
      </c>
      <c r="H282" s="54">
        <f t="shared" si="174"/>
        <v>0</v>
      </c>
      <c r="I282" s="54">
        <f t="shared" si="174"/>
        <v>-1322963</v>
      </c>
      <c r="K282" s="54">
        <f>ROUND(K280*K281,0)</f>
        <v>-1966982</v>
      </c>
    </row>
    <row r="283" spans="1:13" x14ac:dyDescent="0.2">
      <c r="A283" s="18">
        <f t="shared" si="172"/>
        <v>7</v>
      </c>
      <c r="B283" s="56" t="s">
        <v>269</v>
      </c>
      <c r="C283" s="54">
        <v>1144826</v>
      </c>
      <c r="D283" s="54">
        <f t="shared" ref="D283:D291" si="175">+C283</f>
        <v>1144826</v>
      </c>
      <c r="E283" s="54">
        <f t="shared" ref="E283:E291" si="176">+C283-D283</f>
        <v>0</v>
      </c>
      <c r="F283" s="54">
        <v>0</v>
      </c>
      <c r="G283" s="27">
        <f t="shared" ref="G283:G291" si="177">+E283+F283</f>
        <v>0</v>
      </c>
      <c r="H283" s="54">
        <v>0</v>
      </c>
      <c r="I283" s="54">
        <f t="shared" ref="I283:I291" si="178">+G283+H283</f>
        <v>0</v>
      </c>
      <c r="K283" s="86">
        <v>0</v>
      </c>
    </row>
    <row r="284" spans="1:13" x14ac:dyDescent="0.2">
      <c r="A284" s="18">
        <f t="shared" si="172"/>
        <v>8</v>
      </c>
      <c r="B284" s="64" t="s">
        <v>347</v>
      </c>
      <c r="C284" s="54">
        <v>19795</v>
      </c>
      <c r="D284" s="54">
        <f t="shared" si="175"/>
        <v>19795</v>
      </c>
      <c r="E284" s="54">
        <f t="shared" si="176"/>
        <v>0</v>
      </c>
      <c r="F284" s="54">
        <v>0</v>
      </c>
      <c r="G284" s="27">
        <f t="shared" si="177"/>
        <v>0</v>
      </c>
      <c r="H284" s="54">
        <v>0</v>
      </c>
      <c r="I284" s="54">
        <f t="shared" si="178"/>
        <v>0</v>
      </c>
      <c r="K284" s="86">
        <v>0</v>
      </c>
    </row>
    <row r="285" spans="1:13" x14ac:dyDescent="0.2">
      <c r="A285" s="144">
        <f t="shared" si="172"/>
        <v>9</v>
      </c>
      <c r="B285" s="64" t="s">
        <v>380</v>
      </c>
      <c r="C285" s="54">
        <v>-290136</v>
      </c>
      <c r="D285" s="54">
        <f t="shared" si="175"/>
        <v>-290136</v>
      </c>
      <c r="E285" s="54">
        <f t="shared" si="176"/>
        <v>0</v>
      </c>
      <c r="F285" s="54">
        <v>0</v>
      </c>
      <c r="G285" s="27">
        <f t="shared" ref="G285:G286" si="179">+E285+F285</f>
        <v>0</v>
      </c>
      <c r="H285" s="54">
        <v>0</v>
      </c>
      <c r="I285" s="54">
        <f t="shared" ref="I285:I286" si="180">+G285+H285</f>
        <v>0</v>
      </c>
      <c r="K285" s="86">
        <v>0</v>
      </c>
    </row>
    <row r="286" spans="1:13" x14ac:dyDescent="0.2">
      <c r="A286" s="144">
        <f t="shared" si="172"/>
        <v>10</v>
      </c>
      <c r="B286" s="64" t="s">
        <v>381</v>
      </c>
      <c r="C286" s="54">
        <v>-61000</v>
      </c>
      <c r="D286" s="54">
        <f t="shared" si="175"/>
        <v>-61000</v>
      </c>
      <c r="E286" s="54">
        <f t="shared" si="176"/>
        <v>0</v>
      </c>
      <c r="F286" s="54">
        <v>0</v>
      </c>
      <c r="G286" s="27">
        <f t="shared" si="179"/>
        <v>0</v>
      </c>
      <c r="H286" s="54">
        <v>0</v>
      </c>
      <c r="I286" s="54">
        <f t="shared" si="180"/>
        <v>0</v>
      </c>
      <c r="K286" s="86">
        <v>0</v>
      </c>
    </row>
    <row r="287" spans="1:13" x14ac:dyDescent="0.2">
      <c r="A287" s="144">
        <f t="shared" si="172"/>
        <v>11</v>
      </c>
      <c r="B287" s="64" t="s">
        <v>348</v>
      </c>
      <c r="C287" s="54">
        <v>0</v>
      </c>
      <c r="D287" s="54">
        <f t="shared" si="175"/>
        <v>0</v>
      </c>
      <c r="E287" s="54">
        <f t="shared" si="176"/>
        <v>0</v>
      </c>
      <c r="F287" s="54">
        <v>0</v>
      </c>
      <c r="G287" s="27">
        <f t="shared" si="177"/>
        <v>0</v>
      </c>
      <c r="H287" s="54">
        <v>0</v>
      </c>
      <c r="I287" s="54">
        <f t="shared" si="178"/>
        <v>0</v>
      </c>
      <c r="K287" s="86">
        <v>0</v>
      </c>
    </row>
    <row r="288" spans="1:13" x14ac:dyDescent="0.2">
      <c r="A288" s="144">
        <f t="shared" si="172"/>
        <v>12</v>
      </c>
      <c r="B288" s="64" t="s">
        <v>349</v>
      </c>
      <c r="C288" s="54">
        <v>0</v>
      </c>
      <c r="D288" s="54">
        <f t="shared" si="175"/>
        <v>0</v>
      </c>
      <c r="E288" s="54">
        <f t="shared" si="176"/>
        <v>0</v>
      </c>
      <c r="F288" s="54">
        <v>0</v>
      </c>
      <c r="G288" s="27">
        <f t="shared" si="177"/>
        <v>0</v>
      </c>
      <c r="H288" s="54">
        <v>0</v>
      </c>
      <c r="I288" s="54">
        <f t="shared" si="178"/>
        <v>0</v>
      </c>
      <c r="K288" s="86">
        <v>0</v>
      </c>
    </row>
    <row r="289" spans="1:12" x14ac:dyDescent="0.2">
      <c r="A289" s="144">
        <f t="shared" si="172"/>
        <v>13</v>
      </c>
      <c r="B289" s="64" t="s">
        <v>361</v>
      </c>
      <c r="C289" s="82">
        <v>-4393</v>
      </c>
      <c r="D289" s="54">
        <f t="shared" si="175"/>
        <v>-4393</v>
      </c>
      <c r="E289" s="82">
        <f t="shared" si="176"/>
        <v>0</v>
      </c>
      <c r="F289" s="82">
        <v>0</v>
      </c>
      <c r="G289" s="41">
        <f t="shared" si="177"/>
        <v>0</v>
      </c>
      <c r="H289" s="82">
        <v>0</v>
      </c>
      <c r="I289" s="82">
        <f t="shared" si="178"/>
        <v>0</v>
      </c>
      <c r="J289" s="72">
        <f>VLOOKUP(L289,$C$308:$D$322,2,FALSE)</f>
        <v>0</v>
      </c>
      <c r="K289" s="41">
        <f>IF(I289*J289=0,0, ROUND(I289*J289,0))</f>
        <v>0</v>
      </c>
      <c r="L289" s="90" t="s">
        <v>238</v>
      </c>
    </row>
    <row r="290" spans="1:12" x14ac:dyDescent="0.2">
      <c r="A290" s="144">
        <f t="shared" si="172"/>
        <v>14</v>
      </c>
      <c r="B290" s="64" t="s">
        <v>360</v>
      </c>
      <c r="C290" s="82">
        <v>6266</v>
      </c>
      <c r="D290" s="54">
        <f t="shared" si="175"/>
        <v>6266</v>
      </c>
      <c r="E290" s="82">
        <f t="shared" si="176"/>
        <v>0</v>
      </c>
      <c r="F290" s="82">
        <v>0</v>
      </c>
      <c r="G290" s="41">
        <f t="shared" si="177"/>
        <v>0</v>
      </c>
      <c r="H290" s="82">
        <v>0</v>
      </c>
      <c r="I290" s="82">
        <f t="shared" si="178"/>
        <v>0</v>
      </c>
      <c r="J290" s="72">
        <f>VLOOKUP(L290,$C$308:$D$322,2,FALSE)</f>
        <v>0</v>
      </c>
      <c r="K290" s="41">
        <f>IF(I290*J290=0,0, ROUND(I290*J290,0))</f>
        <v>0</v>
      </c>
      <c r="L290" s="90" t="s">
        <v>238</v>
      </c>
    </row>
    <row r="291" spans="1:12" x14ac:dyDescent="0.2">
      <c r="A291" s="144">
        <f t="shared" si="172"/>
        <v>15</v>
      </c>
      <c r="B291" s="17" t="s">
        <v>181</v>
      </c>
      <c r="C291" s="46">
        <v>0</v>
      </c>
      <c r="D291" s="54">
        <f t="shared" si="175"/>
        <v>0</v>
      </c>
      <c r="E291" s="54">
        <f t="shared" si="176"/>
        <v>0</v>
      </c>
      <c r="F291" s="54">
        <v>0</v>
      </c>
      <c r="G291" s="27">
        <f t="shared" si="177"/>
        <v>0</v>
      </c>
      <c r="H291" s="46">
        <v>0</v>
      </c>
      <c r="I291" s="46">
        <f t="shared" si="178"/>
        <v>0</v>
      </c>
      <c r="J291" s="51">
        <f>VLOOKUP(L291,$C$308:$D$322,2,FALSE)</f>
        <v>0</v>
      </c>
      <c r="K291" s="27">
        <f>IF(I291*J291=0,0, ROUND(I291*J291,0))</f>
        <v>0</v>
      </c>
      <c r="L291" s="83" t="s">
        <v>238</v>
      </c>
    </row>
    <row r="292" spans="1:12" ht="13.5" thickBot="1" x14ac:dyDescent="0.25">
      <c r="A292" s="144">
        <f t="shared" si="172"/>
        <v>16</v>
      </c>
      <c r="B292" s="75" t="s">
        <v>113</v>
      </c>
      <c r="C292" s="91">
        <f t="shared" ref="C292:I292" si="181">SUM(C282:C291)</f>
        <v>-978683</v>
      </c>
      <c r="D292" s="91">
        <f t="shared" si="181"/>
        <v>344280</v>
      </c>
      <c r="E292" s="91">
        <f t="shared" si="181"/>
        <v>-1322963</v>
      </c>
      <c r="F292" s="91">
        <f t="shared" si="181"/>
        <v>0</v>
      </c>
      <c r="G292" s="91">
        <f t="shared" si="181"/>
        <v>-1322963</v>
      </c>
      <c r="H292" s="91">
        <f t="shared" si="181"/>
        <v>0</v>
      </c>
      <c r="I292" s="91">
        <f t="shared" si="181"/>
        <v>-1322963</v>
      </c>
      <c r="J292" s="75"/>
      <c r="K292" s="92">
        <f>SUM(K282:K291)</f>
        <v>-1966982</v>
      </c>
    </row>
    <row r="293" spans="1:12" ht="13.5" thickTop="1" x14ac:dyDescent="0.2">
      <c r="A293" s="144">
        <f t="shared" si="172"/>
        <v>17</v>
      </c>
      <c r="C293" s="82"/>
      <c r="K293" s="76"/>
    </row>
    <row r="294" spans="1:12" x14ac:dyDescent="0.2">
      <c r="A294" s="144">
        <f t="shared" si="172"/>
        <v>18</v>
      </c>
      <c r="C294" s="27"/>
      <c r="D294" s="132"/>
      <c r="E294" s="27"/>
      <c r="J294" s="27"/>
      <c r="K294" s="76"/>
    </row>
    <row r="295" spans="1:12" x14ac:dyDescent="0.2">
      <c r="A295" s="144">
        <f t="shared" si="172"/>
        <v>19</v>
      </c>
      <c r="C295" s="145"/>
      <c r="J295" s="27"/>
      <c r="K295" s="76"/>
    </row>
    <row r="296" spans="1:12" x14ac:dyDescent="0.2">
      <c r="A296" s="144">
        <f t="shared" si="172"/>
        <v>20</v>
      </c>
      <c r="C296" s="145"/>
      <c r="E296" s="27"/>
      <c r="K296" s="76"/>
    </row>
    <row r="297" spans="1:12" x14ac:dyDescent="0.2">
      <c r="A297" s="144">
        <f t="shared" si="172"/>
        <v>21</v>
      </c>
      <c r="C297" s="145"/>
      <c r="K297" s="76"/>
    </row>
    <row r="298" spans="1:12" x14ac:dyDescent="0.2">
      <c r="K298" s="76"/>
    </row>
    <row r="299" spans="1:12" x14ac:dyDescent="0.2">
      <c r="D299" s="27"/>
      <c r="K299" s="76"/>
    </row>
    <row r="300" spans="1:12" x14ac:dyDescent="0.2">
      <c r="D300" s="36"/>
      <c r="K300" s="76"/>
    </row>
    <row r="301" spans="1:12" x14ac:dyDescent="0.2">
      <c r="K301" s="76"/>
    </row>
    <row r="302" spans="1:12" x14ac:dyDescent="0.2">
      <c r="K302" s="76"/>
    </row>
    <row r="303" spans="1:12" x14ac:dyDescent="0.2">
      <c r="K303" s="76"/>
    </row>
    <row r="304" spans="1:12" x14ac:dyDescent="0.2">
      <c r="K304" s="76"/>
    </row>
    <row r="305" spans="3:11" x14ac:dyDescent="0.2">
      <c r="K305" s="76"/>
    </row>
    <row r="306" spans="3:11" x14ac:dyDescent="0.2">
      <c r="K306" s="76"/>
    </row>
    <row r="307" spans="3:11" x14ac:dyDescent="0.2">
      <c r="C307" s="93" t="s">
        <v>226</v>
      </c>
      <c r="D307" s="94"/>
      <c r="K307" s="76"/>
    </row>
    <row r="308" spans="3:11" x14ac:dyDescent="0.2">
      <c r="C308" s="95" t="s">
        <v>225</v>
      </c>
      <c r="D308" s="44">
        <v>0.98499999999999999</v>
      </c>
      <c r="K308" s="76"/>
    </row>
    <row r="309" spans="3:11" x14ac:dyDescent="0.2">
      <c r="C309" s="95" t="s">
        <v>153</v>
      </c>
      <c r="D309" s="44">
        <v>0.98499999999999999</v>
      </c>
      <c r="K309" s="76"/>
    </row>
    <row r="310" spans="3:11" x14ac:dyDescent="0.2">
      <c r="C310" s="95" t="s">
        <v>149</v>
      </c>
      <c r="D310" s="44">
        <v>0.98499999999999999</v>
      </c>
      <c r="K310" s="76"/>
    </row>
    <row r="311" spans="3:11" x14ac:dyDescent="0.2">
      <c r="C311" s="95" t="s">
        <v>155</v>
      </c>
      <c r="D311" s="44">
        <v>0.98499999999999999</v>
      </c>
      <c r="K311" s="76"/>
    </row>
    <row r="312" spans="3:11" x14ac:dyDescent="0.2">
      <c r="C312" s="95" t="s">
        <v>150</v>
      </c>
      <c r="D312" s="44">
        <v>0.999</v>
      </c>
      <c r="K312" s="76"/>
    </row>
    <row r="313" spans="3:11" x14ac:dyDescent="0.2">
      <c r="C313" s="95" t="s">
        <v>298</v>
      </c>
      <c r="D313" s="44">
        <v>0.99299999999999999</v>
      </c>
      <c r="K313" s="76"/>
    </row>
    <row r="314" spans="3:11" x14ac:dyDescent="0.2">
      <c r="C314" s="95" t="s">
        <v>151</v>
      </c>
      <c r="D314" s="44">
        <v>0.98599999999999999</v>
      </c>
      <c r="K314" s="76"/>
    </row>
    <row r="315" spans="3:11" x14ac:dyDescent="0.2">
      <c r="C315" s="95" t="s">
        <v>154</v>
      </c>
      <c r="D315" s="44">
        <v>0.99</v>
      </c>
      <c r="K315" s="76"/>
    </row>
    <row r="316" spans="3:11" x14ac:dyDescent="0.2">
      <c r="C316" s="95" t="s">
        <v>299</v>
      </c>
      <c r="D316" s="44">
        <v>0.97899999999999998</v>
      </c>
      <c r="K316" s="76"/>
    </row>
    <row r="317" spans="3:11" x14ac:dyDescent="0.2">
      <c r="C317" s="96" t="s">
        <v>300</v>
      </c>
      <c r="D317" s="44">
        <v>0.99299999999999999</v>
      </c>
      <c r="K317" s="76"/>
    </row>
    <row r="318" spans="3:11" x14ac:dyDescent="0.2">
      <c r="C318" s="96" t="s">
        <v>301</v>
      </c>
      <c r="D318" s="44">
        <v>0</v>
      </c>
      <c r="K318" s="76"/>
    </row>
    <row r="319" spans="3:11" x14ac:dyDescent="0.2">
      <c r="C319" s="95" t="s">
        <v>237</v>
      </c>
      <c r="D319" s="44">
        <v>0.98499999999999999</v>
      </c>
      <c r="K319" s="76"/>
    </row>
    <row r="320" spans="3:11" x14ac:dyDescent="0.2">
      <c r="C320" s="95" t="s">
        <v>146</v>
      </c>
      <c r="D320" s="44">
        <v>1</v>
      </c>
      <c r="K320" s="76"/>
    </row>
    <row r="321" spans="2:11" x14ac:dyDescent="0.2">
      <c r="C321" s="95" t="s">
        <v>152</v>
      </c>
      <c r="D321" s="44">
        <v>0</v>
      </c>
      <c r="K321" s="76"/>
    </row>
    <row r="322" spans="2:11" x14ac:dyDescent="0.2">
      <c r="C322" s="95" t="s">
        <v>238</v>
      </c>
      <c r="D322" s="44">
        <v>0</v>
      </c>
      <c r="K322" s="76"/>
    </row>
    <row r="323" spans="2:11" x14ac:dyDescent="0.2">
      <c r="K323" s="76"/>
    </row>
    <row r="324" spans="2:11" x14ac:dyDescent="0.2">
      <c r="B324" s="10"/>
      <c r="C324" s="10"/>
      <c r="D324" s="10"/>
      <c r="E324" s="10"/>
    </row>
    <row r="325" spans="2:11" x14ac:dyDescent="0.2">
      <c r="B325" s="10"/>
      <c r="C325" s="10"/>
      <c r="D325" s="10"/>
      <c r="E325" s="10"/>
    </row>
  </sheetData>
  <mergeCells count="4">
    <mergeCell ref="A3:J3"/>
    <mergeCell ref="A4:J4"/>
    <mergeCell ref="A1:J1"/>
    <mergeCell ref="A2:J2"/>
  </mergeCells>
  <phoneticPr fontId="3" type="noConversion"/>
  <pageMargins left="0.25" right="0.25" top="1" bottom="0.5" header="0.5" footer="0.5"/>
  <pageSetup scale="52" orientation="landscape" r:id="rId1"/>
  <headerFooter alignWithMargins="0"/>
  <rowBreaks count="5" manualBreakCount="5">
    <brk id="71" max="13" man="1"/>
    <brk id="126" max="13" man="1"/>
    <brk id="177" max="13" man="1"/>
    <brk id="251" max="13" man="1"/>
    <brk id="29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zoomScaleNormal="100" workbookViewId="0">
      <selection activeCell="F20" sqref="F20"/>
    </sheetView>
  </sheetViews>
  <sheetFormatPr defaultColWidth="9.140625" defaultRowHeight="12.75" x14ac:dyDescent="0.2"/>
  <cols>
    <col min="1" max="1" width="10.85546875" style="17" bestFit="1" customWidth="1"/>
    <col min="2" max="2" width="60.7109375" style="17" customWidth="1"/>
    <col min="3" max="12" width="15.7109375" style="17" customWidth="1"/>
    <col min="13" max="16384" width="9.140625" style="17"/>
  </cols>
  <sheetData>
    <row r="1" spans="1:12" x14ac:dyDescent="0.2">
      <c r="A1" s="167" t="s">
        <v>285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2" x14ac:dyDescent="0.2">
      <c r="A2" s="167" t="s">
        <v>172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x14ac:dyDescent="0.2">
      <c r="A3" s="167" t="s">
        <v>173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2" x14ac:dyDescent="0.2">
      <c r="A4" s="167" t="str">
        <f>Summary!A4</f>
        <v>Twelve Months Ended December 31, 2019</v>
      </c>
      <c r="B4" s="168"/>
      <c r="C4" s="168"/>
      <c r="D4" s="168"/>
      <c r="E4" s="168"/>
      <c r="F4" s="168"/>
      <c r="G4" s="168"/>
      <c r="H4" s="168"/>
      <c r="I4" s="168"/>
      <c r="J4" s="168"/>
    </row>
    <row r="8" spans="1:12" x14ac:dyDescent="0.2">
      <c r="C8" s="73" t="s">
        <v>131</v>
      </c>
      <c r="D8" s="73" t="s">
        <v>132</v>
      </c>
      <c r="E8" s="73" t="s">
        <v>133</v>
      </c>
      <c r="F8" s="73" t="s">
        <v>134</v>
      </c>
      <c r="G8" s="73" t="s">
        <v>135</v>
      </c>
      <c r="H8" s="73" t="s">
        <v>136</v>
      </c>
      <c r="I8" s="73" t="s">
        <v>137</v>
      </c>
      <c r="J8" s="73" t="s">
        <v>138</v>
      </c>
      <c r="K8" s="73" t="s">
        <v>139</v>
      </c>
      <c r="L8" s="73" t="s">
        <v>145</v>
      </c>
    </row>
    <row r="9" spans="1:12" x14ac:dyDescent="0.2">
      <c r="E9" s="18" t="s">
        <v>114</v>
      </c>
      <c r="F9" s="18" t="s">
        <v>176</v>
      </c>
      <c r="G9" s="18" t="s">
        <v>114</v>
      </c>
      <c r="H9" s="18"/>
      <c r="I9" s="18" t="s">
        <v>212</v>
      </c>
    </row>
    <row r="10" spans="1:12" x14ac:dyDescent="0.2">
      <c r="C10" s="143" t="s">
        <v>114</v>
      </c>
      <c r="D10" s="18" t="s">
        <v>124</v>
      </c>
      <c r="E10" s="18" t="s">
        <v>122</v>
      </c>
      <c r="F10" s="18" t="s">
        <v>177</v>
      </c>
      <c r="G10" s="18" t="s">
        <v>122</v>
      </c>
      <c r="H10" s="18"/>
      <c r="I10" s="18" t="s">
        <v>303</v>
      </c>
      <c r="J10" s="18" t="s">
        <v>293</v>
      </c>
      <c r="K10" s="18" t="s">
        <v>293</v>
      </c>
    </row>
    <row r="11" spans="1:12" x14ac:dyDescent="0.2">
      <c r="C11" s="143" t="s">
        <v>174</v>
      </c>
      <c r="D11" s="18" t="s">
        <v>125</v>
      </c>
      <c r="E11" s="18" t="s">
        <v>175</v>
      </c>
      <c r="F11" s="18" t="s">
        <v>129</v>
      </c>
      <c r="G11" s="18" t="s">
        <v>305</v>
      </c>
      <c r="H11" s="18" t="s">
        <v>129</v>
      </c>
      <c r="I11" s="18" t="s">
        <v>130</v>
      </c>
      <c r="J11" s="18" t="s">
        <v>140</v>
      </c>
      <c r="K11" s="18" t="s">
        <v>142</v>
      </c>
      <c r="L11" s="18" t="s">
        <v>140</v>
      </c>
    </row>
    <row r="12" spans="1:12" x14ac:dyDescent="0.2">
      <c r="A12" s="74" t="s">
        <v>119</v>
      </c>
      <c r="B12" s="97" t="s">
        <v>157</v>
      </c>
      <c r="C12" s="74" t="str">
        <f>Summary!C13</f>
        <v>12 Mo. 12/31/19</v>
      </c>
      <c r="D12" s="74" t="s">
        <v>126</v>
      </c>
      <c r="E12" s="74" t="s">
        <v>123</v>
      </c>
      <c r="F12" s="74" t="s">
        <v>130</v>
      </c>
      <c r="G12" s="74" t="s">
        <v>130</v>
      </c>
      <c r="H12" s="74" t="s">
        <v>130</v>
      </c>
      <c r="I12" s="74" t="str">
        <f>C12</f>
        <v>12 Mo. 12/31/19</v>
      </c>
      <c r="J12" s="74" t="s">
        <v>141</v>
      </c>
      <c r="K12" s="74" t="s">
        <v>143</v>
      </c>
      <c r="L12" s="74" t="s">
        <v>144</v>
      </c>
    </row>
    <row r="13" spans="1:12" x14ac:dyDescent="0.2">
      <c r="A13" s="6"/>
      <c r="B13" s="79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/>
      <c r="B14" s="79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/>
      <c r="B15" s="79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79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">
      <c r="A17" s="6"/>
      <c r="B17" s="79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">
      <c r="A18" s="6"/>
      <c r="B18" s="79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">
      <c r="A19" s="6"/>
      <c r="B19" s="79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">
      <c r="A20" s="6"/>
      <c r="B20" s="79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">
      <c r="A21" s="18">
        <v>1</v>
      </c>
      <c r="B21" s="75" t="s">
        <v>1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">
      <c r="A22" s="18">
        <f>A21+1</f>
        <v>2</v>
      </c>
      <c r="B22" s="17" t="s">
        <v>2</v>
      </c>
      <c r="C22" s="61">
        <v>5040</v>
      </c>
      <c r="D22" s="61">
        <v>5040</v>
      </c>
      <c r="E22" s="54">
        <f t="shared" ref="E22:E41" si="0">+C22-D22</f>
        <v>0</v>
      </c>
      <c r="F22" s="27">
        <f>+'DFIT Computations'!G23</f>
        <v>0</v>
      </c>
      <c r="G22" s="27">
        <f>+E22+F22</f>
        <v>0</v>
      </c>
      <c r="H22" s="27">
        <f>+'DFIT Computations'!I23</f>
        <v>0</v>
      </c>
      <c r="I22" s="27">
        <f>+G22+H22</f>
        <v>0</v>
      </c>
      <c r="J22" s="51">
        <f t="shared" ref="J22:J41" si="1">VLOOKUP(L22,$C$306:$D$320,2,FALSE)</f>
        <v>0.98499999999999999</v>
      </c>
      <c r="K22" s="42">
        <f t="shared" ref="K22:K41" si="2">IF(I22*J22=0,0, ROUND(I22*J22,0))</f>
        <v>0</v>
      </c>
      <c r="L22" s="18" t="str">
        <f>'DFIT Computations'!M23</f>
        <v>GROSS PLT</v>
      </c>
    </row>
    <row r="23" spans="1:12" x14ac:dyDescent="0.2">
      <c r="A23" s="18">
        <f t="shared" ref="A23:A94" si="3">A22+1</f>
        <v>3</v>
      </c>
      <c r="B23" s="17" t="s">
        <v>170</v>
      </c>
      <c r="C23" s="61">
        <v>0</v>
      </c>
      <c r="D23" s="61">
        <v>0</v>
      </c>
      <c r="E23" s="54">
        <f t="shared" si="0"/>
        <v>0</v>
      </c>
      <c r="F23" s="27">
        <f>+'DFIT Computations'!G24</f>
        <v>0</v>
      </c>
      <c r="G23" s="27">
        <f t="shared" ref="G23:G41" si="4">+E23+F23</f>
        <v>0</v>
      </c>
      <c r="H23" s="27">
        <f>+'DFIT Computations'!I24</f>
        <v>0</v>
      </c>
      <c r="I23" s="27">
        <f t="shared" ref="I23:I41" si="5">+G23+H23</f>
        <v>0</v>
      </c>
      <c r="J23" s="51">
        <f t="shared" si="1"/>
        <v>0.98499999999999999</v>
      </c>
      <c r="K23" s="42">
        <f t="shared" si="2"/>
        <v>0</v>
      </c>
      <c r="L23" s="18" t="str">
        <f>'DFIT Computations'!M24</f>
        <v>GROSS PLT</v>
      </c>
    </row>
    <row r="24" spans="1:12" x14ac:dyDescent="0.2">
      <c r="A24" s="18">
        <f t="shared" si="3"/>
        <v>4</v>
      </c>
      <c r="B24" s="17" t="s">
        <v>3</v>
      </c>
      <c r="C24" s="61">
        <f>4973710.72-10041618.88</f>
        <v>-5067908.1600000011</v>
      </c>
      <c r="D24" s="61">
        <f>-(3225866+1735047)</f>
        <v>-4960913</v>
      </c>
      <c r="E24" s="54">
        <f t="shared" si="0"/>
        <v>-106995.16000000108</v>
      </c>
      <c r="F24" s="27">
        <f>+'DFIT Computations'!G25</f>
        <v>0</v>
      </c>
      <c r="G24" s="27">
        <f t="shared" si="4"/>
        <v>-106995.16000000108</v>
      </c>
      <c r="H24" s="27">
        <f>+'DFIT Computations'!I25</f>
        <v>0</v>
      </c>
      <c r="I24" s="27">
        <f t="shared" si="5"/>
        <v>-106995.16000000108</v>
      </c>
      <c r="J24" s="51">
        <f t="shared" si="1"/>
        <v>0.98499999999999999</v>
      </c>
      <c r="K24" s="42">
        <f t="shared" si="2"/>
        <v>-105390</v>
      </c>
      <c r="L24" s="18" t="str">
        <f>'DFIT Computations'!M25</f>
        <v>GROSS PLT</v>
      </c>
    </row>
    <row r="25" spans="1:12" x14ac:dyDescent="0.2">
      <c r="A25" s="18">
        <f t="shared" si="3"/>
        <v>5</v>
      </c>
      <c r="B25" s="17" t="s">
        <v>171</v>
      </c>
      <c r="C25" s="61">
        <v>0</v>
      </c>
      <c r="D25" s="61">
        <v>0</v>
      </c>
      <c r="E25" s="54">
        <f t="shared" si="0"/>
        <v>0</v>
      </c>
      <c r="F25" s="27">
        <f>+'DFIT Computations'!G26</f>
        <v>0</v>
      </c>
      <c r="G25" s="27">
        <f t="shared" si="4"/>
        <v>0</v>
      </c>
      <c r="H25" s="27">
        <f>+'DFIT Computations'!I26</f>
        <v>0</v>
      </c>
      <c r="I25" s="27">
        <f t="shared" si="5"/>
        <v>0</v>
      </c>
      <c r="J25" s="51">
        <f t="shared" si="1"/>
        <v>0.98499999999999999</v>
      </c>
      <c r="K25" s="42">
        <f t="shared" si="2"/>
        <v>0</v>
      </c>
      <c r="L25" s="18" t="str">
        <f>'DFIT Computations'!M26</f>
        <v>GROSS PLT</v>
      </c>
    </row>
    <row r="26" spans="1:12" x14ac:dyDescent="0.2">
      <c r="A26" s="144">
        <f t="shared" si="3"/>
        <v>6</v>
      </c>
      <c r="B26" s="121" t="s">
        <v>363</v>
      </c>
      <c r="C26" s="61">
        <f>1240635.99-8015.47</f>
        <v>1232620.52</v>
      </c>
      <c r="D26" s="61">
        <f>1131972+511522</f>
        <v>1643494</v>
      </c>
      <c r="E26" s="54">
        <f t="shared" si="0"/>
        <v>-410873.48</v>
      </c>
      <c r="F26" s="27">
        <f>+'DFIT Computations'!G27</f>
        <v>0</v>
      </c>
      <c r="G26" s="27">
        <f t="shared" si="4"/>
        <v>-410873.48</v>
      </c>
      <c r="H26" s="27"/>
      <c r="I26" s="27">
        <f t="shared" si="5"/>
        <v>-410873.48</v>
      </c>
      <c r="J26" s="51">
        <f t="shared" si="1"/>
        <v>0.98499999999999999</v>
      </c>
      <c r="K26" s="42">
        <f t="shared" ref="K26" si="6">IF(I26*J26=0,0, ROUND(I26*J26,0))</f>
        <v>-404710</v>
      </c>
      <c r="L26" s="136" t="str">
        <f>'DFIT Computations'!M28</f>
        <v>GROSS PLT</v>
      </c>
    </row>
    <row r="27" spans="1:12" x14ac:dyDescent="0.2">
      <c r="A27" s="144">
        <f t="shared" si="3"/>
        <v>7</v>
      </c>
      <c r="B27" s="17" t="s">
        <v>4</v>
      </c>
      <c r="C27" s="61">
        <v>0</v>
      </c>
      <c r="D27" s="61">
        <v>0</v>
      </c>
      <c r="E27" s="54">
        <f t="shared" si="0"/>
        <v>0</v>
      </c>
      <c r="F27" s="27">
        <f>+'DFIT Computations'!G28</f>
        <v>0</v>
      </c>
      <c r="G27" s="27">
        <f t="shared" si="4"/>
        <v>0</v>
      </c>
      <c r="H27" s="27">
        <f>+'DFIT Computations'!I28</f>
        <v>0</v>
      </c>
      <c r="I27" s="27">
        <f t="shared" si="5"/>
        <v>0</v>
      </c>
      <c r="J27" s="51">
        <f t="shared" si="1"/>
        <v>0.98499999999999999</v>
      </c>
      <c r="K27" s="42">
        <f t="shared" si="2"/>
        <v>0</v>
      </c>
      <c r="L27" s="18" t="str">
        <f>'DFIT Computations'!M28</f>
        <v>GROSS PLT</v>
      </c>
    </row>
    <row r="28" spans="1:12" x14ac:dyDescent="0.2">
      <c r="A28" s="144">
        <f t="shared" si="3"/>
        <v>8</v>
      </c>
      <c r="B28" s="17" t="s">
        <v>5</v>
      </c>
      <c r="C28" s="61">
        <v>0</v>
      </c>
      <c r="D28" s="61">
        <v>0</v>
      </c>
      <c r="E28" s="54">
        <f t="shared" si="0"/>
        <v>0</v>
      </c>
      <c r="F28" s="27">
        <f>+'DFIT Computations'!G29</f>
        <v>0</v>
      </c>
      <c r="G28" s="27">
        <f t="shared" si="4"/>
        <v>0</v>
      </c>
      <c r="H28" s="27">
        <f>+'DFIT Computations'!I29</f>
        <v>0</v>
      </c>
      <c r="I28" s="27">
        <f t="shared" si="5"/>
        <v>0</v>
      </c>
      <c r="J28" s="51">
        <f t="shared" si="1"/>
        <v>0.98499999999999999</v>
      </c>
      <c r="K28" s="42">
        <f t="shared" si="2"/>
        <v>0</v>
      </c>
      <c r="L28" s="18" t="str">
        <f>'DFIT Computations'!M29</f>
        <v>GROSS PLT</v>
      </c>
    </row>
    <row r="29" spans="1:12" x14ac:dyDescent="0.2">
      <c r="A29" s="144">
        <f t="shared" si="3"/>
        <v>9</v>
      </c>
      <c r="B29" s="17" t="s">
        <v>6</v>
      </c>
      <c r="C29" s="61">
        <f>-9835.54</f>
        <v>-9835.5400000000009</v>
      </c>
      <c r="D29" s="61">
        <v>0</v>
      </c>
      <c r="E29" s="54">
        <f t="shared" si="0"/>
        <v>-9835.5400000000009</v>
      </c>
      <c r="F29" s="27">
        <f>+'DFIT Computations'!G30</f>
        <v>0</v>
      </c>
      <c r="G29" s="27">
        <f t="shared" si="4"/>
        <v>-9835.5400000000009</v>
      </c>
      <c r="H29" s="27">
        <f>+'DFIT Computations'!I30</f>
        <v>0</v>
      </c>
      <c r="I29" s="27">
        <f t="shared" si="5"/>
        <v>-9835.5400000000009</v>
      </c>
      <c r="J29" s="51">
        <f t="shared" si="1"/>
        <v>0.98499999999999999</v>
      </c>
      <c r="K29" s="42">
        <f t="shared" si="2"/>
        <v>-9688</v>
      </c>
      <c r="L29" s="18" t="str">
        <f>'DFIT Computations'!M30</f>
        <v>TRAN PLT</v>
      </c>
    </row>
    <row r="30" spans="1:12" x14ac:dyDescent="0.2">
      <c r="A30" s="144">
        <f t="shared" si="3"/>
        <v>10</v>
      </c>
      <c r="B30" s="56" t="s">
        <v>239</v>
      </c>
      <c r="C30" s="61">
        <v>0</v>
      </c>
      <c r="D30" s="61">
        <v>0</v>
      </c>
      <c r="E30" s="54">
        <f t="shared" si="0"/>
        <v>0</v>
      </c>
      <c r="F30" s="27">
        <f>+'DFIT Computations'!G31</f>
        <v>0</v>
      </c>
      <c r="G30" s="27">
        <f t="shared" si="4"/>
        <v>0</v>
      </c>
      <c r="H30" s="27">
        <f>+'DFIT Computations'!I31</f>
        <v>0</v>
      </c>
      <c r="I30" s="27">
        <f t="shared" si="5"/>
        <v>0</v>
      </c>
      <c r="J30" s="51">
        <f t="shared" si="1"/>
        <v>0.98499999999999999</v>
      </c>
      <c r="K30" s="42">
        <f t="shared" si="2"/>
        <v>0</v>
      </c>
      <c r="L30" s="18" t="str">
        <f>'DFIT Computations'!M31</f>
        <v>PROD PLT</v>
      </c>
    </row>
    <row r="31" spans="1:12" x14ac:dyDescent="0.2">
      <c r="A31" s="144">
        <f t="shared" si="3"/>
        <v>11</v>
      </c>
      <c r="B31" s="56" t="s">
        <v>287</v>
      </c>
      <c r="C31" s="61">
        <v>199080</v>
      </c>
      <c r="D31" s="61">
        <v>199080</v>
      </c>
      <c r="E31" s="54">
        <f t="shared" si="0"/>
        <v>0</v>
      </c>
      <c r="F31" s="27">
        <f>+'DFIT Computations'!G32</f>
        <v>0</v>
      </c>
      <c r="G31" s="27">
        <f t="shared" si="4"/>
        <v>0</v>
      </c>
      <c r="H31" s="27">
        <f>+'DFIT Computations'!I32</f>
        <v>0</v>
      </c>
      <c r="I31" s="27">
        <f t="shared" si="5"/>
        <v>0</v>
      </c>
      <c r="J31" s="51">
        <f t="shared" si="1"/>
        <v>0.98499999999999999</v>
      </c>
      <c r="K31" s="42">
        <f t="shared" si="2"/>
        <v>0</v>
      </c>
      <c r="L31" s="18" t="str">
        <f>'DFIT Computations'!M32</f>
        <v>TRAN PLT</v>
      </c>
    </row>
    <row r="32" spans="1:12" x14ac:dyDescent="0.2">
      <c r="A32" s="144">
        <f t="shared" si="3"/>
        <v>12</v>
      </c>
      <c r="B32" s="56" t="s">
        <v>295</v>
      </c>
      <c r="C32" s="61">
        <v>0</v>
      </c>
      <c r="D32" s="61">
        <v>0</v>
      </c>
      <c r="E32" s="54">
        <f t="shared" si="0"/>
        <v>0</v>
      </c>
      <c r="F32" s="27">
        <f>+'DFIT Computations'!G33</f>
        <v>0</v>
      </c>
      <c r="G32" s="27">
        <f t="shared" si="4"/>
        <v>0</v>
      </c>
      <c r="H32" s="27">
        <f>+'DFIT Computations'!I33</f>
        <v>0</v>
      </c>
      <c r="I32" s="27">
        <f t="shared" ref="I32" si="7">+G32+H32</f>
        <v>0</v>
      </c>
      <c r="J32" s="51">
        <f t="shared" si="1"/>
        <v>0.98499999999999999</v>
      </c>
      <c r="K32" s="42">
        <f t="shared" ref="K32" si="8">IF(I32*J32=0,0, ROUND(I32*J32,0))</f>
        <v>0</v>
      </c>
      <c r="L32" s="18" t="str">
        <f>'DFIT Computations'!M33</f>
        <v>TRAN PLT</v>
      </c>
    </row>
    <row r="33" spans="1:12" x14ac:dyDescent="0.2">
      <c r="A33" s="144">
        <f t="shared" si="3"/>
        <v>13</v>
      </c>
      <c r="B33" s="17" t="s">
        <v>7</v>
      </c>
      <c r="C33" s="61">
        <v>0</v>
      </c>
      <c r="D33" s="61">
        <v>0</v>
      </c>
      <c r="E33" s="54">
        <f t="shared" si="0"/>
        <v>0</v>
      </c>
      <c r="F33" s="27">
        <f>+'DFIT Computations'!G34</f>
        <v>0</v>
      </c>
      <c r="G33" s="27">
        <f t="shared" si="4"/>
        <v>0</v>
      </c>
      <c r="H33" s="27">
        <f>+'DFIT Computations'!I34</f>
        <v>0</v>
      </c>
      <c r="I33" s="27">
        <f t="shared" si="5"/>
        <v>0</v>
      </c>
      <c r="J33" s="51">
        <f t="shared" si="1"/>
        <v>0.98499999999999999</v>
      </c>
      <c r="K33" s="42">
        <f t="shared" si="2"/>
        <v>0</v>
      </c>
      <c r="L33" s="18" t="str">
        <f>'DFIT Computations'!M34</f>
        <v>GROSS PLT</v>
      </c>
    </row>
    <row r="34" spans="1:12" x14ac:dyDescent="0.2">
      <c r="A34" s="144">
        <f t="shared" si="3"/>
        <v>14</v>
      </c>
      <c r="B34" s="17" t="s">
        <v>8</v>
      </c>
      <c r="C34" s="61">
        <f>3670.22-344660.17</f>
        <v>-340989.95</v>
      </c>
      <c r="D34" s="61">
        <v>0</v>
      </c>
      <c r="E34" s="54">
        <f t="shared" si="0"/>
        <v>-340989.95</v>
      </c>
      <c r="F34" s="27">
        <f>+'DFIT Computations'!G35</f>
        <v>0</v>
      </c>
      <c r="G34" s="27">
        <f t="shared" si="4"/>
        <v>-340989.95</v>
      </c>
      <c r="H34" s="27">
        <f>+'DFIT Computations'!I35</f>
        <v>0</v>
      </c>
      <c r="I34" s="27">
        <f t="shared" si="5"/>
        <v>-340989.95</v>
      </c>
      <c r="J34" s="51">
        <f t="shared" si="1"/>
        <v>0.98499999999999999</v>
      </c>
      <c r="K34" s="42">
        <f t="shared" ref="K34:K40" si="9">IF(I34*J34=0,0, ROUND(I34*J34,0))</f>
        <v>-335875</v>
      </c>
      <c r="L34" s="18" t="str">
        <f>'DFIT Computations'!M35</f>
        <v>PROD PLT</v>
      </c>
    </row>
    <row r="35" spans="1:12" x14ac:dyDescent="0.2">
      <c r="A35" s="144">
        <f t="shared" si="3"/>
        <v>15</v>
      </c>
      <c r="B35" s="122" t="s">
        <v>364</v>
      </c>
      <c r="C35" s="61">
        <v>-869144.01</v>
      </c>
      <c r="D35" s="61"/>
      <c r="E35" s="54">
        <f t="shared" si="0"/>
        <v>-869144.01</v>
      </c>
      <c r="F35" s="27">
        <f>+'DFIT Computations'!G36</f>
        <v>0</v>
      </c>
      <c r="G35" s="27">
        <f t="shared" si="4"/>
        <v>-869144.01</v>
      </c>
      <c r="H35" s="27"/>
      <c r="I35" s="27">
        <f t="shared" si="5"/>
        <v>-869144.01</v>
      </c>
      <c r="J35" s="51">
        <f t="shared" si="1"/>
        <v>0.98499999999999999</v>
      </c>
      <c r="K35" s="42">
        <f t="shared" si="9"/>
        <v>-856107</v>
      </c>
      <c r="L35" s="136" t="str">
        <f>'DFIT Computations'!M37</f>
        <v>PROD PLT</v>
      </c>
    </row>
    <row r="36" spans="1:12" x14ac:dyDescent="0.2">
      <c r="A36" s="144">
        <f t="shared" si="3"/>
        <v>16</v>
      </c>
      <c r="B36" s="17" t="s">
        <v>320</v>
      </c>
      <c r="C36" s="61">
        <v>0</v>
      </c>
      <c r="D36" s="61">
        <v>0</v>
      </c>
      <c r="E36" s="54">
        <f t="shared" si="0"/>
        <v>0</v>
      </c>
      <c r="F36" s="27">
        <f>+'DFIT Computations'!G37</f>
        <v>0</v>
      </c>
      <c r="G36" s="27">
        <f t="shared" ref="G36" si="10">+E36+F36</f>
        <v>0</v>
      </c>
      <c r="H36" s="27">
        <f>+'DFIT Computations'!I37</f>
        <v>0</v>
      </c>
      <c r="I36" s="27">
        <f t="shared" ref="I36" si="11">+G36+H36</f>
        <v>0</v>
      </c>
      <c r="J36" s="51">
        <f t="shared" si="1"/>
        <v>0.98499999999999999</v>
      </c>
      <c r="K36" s="42">
        <f t="shared" si="9"/>
        <v>0</v>
      </c>
      <c r="L36" s="18" t="str">
        <f>'DFIT Computations'!M37</f>
        <v>PROD PLT</v>
      </c>
    </row>
    <row r="37" spans="1:12" x14ac:dyDescent="0.2">
      <c r="A37" s="144">
        <f t="shared" si="3"/>
        <v>17</v>
      </c>
      <c r="B37" s="17" t="s">
        <v>352</v>
      </c>
      <c r="C37" s="61">
        <v>0</v>
      </c>
      <c r="D37" s="61">
        <v>0</v>
      </c>
      <c r="E37" s="54">
        <f t="shared" si="0"/>
        <v>0</v>
      </c>
      <c r="F37" s="27">
        <f>+'DFIT Computations'!G38</f>
        <v>0</v>
      </c>
      <c r="G37" s="27">
        <f t="shared" ref="G37" si="12">+E37+F37</f>
        <v>0</v>
      </c>
      <c r="H37" s="27">
        <f>+'DFIT Computations'!I38</f>
        <v>0</v>
      </c>
      <c r="I37" s="27">
        <f t="shared" ref="I37" si="13">+G37+H37</f>
        <v>0</v>
      </c>
      <c r="J37" s="51">
        <f t="shared" si="1"/>
        <v>0.98499999999999999</v>
      </c>
      <c r="K37" s="42">
        <f t="shared" si="9"/>
        <v>0</v>
      </c>
      <c r="L37" s="18" t="str">
        <f>'DFIT Computations'!M38</f>
        <v>GROSS PLT</v>
      </c>
    </row>
    <row r="38" spans="1:12" x14ac:dyDescent="0.2">
      <c r="A38" s="144">
        <f t="shared" si="3"/>
        <v>18</v>
      </c>
      <c r="B38" s="17" t="s">
        <v>9</v>
      </c>
      <c r="C38" s="61">
        <f>-155734.95+88519.83</f>
        <v>-67215.12000000001</v>
      </c>
      <c r="D38" s="61">
        <v>-67215</v>
      </c>
      <c r="E38" s="54">
        <f t="shared" si="0"/>
        <v>-0.1200000000098953</v>
      </c>
      <c r="F38" s="27">
        <f>+'DFIT Computations'!G39</f>
        <v>0</v>
      </c>
      <c r="G38" s="27">
        <f t="shared" si="4"/>
        <v>-0.1200000000098953</v>
      </c>
      <c r="H38" s="27">
        <f>+'DFIT Computations'!I39</f>
        <v>0</v>
      </c>
      <c r="I38" s="27">
        <f t="shared" si="5"/>
        <v>-0.1200000000098953</v>
      </c>
      <c r="J38" s="51">
        <f t="shared" si="1"/>
        <v>0.98499999999999999</v>
      </c>
      <c r="K38" s="42">
        <f t="shared" si="9"/>
        <v>0</v>
      </c>
      <c r="L38" s="18" t="str">
        <f>'DFIT Computations'!M39</f>
        <v>GROSS PLT</v>
      </c>
    </row>
    <row r="39" spans="1:12" x14ac:dyDescent="0.2">
      <c r="A39" s="144">
        <f t="shared" si="3"/>
        <v>19</v>
      </c>
      <c r="B39" s="17" t="s">
        <v>236</v>
      </c>
      <c r="C39" s="61">
        <v>-1062170</v>
      </c>
      <c r="D39" s="61">
        <v>0</v>
      </c>
      <c r="E39" s="54">
        <f t="shared" si="0"/>
        <v>-1062170</v>
      </c>
      <c r="F39" s="27">
        <f>+'DFIT Computations'!G40</f>
        <v>0</v>
      </c>
      <c r="G39" s="27">
        <f t="shared" si="4"/>
        <v>-1062170</v>
      </c>
      <c r="H39" s="27">
        <f>+'DFIT Computations'!I40</f>
        <v>0</v>
      </c>
      <c r="I39" s="27">
        <f t="shared" ref="I39" si="14">+G39+H39</f>
        <v>-1062170</v>
      </c>
      <c r="J39" s="51">
        <f t="shared" si="1"/>
        <v>0.98499999999999999</v>
      </c>
      <c r="K39" s="42">
        <f t="shared" si="9"/>
        <v>-1046237</v>
      </c>
      <c r="L39" s="18" t="str">
        <f>'DFIT Computations'!M40</f>
        <v>GROSS PLT</v>
      </c>
    </row>
    <row r="40" spans="1:12" x14ac:dyDescent="0.2">
      <c r="A40" s="144">
        <f t="shared" si="3"/>
        <v>20</v>
      </c>
      <c r="B40" s="56" t="s">
        <v>240</v>
      </c>
      <c r="C40" s="61">
        <v>0</v>
      </c>
      <c r="D40" s="61">
        <v>0</v>
      </c>
      <c r="E40" s="54">
        <f t="shared" si="0"/>
        <v>0</v>
      </c>
      <c r="F40" s="27">
        <f>+'DFIT Computations'!G41</f>
        <v>0</v>
      </c>
      <c r="G40" s="27">
        <f t="shared" si="4"/>
        <v>0</v>
      </c>
      <c r="H40" s="27">
        <f>+'DFIT Computations'!I41</f>
        <v>0</v>
      </c>
      <c r="I40" s="27">
        <f t="shared" si="5"/>
        <v>0</v>
      </c>
      <c r="J40" s="51">
        <f t="shared" si="1"/>
        <v>0.98499999999999999</v>
      </c>
      <c r="K40" s="42">
        <f t="shared" si="9"/>
        <v>0</v>
      </c>
      <c r="L40" s="18" t="str">
        <f>'DFIT Computations'!M41</f>
        <v>PROD PLT</v>
      </c>
    </row>
    <row r="41" spans="1:12" x14ac:dyDescent="0.2">
      <c r="A41" s="144">
        <f t="shared" si="3"/>
        <v>21</v>
      </c>
      <c r="B41" s="17" t="s">
        <v>10</v>
      </c>
      <c r="C41" s="61">
        <f>12596.7-200519.35</f>
        <v>-187922.65</v>
      </c>
      <c r="D41" s="61">
        <f>-(243179-120594)</f>
        <v>-122585</v>
      </c>
      <c r="E41" s="54">
        <f t="shared" si="0"/>
        <v>-65337.649999999994</v>
      </c>
      <c r="F41" s="27">
        <f>+'DFIT Computations'!G42</f>
        <v>0</v>
      </c>
      <c r="G41" s="27">
        <f t="shared" si="4"/>
        <v>-65337.649999999994</v>
      </c>
      <c r="H41" s="27">
        <f>+'DFIT Computations'!I42</f>
        <v>0</v>
      </c>
      <c r="I41" s="27">
        <f t="shared" si="5"/>
        <v>-65337.649999999994</v>
      </c>
      <c r="J41" s="51">
        <f t="shared" si="1"/>
        <v>0.999</v>
      </c>
      <c r="K41" s="42">
        <f t="shared" si="2"/>
        <v>-65272</v>
      </c>
      <c r="L41" s="18" t="str">
        <f>'DFIT Computations'!M42</f>
        <v>DIST PLT</v>
      </c>
    </row>
    <row r="42" spans="1:12" x14ac:dyDescent="0.2">
      <c r="A42" s="144">
        <f t="shared" si="3"/>
        <v>22</v>
      </c>
      <c r="B42" s="75" t="s">
        <v>11</v>
      </c>
      <c r="C42" s="78">
        <f t="shared" ref="C42:I42" si="15">SUM(C22:C41)</f>
        <v>-6168444.910000002</v>
      </c>
      <c r="D42" s="78">
        <f t="shared" si="15"/>
        <v>-3303099</v>
      </c>
      <c r="E42" s="78">
        <f t="shared" si="15"/>
        <v>-2865345.9100000011</v>
      </c>
      <c r="F42" s="78">
        <f t="shared" ref="F42" si="16">SUM(F22:F41)</f>
        <v>0</v>
      </c>
      <c r="G42" s="78">
        <f t="shared" si="15"/>
        <v>-2865345.9100000011</v>
      </c>
      <c r="H42" s="78">
        <f t="shared" si="15"/>
        <v>0</v>
      </c>
      <c r="I42" s="78">
        <f t="shared" si="15"/>
        <v>-2865345.9100000011</v>
      </c>
      <c r="J42" s="24"/>
      <c r="K42" s="78">
        <f>SUM(K22:K41)</f>
        <v>-2823279</v>
      </c>
    </row>
    <row r="43" spans="1:12" x14ac:dyDescent="0.2">
      <c r="A43" s="144">
        <f t="shared" si="3"/>
        <v>23</v>
      </c>
      <c r="B43" s="17" t="s">
        <v>0</v>
      </c>
      <c r="C43" s="36"/>
      <c r="D43" s="82"/>
      <c r="E43" s="82"/>
      <c r="F43" s="41"/>
      <c r="G43" s="41"/>
      <c r="H43" s="41"/>
      <c r="I43" s="41"/>
      <c r="J43" s="81"/>
    </row>
    <row r="44" spans="1:12" x14ac:dyDescent="0.2">
      <c r="A44" s="144">
        <f t="shared" si="3"/>
        <v>24</v>
      </c>
      <c r="B44" s="75" t="s">
        <v>12</v>
      </c>
      <c r="C44" s="36"/>
      <c r="D44" s="82"/>
      <c r="E44" s="82"/>
      <c r="F44" s="41"/>
      <c r="G44" s="41"/>
      <c r="H44" s="41"/>
      <c r="I44" s="41"/>
      <c r="J44" s="81"/>
    </row>
    <row r="45" spans="1:12" x14ac:dyDescent="0.2">
      <c r="A45" s="144">
        <f t="shared" si="3"/>
        <v>25</v>
      </c>
      <c r="B45" s="17" t="s">
        <v>13</v>
      </c>
      <c r="C45" s="61">
        <v>0</v>
      </c>
      <c r="D45" s="61">
        <v>0</v>
      </c>
      <c r="E45" s="54">
        <f t="shared" ref="E45:E53" si="17">+C45-D45</f>
        <v>0</v>
      </c>
      <c r="F45" s="27">
        <f>+'DFIT Computations'!G46</f>
        <v>0</v>
      </c>
      <c r="G45" s="27">
        <f t="shared" ref="G45:G53" si="18">+E45+F45</f>
        <v>0</v>
      </c>
      <c r="H45" s="27">
        <f>+'DFIT Computations'!I46</f>
        <v>0</v>
      </c>
      <c r="I45" s="27">
        <f t="shared" ref="I45:I53" si="19">+G45+H45</f>
        <v>0</v>
      </c>
      <c r="J45" s="51">
        <f t="shared" ref="J45:J53" si="20">VLOOKUP(L45,$C$306:$D$320,2,FALSE)</f>
        <v>0</v>
      </c>
      <c r="K45" s="42">
        <f t="shared" ref="K45:K53" si="21">IF(I45*J45=0,0, ROUND(I45*J45,0))</f>
        <v>0</v>
      </c>
      <c r="L45" s="18" t="str">
        <f>'DFIT Computations'!M46</f>
        <v>NON-APPLIC</v>
      </c>
    </row>
    <row r="46" spans="1:12" x14ac:dyDescent="0.2">
      <c r="A46" s="144">
        <f t="shared" si="3"/>
        <v>26</v>
      </c>
      <c r="B46" s="17" t="s">
        <v>288</v>
      </c>
      <c r="C46" s="61">
        <v>0</v>
      </c>
      <c r="D46" s="61">
        <v>0</v>
      </c>
      <c r="E46" s="54">
        <f t="shared" si="17"/>
        <v>0</v>
      </c>
      <c r="F46" s="27">
        <f>+'DFIT Computations'!G47</f>
        <v>0</v>
      </c>
      <c r="G46" s="27">
        <f t="shared" si="18"/>
        <v>0</v>
      </c>
      <c r="H46" s="27">
        <f>+'DFIT Computations'!I47</f>
        <v>0</v>
      </c>
      <c r="I46" s="27">
        <f t="shared" ref="I46" si="22">+G46+H46</f>
        <v>0</v>
      </c>
      <c r="J46" s="51">
        <f t="shared" si="20"/>
        <v>1</v>
      </c>
      <c r="K46" s="42">
        <f t="shared" ref="K46" si="23">IF(I46*J46=0,0, ROUND(I46*J46,0))</f>
        <v>0</v>
      </c>
      <c r="L46" s="18" t="str">
        <f>'DFIT Computations'!M47</f>
        <v>SPECIFIC</v>
      </c>
    </row>
    <row r="47" spans="1:12" x14ac:dyDescent="0.2">
      <c r="A47" s="144">
        <f t="shared" si="3"/>
        <v>27</v>
      </c>
      <c r="B47" s="17" t="s">
        <v>14</v>
      </c>
      <c r="C47" s="61">
        <f>486987.17-11056.24</f>
        <v>475930.93</v>
      </c>
      <c r="D47" s="61">
        <v>0</v>
      </c>
      <c r="E47" s="54">
        <f t="shared" si="17"/>
        <v>475930.93</v>
      </c>
      <c r="F47" s="27">
        <f>+'DFIT Computations'!G48</f>
        <v>0</v>
      </c>
      <c r="G47" s="27">
        <f t="shared" si="18"/>
        <v>475930.93</v>
      </c>
      <c r="H47" s="27">
        <f>+'DFIT Computations'!I48</f>
        <v>0</v>
      </c>
      <c r="I47" s="27">
        <f t="shared" si="19"/>
        <v>475930.93</v>
      </c>
      <c r="J47" s="51">
        <f t="shared" si="20"/>
        <v>0.98499999999999999</v>
      </c>
      <c r="K47" s="42">
        <f t="shared" si="21"/>
        <v>468792</v>
      </c>
      <c r="L47" s="18" t="str">
        <f>'DFIT Computations'!M48</f>
        <v>GROSS PLT</v>
      </c>
    </row>
    <row r="48" spans="1:12" x14ac:dyDescent="0.2">
      <c r="A48" s="144">
        <f t="shared" si="3"/>
        <v>28</v>
      </c>
      <c r="B48" s="17" t="s">
        <v>228</v>
      </c>
      <c r="C48" s="61">
        <v>-165904</v>
      </c>
      <c r="D48" s="61">
        <v>0</v>
      </c>
      <c r="E48" s="54">
        <f t="shared" si="17"/>
        <v>-165904</v>
      </c>
      <c r="F48" s="27">
        <f>+'DFIT Computations'!G49</f>
        <v>0</v>
      </c>
      <c r="G48" s="27">
        <f t="shared" si="18"/>
        <v>-165904</v>
      </c>
      <c r="H48" s="27">
        <f>+'DFIT Computations'!I49</f>
        <v>0</v>
      </c>
      <c r="I48" s="27">
        <f t="shared" si="19"/>
        <v>-165904</v>
      </c>
      <c r="J48" s="51">
        <f t="shared" si="20"/>
        <v>0.98499999999999999</v>
      </c>
      <c r="K48" s="42">
        <f t="shared" ref="K48:K51" si="24">IF(I48*J48=0,0, ROUND(I48*J48,0))</f>
        <v>-163415</v>
      </c>
      <c r="L48" s="18" t="str">
        <f>'DFIT Computations'!M49</f>
        <v>GROSS PLT</v>
      </c>
    </row>
    <row r="49" spans="1:12" x14ac:dyDescent="0.2">
      <c r="A49" s="144">
        <f t="shared" si="3"/>
        <v>29</v>
      </c>
      <c r="B49" s="17" t="s">
        <v>297</v>
      </c>
      <c r="C49" s="61">
        <v>0</v>
      </c>
      <c r="D49" s="61">
        <v>0</v>
      </c>
      <c r="E49" s="54">
        <f t="shared" si="17"/>
        <v>0</v>
      </c>
      <c r="F49" s="27">
        <f>+'DFIT Computations'!G50</f>
        <v>0</v>
      </c>
      <c r="G49" s="27">
        <f t="shared" si="18"/>
        <v>0</v>
      </c>
      <c r="H49" s="27">
        <f>+'DFIT Computations'!I50</f>
        <v>0</v>
      </c>
      <c r="I49" s="27">
        <f t="shared" ref="I49" si="25">+G49+H49</f>
        <v>0</v>
      </c>
      <c r="J49" s="51">
        <f t="shared" si="20"/>
        <v>0.98499999999999999</v>
      </c>
      <c r="K49" s="42">
        <f t="shared" si="24"/>
        <v>0</v>
      </c>
      <c r="L49" s="18" t="str">
        <f>'DFIT Computations'!M50</f>
        <v>TRAN PLT</v>
      </c>
    </row>
    <row r="50" spans="1:12" x14ac:dyDescent="0.2">
      <c r="A50" s="144">
        <f t="shared" si="3"/>
        <v>30</v>
      </c>
      <c r="B50" s="17" t="s">
        <v>290</v>
      </c>
      <c r="C50" s="61">
        <v>0</v>
      </c>
      <c r="D50" s="61">
        <v>0</v>
      </c>
      <c r="E50" s="54">
        <f t="shared" si="17"/>
        <v>0</v>
      </c>
      <c r="F50" s="27">
        <f>+'DFIT Computations'!G51</f>
        <v>0</v>
      </c>
      <c r="G50" s="27">
        <f t="shared" si="18"/>
        <v>0</v>
      </c>
      <c r="H50" s="27">
        <f>+'DFIT Computations'!I51</f>
        <v>0</v>
      </c>
      <c r="I50" s="27">
        <f t="shared" si="19"/>
        <v>0</v>
      </c>
      <c r="J50" s="51">
        <f t="shared" si="20"/>
        <v>0.98499999999999999</v>
      </c>
      <c r="K50" s="42">
        <f t="shared" si="24"/>
        <v>0</v>
      </c>
      <c r="L50" s="18" t="str">
        <f>'DFIT Computations'!M51</f>
        <v>TRAN PLT</v>
      </c>
    </row>
    <row r="51" spans="1:12" x14ac:dyDescent="0.2">
      <c r="A51" s="144">
        <f t="shared" si="3"/>
        <v>31</v>
      </c>
      <c r="B51" s="17" t="s">
        <v>289</v>
      </c>
      <c r="C51" s="61">
        <v>-4468</v>
      </c>
      <c r="D51" s="61">
        <v>0</v>
      </c>
      <c r="E51" s="54">
        <f t="shared" si="17"/>
        <v>-4468</v>
      </c>
      <c r="F51" s="27">
        <f>+'DFIT Computations'!G52</f>
        <v>0</v>
      </c>
      <c r="G51" s="27">
        <f t="shared" si="18"/>
        <v>-4468</v>
      </c>
      <c r="H51" s="27">
        <f>+'DFIT Computations'!I52</f>
        <v>0</v>
      </c>
      <c r="I51" s="27">
        <f t="shared" si="19"/>
        <v>-4468</v>
      </c>
      <c r="J51" s="51">
        <f t="shared" si="20"/>
        <v>0.98499999999999999</v>
      </c>
      <c r="K51" s="42">
        <f t="shared" si="24"/>
        <v>-4401</v>
      </c>
      <c r="L51" s="18" t="str">
        <f>'DFIT Computations'!M52</f>
        <v>TRAN PLT</v>
      </c>
    </row>
    <row r="52" spans="1:12" x14ac:dyDescent="0.2">
      <c r="A52" s="144">
        <f t="shared" si="3"/>
        <v>32</v>
      </c>
      <c r="B52" s="17" t="s">
        <v>15</v>
      </c>
      <c r="C52" s="61">
        <f>18693.1-585477.86</f>
        <v>-566784.76</v>
      </c>
      <c r="D52" s="61">
        <v>0</v>
      </c>
      <c r="E52" s="54">
        <f t="shared" si="17"/>
        <v>-566784.76</v>
      </c>
      <c r="F52" s="27">
        <f>+'DFIT Computations'!G53</f>
        <v>0</v>
      </c>
      <c r="G52" s="27">
        <f t="shared" si="18"/>
        <v>-566784.76</v>
      </c>
      <c r="H52" s="27">
        <f>+'DFIT Computations'!I53</f>
        <v>0</v>
      </c>
      <c r="I52" s="27">
        <f t="shared" si="19"/>
        <v>-566784.76</v>
      </c>
      <c r="J52" s="51">
        <f t="shared" si="20"/>
        <v>0.98499999999999999</v>
      </c>
      <c r="K52" s="42">
        <f t="shared" si="21"/>
        <v>-558283</v>
      </c>
      <c r="L52" s="18" t="str">
        <f>'DFIT Computations'!M53</f>
        <v>GROSS PLT</v>
      </c>
    </row>
    <row r="53" spans="1:12" x14ac:dyDescent="0.2">
      <c r="A53" s="144">
        <f t="shared" si="3"/>
        <v>33</v>
      </c>
      <c r="B53" s="17" t="s">
        <v>229</v>
      </c>
      <c r="C53" s="61">
        <v>287147</v>
      </c>
      <c r="D53" s="61">
        <v>0</v>
      </c>
      <c r="E53" s="54">
        <f t="shared" si="17"/>
        <v>287147</v>
      </c>
      <c r="F53" s="27">
        <f>+'DFIT Computations'!G54</f>
        <v>0</v>
      </c>
      <c r="G53" s="27">
        <f t="shared" si="18"/>
        <v>287147</v>
      </c>
      <c r="H53" s="27">
        <f>+'DFIT Computations'!I54</f>
        <v>0</v>
      </c>
      <c r="I53" s="27">
        <f t="shared" si="19"/>
        <v>287147</v>
      </c>
      <c r="J53" s="51">
        <f t="shared" si="20"/>
        <v>0.98499999999999999</v>
      </c>
      <c r="K53" s="42">
        <f t="shared" si="21"/>
        <v>282840</v>
      </c>
      <c r="L53" s="18" t="str">
        <f>'DFIT Computations'!M54</f>
        <v>GROSS PLT</v>
      </c>
    </row>
    <row r="54" spans="1:12" x14ac:dyDescent="0.2">
      <c r="A54" s="144">
        <f t="shared" si="3"/>
        <v>34</v>
      </c>
      <c r="B54" s="75" t="s">
        <v>16</v>
      </c>
      <c r="C54" s="78">
        <f t="shared" ref="C54:I54" si="26">SUM(C45:C53)</f>
        <v>25921.169999999984</v>
      </c>
      <c r="D54" s="78">
        <f t="shared" si="26"/>
        <v>0</v>
      </c>
      <c r="E54" s="78">
        <f t="shared" si="26"/>
        <v>25921.169999999984</v>
      </c>
      <c r="F54" s="78">
        <f t="shared" ref="F54" si="27">SUM(F45:F53)</f>
        <v>0</v>
      </c>
      <c r="G54" s="78">
        <f t="shared" si="26"/>
        <v>25921.169999999984</v>
      </c>
      <c r="H54" s="78">
        <f t="shared" si="26"/>
        <v>0</v>
      </c>
      <c r="I54" s="78">
        <f t="shared" si="26"/>
        <v>25921.169999999984</v>
      </c>
      <c r="J54" s="24"/>
      <c r="K54" s="78">
        <f>SUM(K45:K53)</f>
        <v>25533</v>
      </c>
    </row>
    <row r="55" spans="1:12" x14ac:dyDescent="0.2">
      <c r="A55" s="144">
        <f t="shared" si="3"/>
        <v>35</v>
      </c>
      <c r="B55" s="17" t="s">
        <v>0</v>
      </c>
      <c r="C55" s="36"/>
      <c r="D55" s="82"/>
      <c r="E55" s="82"/>
      <c r="F55" s="41"/>
      <c r="G55" s="41"/>
      <c r="H55" s="41"/>
      <c r="I55" s="41"/>
      <c r="J55" s="81"/>
    </row>
    <row r="56" spans="1:12" x14ac:dyDescent="0.2">
      <c r="A56" s="144">
        <f t="shared" si="3"/>
        <v>36</v>
      </c>
      <c r="B56" s="75" t="s">
        <v>17</v>
      </c>
      <c r="C56" s="36"/>
      <c r="D56" s="82"/>
      <c r="E56" s="82"/>
      <c r="F56" s="41"/>
      <c r="G56" s="41"/>
      <c r="H56" s="41"/>
      <c r="I56" s="41"/>
      <c r="J56" s="81"/>
    </row>
    <row r="57" spans="1:12" x14ac:dyDescent="0.2">
      <c r="A57" s="144">
        <f t="shared" si="3"/>
        <v>37</v>
      </c>
      <c r="B57" s="17" t="s">
        <v>230</v>
      </c>
      <c r="C57" s="61">
        <v>0</v>
      </c>
      <c r="D57" s="61">
        <v>0</v>
      </c>
      <c r="E57" s="54">
        <f t="shared" ref="E57:E60" si="28">+C57-D57</f>
        <v>0</v>
      </c>
      <c r="F57" s="27">
        <f>+'DFIT Computations'!G58</f>
        <v>0</v>
      </c>
      <c r="G57" s="27">
        <f t="shared" ref="G57:G60" si="29">+E57+F57</f>
        <v>0</v>
      </c>
      <c r="H57" s="27">
        <f>+'DFIT Computations'!I58</f>
        <v>0</v>
      </c>
      <c r="I57" s="27">
        <f t="shared" ref="I57:I60" si="30">+G57+H57</f>
        <v>0</v>
      </c>
      <c r="J57" s="51">
        <f>VLOOKUP(L57,$C$306:$D$320,2,FALSE)</f>
        <v>0.98499999999999999</v>
      </c>
      <c r="K57" s="42">
        <f t="shared" ref="K57:K60" si="31">IF(I57*J57=0,0, ROUND(I57*J57,0))</f>
        <v>0</v>
      </c>
      <c r="L57" s="18" t="str">
        <f>'DFIT Computations'!M58</f>
        <v>GROSS PLT</v>
      </c>
    </row>
    <row r="58" spans="1:12" x14ac:dyDescent="0.2">
      <c r="A58" s="144">
        <f t="shared" si="3"/>
        <v>38</v>
      </c>
      <c r="B58" s="17" t="s">
        <v>231</v>
      </c>
      <c r="C58" s="61">
        <v>0</v>
      </c>
      <c r="D58" s="61">
        <v>0</v>
      </c>
      <c r="E58" s="54">
        <f t="shared" si="28"/>
        <v>0</v>
      </c>
      <c r="F58" s="27">
        <f>+'DFIT Computations'!G59</f>
        <v>0</v>
      </c>
      <c r="G58" s="27">
        <f t="shared" si="29"/>
        <v>0</v>
      </c>
      <c r="H58" s="27">
        <f>+'DFIT Computations'!I59</f>
        <v>0</v>
      </c>
      <c r="I58" s="27">
        <f t="shared" si="30"/>
        <v>0</v>
      </c>
      <c r="J58" s="51">
        <f>VLOOKUP(L58,$C$306:$D$320,2,FALSE)</f>
        <v>0.98499999999999999</v>
      </c>
      <c r="K58" s="42">
        <f t="shared" si="31"/>
        <v>0</v>
      </c>
      <c r="L58" s="18" t="str">
        <f>'DFIT Computations'!M59</f>
        <v>GROSS PLT</v>
      </c>
    </row>
    <row r="59" spans="1:12" x14ac:dyDescent="0.2">
      <c r="A59" s="144">
        <f t="shared" si="3"/>
        <v>39</v>
      </c>
      <c r="B59" s="17" t="s">
        <v>20</v>
      </c>
      <c r="C59" s="61">
        <v>0</v>
      </c>
      <c r="D59" s="61">
        <v>0</v>
      </c>
      <c r="E59" s="54">
        <f t="shared" si="28"/>
        <v>0</v>
      </c>
      <c r="F59" s="27">
        <f>+'DFIT Computations'!G60</f>
        <v>0</v>
      </c>
      <c r="G59" s="27">
        <f t="shared" si="29"/>
        <v>0</v>
      </c>
      <c r="H59" s="27">
        <f>+'DFIT Computations'!I60</f>
        <v>0</v>
      </c>
      <c r="I59" s="27">
        <f t="shared" si="30"/>
        <v>0</v>
      </c>
      <c r="J59" s="51">
        <f>VLOOKUP(L59,$C$306:$D$320,2,FALSE)</f>
        <v>0.99</v>
      </c>
      <c r="K59" s="42">
        <f t="shared" si="31"/>
        <v>0</v>
      </c>
      <c r="L59" s="18" t="str">
        <f>'DFIT Computations'!M60</f>
        <v>LABOR</v>
      </c>
    </row>
    <row r="60" spans="1:12" x14ac:dyDescent="0.2">
      <c r="A60" s="144">
        <f t="shared" si="3"/>
        <v>40</v>
      </c>
      <c r="B60" s="17" t="s">
        <v>232</v>
      </c>
      <c r="C60" s="61">
        <v>0</v>
      </c>
      <c r="D60" s="61">
        <v>0</v>
      </c>
      <c r="E60" s="54">
        <f t="shared" si="28"/>
        <v>0</v>
      </c>
      <c r="F60" s="27">
        <f>+'DFIT Computations'!G61</f>
        <v>0</v>
      </c>
      <c r="G60" s="27">
        <f t="shared" si="29"/>
        <v>0</v>
      </c>
      <c r="H60" s="27">
        <f>+'DFIT Computations'!I61</f>
        <v>0</v>
      </c>
      <c r="I60" s="27">
        <f t="shared" si="30"/>
        <v>0</v>
      </c>
      <c r="J60" s="51">
        <f>VLOOKUP(L60,$C$306:$D$320,2,FALSE)</f>
        <v>0.98499999999999999</v>
      </c>
      <c r="K60" s="42">
        <f t="shared" si="31"/>
        <v>0</v>
      </c>
      <c r="L60" s="18" t="str">
        <f>'DFIT Computations'!M61</f>
        <v>GROSS PLT</v>
      </c>
    </row>
    <row r="61" spans="1:12" x14ac:dyDescent="0.2">
      <c r="A61" s="144">
        <f t="shared" si="3"/>
        <v>41</v>
      </c>
      <c r="B61" s="75" t="s">
        <v>22</v>
      </c>
      <c r="C61" s="78">
        <f t="shared" ref="C61:I61" si="32">SUM(C57:C60)</f>
        <v>0</v>
      </c>
      <c r="D61" s="78">
        <f t="shared" si="32"/>
        <v>0</v>
      </c>
      <c r="E61" s="78">
        <f t="shared" si="32"/>
        <v>0</v>
      </c>
      <c r="F61" s="78">
        <f t="shared" ref="F61" si="33">SUM(F57:F60)</f>
        <v>0</v>
      </c>
      <c r="G61" s="78">
        <f t="shared" si="32"/>
        <v>0</v>
      </c>
      <c r="H61" s="78">
        <f t="shared" si="32"/>
        <v>0</v>
      </c>
      <c r="I61" s="78">
        <f t="shared" si="32"/>
        <v>0</v>
      </c>
      <c r="J61" s="24"/>
      <c r="K61" s="78">
        <f>SUM(K57:K60)</f>
        <v>0</v>
      </c>
    </row>
    <row r="62" spans="1:12" x14ac:dyDescent="0.2">
      <c r="A62" s="144">
        <f t="shared" si="3"/>
        <v>42</v>
      </c>
      <c r="B62" s="17" t="s">
        <v>0</v>
      </c>
      <c r="C62" s="36"/>
      <c r="D62" s="38"/>
      <c r="E62" s="38"/>
      <c r="F62" s="38"/>
      <c r="G62" s="38"/>
      <c r="H62" s="38"/>
      <c r="I62" s="38"/>
      <c r="J62" s="81"/>
    </row>
    <row r="63" spans="1:12" x14ac:dyDescent="0.2">
      <c r="A63" s="144">
        <f t="shared" si="3"/>
        <v>43</v>
      </c>
      <c r="B63" s="75" t="s">
        <v>23</v>
      </c>
      <c r="C63" s="36"/>
      <c r="D63" s="38"/>
      <c r="E63" s="38"/>
      <c r="F63" s="38"/>
      <c r="G63" s="38"/>
      <c r="H63" s="38"/>
      <c r="I63" s="38"/>
      <c r="J63" s="81"/>
    </row>
    <row r="64" spans="1:12" x14ac:dyDescent="0.2">
      <c r="A64" s="144">
        <f t="shared" si="3"/>
        <v>44</v>
      </c>
      <c r="B64" s="17" t="s">
        <v>24</v>
      </c>
      <c r="C64" s="61">
        <v>0</v>
      </c>
      <c r="D64" s="61">
        <v>0</v>
      </c>
      <c r="E64" s="54">
        <f t="shared" ref="E64:E68" si="34">+C64-D64</f>
        <v>0</v>
      </c>
      <c r="F64" s="27">
        <f>+'DFIT Computations'!G65</f>
        <v>0</v>
      </c>
      <c r="G64" s="27">
        <f t="shared" ref="G64:G69" si="35">+E64+F64</f>
        <v>0</v>
      </c>
      <c r="H64" s="27">
        <f>+'DFIT Computations'!I65</f>
        <v>0</v>
      </c>
      <c r="I64" s="27">
        <f t="shared" ref="I64:I69" si="36">+G64+H64</f>
        <v>0</v>
      </c>
      <c r="J64" s="51">
        <f t="shared" ref="J64:J69" si="37">VLOOKUP(L64,$C$306:$D$320,2,FALSE)</f>
        <v>0.98499999999999999</v>
      </c>
      <c r="K64" s="42">
        <f t="shared" ref="K64:K69" si="38">IF(I64*J64=0,0, ROUND(I64*J64,0))</f>
        <v>0</v>
      </c>
      <c r="L64" s="18" t="str">
        <f>'DFIT Computations'!M65</f>
        <v>GROSS PLT</v>
      </c>
    </row>
    <row r="65" spans="1:12" x14ac:dyDescent="0.2">
      <c r="A65" s="144">
        <f t="shared" si="3"/>
        <v>45</v>
      </c>
      <c r="B65" s="17" t="s">
        <v>233</v>
      </c>
      <c r="C65" s="61">
        <v>-216912</v>
      </c>
      <c r="D65" s="61">
        <v>0</v>
      </c>
      <c r="E65" s="54">
        <f t="shared" si="34"/>
        <v>-216912</v>
      </c>
      <c r="F65" s="27">
        <f>+'DFIT Computations'!G66</f>
        <v>0</v>
      </c>
      <c r="G65" s="27">
        <f t="shared" si="35"/>
        <v>-216912</v>
      </c>
      <c r="H65" s="27">
        <f>+'DFIT Computations'!I66</f>
        <v>0</v>
      </c>
      <c r="I65" s="27">
        <f t="shared" si="36"/>
        <v>-216912</v>
      </c>
      <c r="J65" s="51">
        <f t="shared" si="37"/>
        <v>0.98499999999999999</v>
      </c>
      <c r="K65" s="42">
        <f t="shared" si="38"/>
        <v>-213658</v>
      </c>
      <c r="L65" s="18" t="str">
        <f>'DFIT Computations'!M66</f>
        <v>GROSS PLT</v>
      </c>
    </row>
    <row r="66" spans="1:12" x14ac:dyDescent="0.2">
      <c r="A66" s="144">
        <f t="shared" si="3"/>
        <v>46</v>
      </c>
      <c r="B66" s="56" t="s">
        <v>241</v>
      </c>
      <c r="C66" s="61">
        <f>11707298.6-1548750.63</f>
        <v>10158547.969999999</v>
      </c>
      <c r="D66" s="61">
        <f>-(9571079-10019492)</f>
        <v>448413</v>
      </c>
      <c r="E66" s="54">
        <f t="shared" si="34"/>
        <v>9710134.9699999988</v>
      </c>
      <c r="F66" s="27">
        <f>+'DFIT Computations'!G67</f>
        <v>0</v>
      </c>
      <c r="G66" s="27">
        <f t="shared" si="35"/>
        <v>9710134.9699999988</v>
      </c>
      <c r="H66" s="27">
        <f>+'DFIT Computations'!I67</f>
        <v>0</v>
      </c>
      <c r="I66" s="27">
        <f t="shared" si="36"/>
        <v>9710134.9699999988</v>
      </c>
      <c r="J66" s="51">
        <f t="shared" si="37"/>
        <v>0.98499999999999999</v>
      </c>
      <c r="K66" s="42">
        <f t="shared" si="38"/>
        <v>9564483</v>
      </c>
      <c r="L66" s="18" t="str">
        <f>'DFIT Computations'!M67</f>
        <v>PROD PLT</v>
      </c>
    </row>
    <row r="67" spans="1:12" x14ac:dyDescent="0.2">
      <c r="A67" s="144">
        <f t="shared" si="3"/>
        <v>47</v>
      </c>
      <c r="B67" s="56" t="s">
        <v>242</v>
      </c>
      <c r="C67" s="61">
        <v>1758960</v>
      </c>
      <c r="D67" s="61">
        <v>1758960</v>
      </c>
      <c r="E67" s="54">
        <f t="shared" si="34"/>
        <v>0</v>
      </c>
      <c r="F67" s="27">
        <f>+'DFIT Computations'!G68</f>
        <v>0</v>
      </c>
      <c r="G67" s="27">
        <f t="shared" si="35"/>
        <v>0</v>
      </c>
      <c r="H67" s="27">
        <f>+'DFIT Computations'!I68</f>
        <v>0</v>
      </c>
      <c r="I67" s="27">
        <f t="shared" si="36"/>
        <v>0</v>
      </c>
      <c r="J67" s="51">
        <f t="shared" si="37"/>
        <v>0.98499999999999999</v>
      </c>
      <c r="K67" s="42">
        <f t="shared" si="38"/>
        <v>0</v>
      </c>
      <c r="L67" s="18" t="str">
        <f>'DFIT Computations'!M68</f>
        <v>PROD PLT</v>
      </c>
    </row>
    <row r="68" spans="1:12" x14ac:dyDescent="0.2">
      <c r="A68" s="144">
        <f t="shared" si="3"/>
        <v>48</v>
      </c>
      <c r="B68" s="17" t="s">
        <v>25</v>
      </c>
      <c r="C68" s="61">
        <f>458.23-102518.23</f>
        <v>-102060</v>
      </c>
      <c r="D68" s="61">
        <f>-(24+102036)</f>
        <v>-102060</v>
      </c>
      <c r="E68" s="54">
        <f t="shared" si="34"/>
        <v>0</v>
      </c>
      <c r="F68" s="27">
        <f>+'DFIT Computations'!G69</f>
        <v>0</v>
      </c>
      <c r="G68" s="27">
        <f t="shared" si="35"/>
        <v>0</v>
      </c>
      <c r="H68" s="27">
        <f>+'DFIT Computations'!I69</f>
        <v>0</v>
      </c>
      <c r="I68" s="27">
        <f t="shared" si="36"/>
        <v>0</v>
      </c>
      <c r="J68" s="51">
        <f t="shared" si="37"/>
        <v>0.98499999999999999</v>
      </c>
      <c r="K68" s="42">
        <f t="shared" si="38"/>
        <v>0</v>
      </c>
      <c r="L68" s="18" t="str">
        <f>'DFIT Computations'!M69</f>
        <v>GROSS PLT</v>
      </c>
    </row>
    <row r="69" spans="1:12" x14ac:dyDescent="0.2">
      <c r="A69" s="144">
        <f t="shared" si="3"/>
        <v>49</v>
      </c>
      <c r="B69" s="17" t="s">
        <v>234</v>
      </c>
      <c r="C69" s="61">
        <f>2611-23226</f>
        <v>-20615</v>
      </c>
      <c r="D69" s="61">
        <v>0</v>
      </c>
      <c r="E69" s="54">
        <f t="shared" ref="E69" si="39">+C69-D69</f>
        <v>-20615</v>
      </c>
      <c r="F69" s="27">
        <f>+'DFIT Computations'!G70</f>
        <v>0</v>
      </c>
      <c r="G69" s="27">
        <f t="shared" si="35"/>
        <v>-20615</v>
      </c>
      <c r="H69" s="27">
        <f>+'DFIT Computations'!I70</f>
        <v>0</v>
      </c>
      <c r="I69" s="27">
        <f t="shared" si="36"/>
        <v>-20615</v>
      </c>
      <c r="J69" s="51">
        <f t="shared" si="37"/>
        <v>0.98499999999999999</v>
      </c>
      <c r="K69" s="42">
        <f t="shared" si="38"/>
        <v>-20306</v>
      </c>
      <c r="L69" s="18" t="str">
        <f>'DFIT Computations'!M70</f>
        <v>GROSS PLT</v>
      </c>
    </row>
    <row r="70" spans="1:12" x14ac:dyDescent="0.2">
      <c r="A70" s="144">
        <f t="shared" si="3"/>
        <v>50</v>
      </c>
      <c r="B70" s="75" t="s">
        <v>26</v>
      </c>
      <c r="C70" s="78">
        <f t="shared" ref="C70:I70" si="40">SUM(C64:C69)</f>
        <v>11577920.969999999</v>
      </c>
      <c r="D70" s="78">
        <f t="shared" si="40"/>
        <v>2105313</v>
      </c>
      <c r="E70" s="78">
        <f t="shared" si="40"/>
        <v>9472607.9699999988</v>
      </c>
      <c r="F70" s="78">
        <f t="shared" ref="F70" si="41">SUM(F64:F69)</f>
        <v>0</v>
      </c>
      <c r="G70" s="78">
        <f t="shared" si="40"/>
        <v>9472607.9699999988</v>
      </c>
      <c r="H70" s="78">
        <f t="shared" si="40"/>
        <v>0</v>
      </c>
      <c r="I70" s="78">
        <f t="shared" si="40"/>
        <v>9472607.9699999988</v>
      </c>
      <c r="J70" s="24"/>
      <c r="K70" s="78">
        <f>SUM(K64:K69)</f>
        <v>9330519</v>
      </c>
    </row>
    <row r="71" spans="1:12" x14ac:dyDescent="0.2">
      <c r="A71" s="144">
        <f t="shared" si="3"/>
        <v>51</v>
      </c>
      <c r="B71" s="17" t="s">
        <v>0</v>
      </c>
      <c r="C71" s="36"/>
      <c r="D71" s="82"/>
      <c r="E71" s="82"/>
      <c r="F71" s="41"/>
      <c r="G71" s="82"/>
      <c r="H71" s="41"/>
      <c r="I71" s="37"/>
      <c r="J71" s="81"/>
    </row>
    <row r="72" spans="1:12" x14ac:dyDescent="0.2">
      <c r="A72" s="144">
        <f t="shared" si="3"/>
        <v>52</v>
      </c>
      <c r="B72" s="75" t="s">
        <v>27</v>
      </c>
      <c r="C72" s="36"/>
      <c r="D72" s="98"/>
      <c r="E72" s="98"/>
      <c r="F72" s="98"/>
      <c r="G72" s="98"/>
      <c r="H72" s="98"/>
      <c r="I72" s="98"/>
      <c r="J72" s="81"/>
    </row>
    <row r="73" spans="1:12" x14ac:dyDescent="0.2">
      <c r="A73" s="144">
        <f t="shared" si="3"/>
        <v>53</v>
      </c>
      <c r="B73" s="17" t="s">
        <v>28</v>
      </c>
      <c r="C73" s="61">
        <v>0</v>
      </c>
      <c r="D73" s="61">
        <v>0</v>
      </c>
      <c r="E73" s="54">
        <f>+C73-D73</f>
        <v>0</v>
      </c>
      <c r="F73" s="27">
        <f>+'DFIT Computations'!G74</f>
        <v>0</v>
      </c>
      <c r="G73" s="27">
        <f>+E73+F73</f>
        <v>0</v>
      </c>
      <c r="H73" s="27">
        <f>+'DFIT Computations'!I74</f>
        <v>0</v>
      </c>
      <c r="I73" s="27">
        <f>+G73+H73</f>
        <v>0</v>
      </c>
      <c r="J73" s="51">
        <f>VLOOKUP(L73,$C$306:$D$320,2,FALSE)</f>
        <v>0.98499999999999999</v>
      </c>
      <c r="K73" s="42">
        <f>IF(I73*J73=0,0, ROUND(I73*J73,0))</f>
        <v>0</v>
      </c>
      <c r="L73" s="18" t="str">
        <f>'DFIT Computations'!M74</f>
        <v>GROSS PLT</v>
      </c>
    </row>
    <row r="74" spans="1:12" x14ac:dyDescent="0.2">
      <c r="A74" s="144">
        <f t="shared" si="3"/>
        <v>54</v>
      </c>
      <c r="B74" s="17" t="s">
        <v>321</v>
      </c>
      <c r="C74" s="61">
        <f>938700-109594.8</f>
        <v>829105.2</v>
      </c>
      <c r="D74" s="61">
        <f>-(731430-621835)</f>
        <v>-109595</v>
      </c>
      <c r="E74" s="54">
        <f>+C74-D74</f>
        <v>938700.2</v>
      </c>
      <c r="F74" s="27">
        <f>+'DFIT Computations'!G75</f>
        <v>0</v>
      </c>
      <c r="G74" s="27">
        <f>+E74+F74</f>
        <v>938700.2</v>
      </c>
      <c r="H74" s="27">
        <f>+'DFIT Computations'!I75</f>
        <v>0</v>
      </c>
      <c r="I74" s="27">
        <f>+G74+H74</f>
        <v>938700.2</v>
      </c>
      <c r="J74" s="51">
        <f>VLOOKUP(L74,$C$306:$D$320,2,FALSE)</f>
        <v>0.98499999999999999</v>
      </c>
      <c r="K74" s="42">
        <f>IF(I74*J74=0,0, ROUND(I74*J74,0))</f>
        <v>924620</v>
      </c>
      <c r="L74" s="18" t="str">
        <f>'DFIT Computations'!M75</f>
        <v>GROSS PLT</v>
      </c>
    </row>
    <row r="75" spans="1:12" x14ac:dyDescent="0.2">
      <c r="A75" s="144">
        <f t="shared" si="3"/>
        <v>55</v>
      </c>
      <c r="B75" s="75" t="s">
        <v>29</v>
      </c>
      <c r="C75" s="78">
        <f t="shared" ref="C75:I75" si="42">SUM(C73:C74)</f>
        <v>829105.2</v>
      </c>
      <c r="D75" s="78">
        <f t="shared" si="42"/>
        <v>-109595</v>
      </c>
      <c r="E75" s="78">
        <f t="shared" si="42"/>
        <v>938700.2</v>
      </c>
      <c r="F75" s="78">
        <f t="shared" si="42"/>
        <v>0</v>
      </c>
      <c r="G75" s="78">
        <f t="shared" si="42"/>
        <v>938700.2</v>
      </c>
      <c r="H75" s="78">
        <f t="shared" si="42"/>
        <v>0</v>
      </c>
      <c r="I75" s="78">
        <f t="shared" si="42"/>
        <v>938700.2</v>
      </c>
      <c r="J75" s="24"/>
      <c r="K75" s="78">
        <f>SUM(K73:K74)</f>
        <v>924620</v>
      </c>
    </row>
    <row r="76" spans="1:12" x14ac:dyDescent="0.2">
      <c r="A76" s="144">
        <f t="shared" si="3"/>
        <v>56</v>
      </c>
      <c r="B76" s="17" t="s">
        <v>0</v>
      </c>
      <c r="C76" s="36"/>
      <c r="D76" s="38"/>
      <c r="E76" s="38"/>
      <c r="F76" s="38"/>
      <c r="G76" s="38"/>
      <c r="H76" s="38"/>
      <c r="I76" s="38"/>
      <c r="J76" s="81"/>
    </row>
    <row r="77" spans="1:12" x14ac:dyDescent="0.2">
      <c r="A77" s="144">
        <f t="shared" si="3"/>
        <v>57</v>
      </c>
      <c r="B77" s="75" t="s">
        <v>30</v>
      </c>
      <c r="C77" s="36"/>
      <c r="D77" s="38"/>
      <c r="E77" s="38"/>
      <c r="F77" s="38"/>
      <c r="G77" s="38"/>
      <c r="H77" s="38"/>
      <c r="I77" s="38"/>
      <c r="J77" s="81"/>
    </row>
    <row r="78" spans="1:12" x14ac:dyDescent="0.2">
      <c r="A78" s="144">
        <f t="shared" si="3"/>
        <v>58</v>
      </c>
      <c r="B78" s="17" t="s">
        <v>31</v>
      </c>
      <c r="C78" s="61">
        <f>1600200-1598146.62</f>
        <v>2053.3799999998882</v>
      </c>
      <c r="D78" s="61">
        <f>1997567-397367</f>
        <v>1600200</v>
      </c>
      <c r="E78" s="54">
        <f>+C78-D78</f>
        <v>-1598146.62</v>
      </c>
      <c r="F78" s="27">
        <f>+'DFIT Computations'!G79</f>
        <v>0</v>
      </c>
      <c r="G78" s="27">
        <f>+E78+F78</f>
        <v>-1598146.62</v>
      </c>
      <c r="H78" s="27">
        <f>+'DFIT Computations'!I79</f>
        <v>0</v>
      </c>
      <c r="I78" s="27">
        <f>+G78+H78</f>
        <v>-1598146.62</v>
      </c>
      <c r="J78" s="51">
        <f>VLOOKUP(L78,$C$306:$D$320,2,FALSE)</f>
        <v>0.98499999999999999</v>
      </c>
      <c r="K78" s="42">
        <f>IF(I78*J78=0,0, ROUND(I78*J78,0))</f>
        <v>-1574174</v>
      </c>
      <c r="L78" s="18" t="str">
        <f>'DFIT Computations'!M79</f>
        <v>PROD PLT</v>
      </c>
    </row>
    <row r="79" spans="1:12" x14ac:dyDescent="0.2">
      <c r="A79" s="144">
        <f t="shared" si="3"/>
        <v>59</v>
      </c>
      <c r="B79" s="75" t="s">
        <v>32</v>
      </c>
      <c r="C79" s="78">
        <f>C78</f>
        <v>2053.3799999998882</v>
      </c>
      <c r="D79" s="78">
        <f t="shared" ref="D79:I79" si="43">D78</f>
        <v>1600200</v>
      </c>
      <c r="E79" s="78">
        <f t="shared" si="43"/>
        <v>-1598146.62</v>
      </c>
      <c r="F79" s="78">
        <f t="shared" si="43"/>
        <v>0</v>
      </c>
      <c r="G79" s="78">
        <f t="shared" si="43"/>
        <v>-1598146.62</v>
      </c>
      <c r="H79" s="78">
        <f t="shared" si="43"/>
        <v>0</v>
      </c>
      <c r="I79" s="78">
        <f t="shared" si="43"/>
        <v>-1598146.62</v>
      </c>
      <c r="J79" s="24"/>
      <c r="K79" s="78">
        <f>K78</f>
        <v>-1574174</v>
      </c>
    </row>
    <row r="80" spans="1:12" x14ac:dyDescent="0.2">
      <c r="A80" s="144">
        <f t="shared" si="3"/>
        <v>60</v>
      </c>
      <c r="B80" s="17" t="s">
        <v>0</v>
      </c>
      <c r="C80" s="36"/>
      <c r="D80" s="82"/>
      <c r="E80" s="82"/>
      <c r="F80" s="41"/>
      <c r="G80" s="41"/>
      <c r="H80" s="41"/>
      <c r="I80" s="41"/>
      <c r="J80" s="81"/>
    </row>
    <row r="81" spans="1:12" x14ac:dyDescent="0.2">
      <c r="A81" s="144">
        <f t="shared" si="3"/>
        <v>61</v>
      </c>
      <c r="B81" s="75" t="s">
        <v>33</v>
      </c>
      <c r="C81" s="36"/>
      <c r="D81" s="82"/>
      <c r="E81" s="82"/>
      <c r="F81" s="41"/>
      <c r="G81" s="82"/>
      <c r="H81" s="41"/>
      <c r="I81" s="37"/>
      <c r="J81" s="81"/>
    </row>
    <row r="82" spans="1:12" x14ac:dyDescent="0.2">
      <c r="A82" s="144">
        <f t="shared" si="3"/>
        <v>62</v>
      </c>
      <c r="B82" s="17" t="s">
        <v>354</v>
      </c>
      <c r="C82" s="61">
        <f>577857.21-601889.82</f>
        <v>-24032.609999999986</v>
      </c>
      <c r="D82" s="61">
        <f>-(159862-135829)</f>
        <v>-24033</v>
      </c>
      <c r="E82" s="54">
        <f t="shared" ref="E82" si="44">+C82-D82</f>
        <v>0.39000000001396984</v>
      </c>
      <c r="F82" s="27">
        <f>+'DFIT Computations'!G83</f>
        <v>0</v>
      </c>
      <c r="G82" s="27">
        <f>+E82+F82</f>
        <v>0.39000000001396984</v>
      </c>
      <c r="H82" s="27">
        <f>+'DFIT Computations'!I83</f>
        <v>0</v>
      </c>
      <c r="I82" s="27">
        <f>+G82+H82</f>
        <v>0.39000000001396984</v>
      </c>
      <c r="J82" s="51">
        <f>VLOOKUP(L82,$C$306:$D$320,2,FALSE)</f>
        <v>0.98499999999999999</v>
      </c>
      <c r="K82" s="42">
        <f>IF(I82*J82=0,0, ROUND(I82*J82,0))</f>
        <v>0</v>
      </c>
      <c r="L82" s="18" t="str">
        <f>'DFIT Computations'!M83</f>
        <v>NET PLANT</v>
      </c>
    </row>
    <row r="83" spans="1:12" x14ac:dyDescent="0.2">
      <c r="A83" s="144">
        <f t="shared" si="3"/>
        <v>63</v>
      </c>
      <c r="B83" s="75" t="s">
        <v>34</v>
      </c>
      <c r="C83" s="78">
        <f t="shared" ref="C83:I83" si="45">SUM(C82:C82)</f>
        <v>-24032.609999999986</v>
      </c>
      <c r="D83" s="78">
        <f t="shared" si="45"/>
        <v>-24033</v>
      </c>
      <c r="E83" s="78">
        <f t="shared" si="45"/>
        <v>0.39000000001396984</v>
      </c>
      <c r="F83" s="78">
        <f t="shared" ref="F83" si="46">SUM(F82:F82)</f>
        <v>0</v>
      </c>
      <c r="G83" s="78">
        <f t="shared" si="45"/>
        <v>0.39000000001396984</v>
      </c>
      <c r="H83" s="78">
        <f t="shared" si="45"/>
        <v>0</v>
      </c>
      <c r="I83" s="78">
        <f t="shared" si="45"/>
        <v>0.39000000001396984</v>
      </c>
      <c r="J83" s="24"/>
      <c r="K83" s="99">
        <f>SUM(K82:K82)</f>
        <v>0</v>
      </c>
    </row>
    <row r="84" spans="1:12" x14ac:dyDescent="0.2">
      <c r="A84" s="144">
        <f t="shared" si="3"/>
        <v>64</v>
      </c>
      <c r="B84" s="17" t="s">
        <v>0</v>
      </c>
      <c r="C84" s="36"/>
      <c r="D84" s="38"/>
      <c r="E84" s="38"/>
      <c r="F84" s="38"/>
      <c r="G84" s="38"/>
      <c r="H84" s="38"/>
      <c r="I84" s="38"/>
      <c r="J84" s="81"/>
    </row>
    <row r="85" spans="1:12" x14ac:dyDescent="0.2">
      <c r="A85" s="144">
        <f t="shared" si="3"/>
        <v>65</v>
      </c>
      <c r="B85" s="75" t="s">
        <v>35</v>
      </c>
      <c r="C85" s="36"/>
      <c r="D85" s="38"/>
      <c r="E85" s="38"/>
      <c r="F85" s="38"/>
      <c r="G85" s="38"/>
      <c r="H85" s="38"/>
      <c r="I85" s="38"/>
      <c r="J85" s="81"/>
    </row>
    <row r="86" spans="1:12" x14ac:dyDescent="0.2">
      <c r="A86" s="144">
        <f t="shared" si="3"/>
        <v>66</v>
      </c>
      <c r="B86" s="17" t="s">
        <v>36</v>
      </c>
      <c r="C86" s="61">
        <f>105884.95-105273.28</f>
        <v>611.66999999999825</v>
      </c>
      <c r="D86" s="61">
        <v>0</v>
      </c>
      <c r="E86" s="54">
        <f>+C86-D86</f>
        <v>611.66999999999825</v>
      </c>
      <c r="F86" s="27">
        <f>+'DFIT Computations'!G87</f>
        <v>0</v>
      </c>
      <c r="G86" s="27">
        <f>+E86+F86</f>
        <v>611.66999999999825</v>
      </c>
      <c r="H86" s="27">
        <f>+'DFIT Computations'!I87</f>
        <v>0</v>
      </c>
      <c r="I86" s="27">
        <f>+G86+H86</f>
        <v>611.66999999999825</v>
      </c>
      <c r="J86" s="51">
        <f>VLOOKUP(L86,$C$306:$D$320,2,FALSE)</f>
        <v>1</v>
      </c>
      <c r="K86" s="42">
        <f>IF(I86*J86=0,0, ROUND(I86*J86,0))</f>
        <v>612</v>
      </c>
      <c r="L86" s="18" t="str">
        <f>'DFIT Computations'!M87</f>
        <v>SPECIFIC</v>
      </c>
    </row>
    <row r="87" spans="1:12" x14ac:dyDescent="0.2">
      <c r="A87" s="144">
        <f t="shared" si="3"/>
        <v>67</v>
      </c>
      <c r="B87" s="121" t="s">
        <v>365</v>
      </c>
      <c r="C87" s="61">
        <f>42732.45-12568.38</f>
        <v>30164.07</v>
      </c>
      <c r="D87" s="61"/>
      <c r="E87" s="54">
        <f t="shared" ref="E87:E88" si="47">+C87-D87</f>
        <v>30164.07</v>
      </c>
      <c r="F87" s="27">
        <f>+'DFIT Computations'!G88</f>
        <v>0</v>
      </c>
      <c r="G87" s="27">
        <f t="shared" ref="G87:G88" si="48">+E87+F87</f>
        <v>30164.07</v>
      </c>
      <c r="H87" s="27">
        <f>+'DFIT Computations'!I90</f>
        <v>0</v>
      </c>
      <c r="I87" s="27">
        <f t="shared" ref="I87:I88" si="49">+G87+H87</f>
        <v>30164.07</v>
      </c>
      <c r="J87" s="51">
        <f>VLOOKUP(L87,$C$306:$D$320,2,FALSE)</f>
        <v>1</v>
      </c>
      <c r="K87" s="42">
        <f t="shared" ref="K87:K88" si="50">IF(I87*J87=0,0, ROUND(I87*J87,0))</f>
        <v>30164</v>
      </c>
      <c r="L87" s="138" t="str">
        <f>'DFIT Computations'!M88</f>
        <v>SPECIFIC</v>
      </c>
    </row>
    <row r="88" spans="1:12" x14ac:dyDescent="0.2">
      <c r="A88" s="144">
        <f t="shared" si="3"/>
        <v>68</v>
      </c>
      <c r="B88" s="121" t="s">
        <v>366</v>
      </c>
      <c r="C88" s="61">
        <f>15016.25-4021</f>
        <v>10995.25</v>
      </c>
      <c r="D88" s="61"/>
      <c r="E88" s="54">
        <f t="shared" si="47"/>
        <v>10995.25</v>
      </c>
      <c r="F88" s="27">
        <f>+'DFIT Computations'!G89</f>
        <v>0</v>
      </c>
      <c r="G88" s="27">
        <f t="shared" si="48"/>
        <v>10995.25</v>
      </c>
      <c r="H88" s="27">
        <f>+'DFIT Computations'!I91</f>
        <v>0</v>
      </c>
      <c r="I88" s="27">
        <f t="shared" si="49"/>
        <v>10995.25</v>
      </c>
      <c r="J88" s="51">
        <f>VLOOKUP(L88,$C$306:$D$320,2,FALSE)</f>
        <v>1</v>
      </c>
      <c r="K88" s="42">
        <f t="shared" si="50"/>
        <v>10995</v>
      </c>
      <c r="L88" s="138" t="str">
        <f>'DFIT Computations'!M89</f>
        <v>SPECIFIC</v>
      </c>
    </row>
    <row r="89" spans="1:12" x14ac:dyDescent="0.2">
      <c r="A89" s="144">
        <f t="shared" si="3"/>
        <v>69</v>
      </c>
      <c r="B89" s="75" t="s">
        <v>37</v>
      </c>
      <c r="C89" s="78">
        <f>SUM(C86:C88)</f>
        <v>41770.99</v>
      </c>
      <c r="D89" s="78">
        <f>SUM(D86:D88)</f>
        <v>0</v>
      </c>
      <c r="E89" s="78">
        <f>SUM(E86:E88)</f>
        <v>41770.99</v>
      </c>
      <c r="F89" s="78">
        <f t="shared" ref="F89:I89" si="51">SUM(F86:F88)</f>
        <v>0</v>
      </c>
      <c r="G89" s="78">
        <f t="shared" si="51"/>
        <v>41770.99</v>
      </c>
      <c r="H89" s="78">
        <f>SUM(H86:H88)</f>
        <v>0</v>
      </c>
      <c r="I89" s="78">
        <f t="shared" si="51"/>
        <v>41770.99</v>
      </c>
      <c r="J89" s="24"/>
      <c r="K89" s="78">
        <f>SUM(K86:K88)</f>
        <v>41771</v>
      </c>
    </row>
    <row r="90" spans="1:12" x14ac:dyDescent="0.2">
      <c r="A90" s="144">
        <f t="shared" si="3"/>
        <v>70</v>
      </c>
      <c r="B90" s="17" t="s">
        <v>0</v>
      </c>
      <c r="C90" s="36"/>
      <c r="D90" s="82"/>
      <c r="E90" s="82"/>
      <c r="F90" s="41"/>
      <c r="G90" s="41"/>
      <c r="H90" s="41"/>
      <c r="I90" s="41"/>
      <c r="J90" s="81"/>
    </row>
    <row r="91" spans="1:12" x14ac:dyDescent="0.2">
      <c r="A91" s="144">
        <f t="shared" si="3"/>
        <v>71</v>
      </c>
      <c r="B91" s="75" t="s">
        <v>38</v>
      </c>
      <c r="C91" s="36"/>
      <c r="D91" s="82"/>
      <c r="E91" s="82"/>
      <c r="F91" s="41"/>
      <c r="G91" s="41"/>
      <c r="H91" s="41"/>
      <c r="I91" s="41"/>
      <c r="J91" s="81"/>
    </row>
    <row r="92" spans="1:12" x14ac:dyDescent="0.2">
      <c r="A92" s="144">
        <f t="shared" si="3"/>
        <v>72</v>
      </c>
      <c r="B92" s="17" t="s">
        <v>323</v>
      </c>
      <c r="C92" s="61">
        <f>1129230.24-1628851.77</f>
        <v>-499621.53</v>
      </c>
      <c r="D92" s="61">
        <v>0</v>
      </c>
      <c r="E92" s="54">
        <f t="shared" ref="E92:E93" si="52">+C92-D92</f>
        <v>-499621.53</v>
      </c>
      <c r="F92" s="27">
        <f>+'DFIT Computations'!G93</f>
        <v>0</v>
      </c>
      <c r="G92" s="27">
        <f t="shared" ref="G92:G93" si="53">+E92+F92</f>
        <v>-499621.53</v>
      </c>
      <c r="H92" s="27">
        <f>+'DFIT Computations'!I93</f>
        <v>0</v>
      </c>
      <c r="I92" s="27">
        <f t="shared" ref="I92:I93" si="54">+G92+H92</f>
        <v>-499621.53</v>
      </c>
      <c r="J92" s="51">
        <f>VLOOKUP(L92,$C$306:$D$320,2,FALSE)</f>
        <v>1</v>
      </c>
      <c r="K92" s="42">
        <f t="shared" ref="K92:K93" si="55">IF(I92*J92=0,0, ROUND(I92*J92,0))</f>
        <v>-499622</v>
      </c>
      <c r="L92" s="18" t="str">
        <f>'DFIT Computations'!M93</f>
        <v>SPECIFIC</v>
      </c>
    </row>
    <row r="93" spans="1:12" x14ac:dyDescent="0.2">
      <c r="A93" s="144">
        <f t="shared" si="3"/>
        <v>73</v>
      </c>
      <c r="B93" s="17" t="s">
        <v>324</v>
      </c>
      <c r="C93" s="61">
        <v>0</v>
      </c>
      <c r="D93" s="61">
        <v>0</v>
      </c>
      <c r="E93" s="54">
        <f t="shared" si="52"/>
        <v>0</v>
      </c>
      <c r="F93" s="27">
        <f>+'DFIT Computations'!G94</f>
        <v>0</v>
      </c>
      <c r="G93" s="27">
        <f t="shared" si="53"/>
        <v>0</v>
      </c>
      <c r="H93" s="27">
        <f>+'DFIT Computations'!I94</f>
        <v>0</v>
      </c>
      <c r="I93" s="27">
        <f t="shared" si="54"/>
        <v>0</v>
      </c>
      <c r="J93" s="51">
        <f>VLOOKUP(L93,$C$306:$D$320,2,FALSE)</f>
        <v>1</v>
      </c>
      <c r="K93" s="42">
        <f t="shared" si="55"/>
        <v>0</v>
      </c>
      <c r="L93" s="18" t="str">
        <f>'DFIT Computations'!M94</f>
        <v>SPECIFIC</v>
      </c>
    </row>
    <row r="94" spans="1:12" x14ac:dyDescent="0.2">
      <c r="A94" s="144">
        <f t="shared" si="3"/>
        <v>74</v>
      </c>
      <c r="B94" s="75" t="s">
        <v>39</v>
      </c>
      <c r="C94" s="78">
        <f t="shared" ref="C94:I94" si="56">SUM(C92:C93)</f>
        <v>-499621.53</v>
      </c>
      <c r="D94" s="78">
        <f t="shared" si="56"/>
        <v>0</v>
      </c>
      <c r="E94" s="78">
        <f t="shared" si="56"/>
        <v>-499621.53</v>
      </c>
      <c r="F94" s="78">
        <f t="shared" si="56"/>
        <v>0</v>
      </c>
      <c r="G94" s="78">
        <f t="shared" si="56"/>
        <v>-499621.53</v>
      </c>
      <c r="H94" s="78">
        <f t="shared" si="56"/>
        <v>0</v>
      </c>
      <c r="I94" s="78">
        <f t="shared" si="56"/>
        <v>-499621.53</v>
      </c>
      <c r="J94" s="24"/>
      <c r="K94" s="99">
        <f>SUM(K92:K93)</f>
        <v>-499622</v>
      </c>
    </row>
    <row r="95" spans="1:12" x14ac:dyDescent="0.2">
      <c r="A95" s="144">
        <f t="shared" ref="A95:A158" si="57">A94+1</f>
        <v>75</v>
      </c>
      <c r="B95" s="17" t="s">
        <v>0</v>
      </c>
      <c r="C95" s="36"/>
      <c r="D95" s="82"/>
      <c r="E95" s="82"/>
      <c r="F95" s="41"/>
      <c r="G95" s="41"/>
      <c r="H95" s="41"/>
      <c r="I95" s="41"/>
      <c r="J95" s="81"/>
    </row>
    <row r="96" spans="1:12" x14ac:dyDescent="0.2">
      <c r="A96" s="144">
        <f t="shared" si="57"/>
        <v>76</v>
      </c>
      <c r="B96" s="75" t="s">
        <v>40</v>
      </c>
      <c r="C96" s="36"/>
      <c r="D96" s="82"/>
      <c r="E96" s="82"/>
      <c r="F96" s="41"/>
      <c r="G96" s="41"/>
      <c r="H96" s="41"/>
      <c r="I96" s="41"/>
      <c r="J96" s="81"/>
    </row>
    <row r="97" spans="1:12" x14ac:dyDescent="0.2">
      <c r="A97" s="144">
        <f t="shared" si="57"/>
        <v>77</v>
      </c>
      <c r="B97" s="17" t="s">
        <v>41</v>
      </c>
      <c r="C97" s="61">
        <v>0</v>
      </c>
      <c r="D97" s="61">
        <v>0</v>
      </c>
      <c r="E97" s="54">
        <f>+C97-D97</f>
        <v>0</v>
      </c>
      <c r="F97" s="27">
        <f>+'DFIT Computations'!G98</f>
        <v>0</v>
      </c>
      <c r="G97" s="27">
        <f>+E97+F97</f>
        <v>0</v>
      </c>
      <c r="H97" s="27">
        <f>+'DFIT Computations'!I98</f>
        <v>0</v>
      </c>
      <c r="I97" s="27">
        <f>+G97+H97</f>
        <v>0</v>
      </c>
      <c r="J97" s="51">
        <f>VLOOKUP(L97,$C$306:$D$320,2,FALSE)</f>
        <v>0</v>
      </c>
      <c r="K97" s="42">
        <f>IF(I97*J97=0,0, ROUND(I97*J97,0))</f>
        <v>0</v>
      </c>
      <c r="L97" s="18" t="str">
        <f>'DFIT Computations'!M98</f>
        <v>NON-UTILITY</v>
      </c>
    </row>
    <row r="98" spans="1:12" x14ac:dyDescent="0.2">
      <c r="A98" s="144">
        <f t="shared" si="57"/>
        <v>78</v>
      </c>
      <c r="B98" s="75" t="s">
        <v>42</v>
      </c>
      <c r="C98" s="78">
        <f t="shared" ref="C98:I98" si="58">+C97</f>
        <v>0</v>
      </c>
      <c r="D98" s="78">
        <f t="shared" si="58"/>
        <v>0</v>
      </c>
      <c r="E98" s="78">
        <f t="shared" si="58"/>
        <v>0</v>
      </c>
      <c r="F98" s="78">
        <f t="shared" ref="F98" si="59">+F97</f>
        <v>0</v>
      </c>
      <c r="G98" s="78">
        <f t="shared" si="58"/>
        <v>0</v>
      </c>
      <c r="H98" s="78">
        <f t="shared" si="58"/>
        <v>0</v>
      </c>
      <c r="I98" s="78">
        <f t="shared" si="58"/>
        <v>0</v>
      </c>
      <c r="J98" s="24"/>
      <c r="K98" s="99">
        <f>SUM(K97)</f>
        <v>0</v>
      </c>
    </row>
    <row r="99" spans="1:12" x14ac:dyDescent="0.2">
      <c r="A99" s="144">
        <f t="shared" si="57"/>
        <v>79</v>
      </c>
      <c r="B99" s="17" t="s">
        <v>0</v>
      </c>
      <c r="C99" s="36"/>
      <c r="D99" s="82"/>
      <c r="E99" s="82"/>
      <c r="F99" s="41"/>
      <c r="G99" s="41"/>
      <c r="H99" s="41"/>
      <c r="I99" s="41"/>
      <c r="J99" s="81"/>
    </row>
    <row r="100" spans="1:12" x14ac:dyDescent="0.2">
      <c r="A100" s="144">
        <f t="shared" si="57"/>
        <v>80</v>
      </c>
      <c r="B100" s="75" t="s">
        <v>43</v>
      </c>
      <c r="C100" s="36"/>
      <c r="D100" s="82"/>
      <c r="E100" s="82"/>
      <c r="F100" s="41"/>
      <c r="G100" s="41"/>
      <c r="H100" s="41"/>
      <c r="I100" s="41"/>
      <c r="J100" s="81"/>
    </row>
    <row r="101" spans="1:12" x14ac:dyDescent="0.2">
      <c r="A101" s="144">
        <f t="shared" si="57"/>
        <v>81</v>
      </c>
      <c r="B101" s="17" t="s">
        <v>44</v>
      </c>
      <c r="C101" s="61">
        <f>451747.47-367670.39</f>
        <v>84077.079999999958</v>
      </c>
      <c r="D101" s="61">
        <v>0</v>
      </c>
      <c r="E101" s="54">
        <f t="shared" ref="E101:E124" si="60">+C101-D101</f>
        <v>84077.079999999958</v>
      </c>
      <c r="F101" s="27">
        <f>+'DFIT Computations'!G102</f>
        <v>0</v>
      </c>
      <c r="G101" s="27">
        <f t="shared" ref="G101:G124" si="61">+E101+F101</f>
        <v>84077.079999999958</v>
      </c>
      <c r="H101" s="27">
        <f>+'DFIT Computations'!I102</f>
        <v>0</v>
      </c>
      <c r="I101" s="27">
        <f t="shared" ref="I101:I124" si="62">+G101+H101</f>
        <v>84077.079999999958</v>
      </c>
      <c r="J101" s="51">
        <f t="shared" ref="J101:J124" si="63">VLOOKUP(L101,$C$306:$D$320,2,FALSE)</f>
        <v>0.99</v>
      </c>
      <c r="K101" s="42">
        <f t="shared" ref="K101:K124" si="64">IF(I101*J101=0,0, ROUND(I101*J101,0))</f>
        <v>83236</v>
      </c>
      <c r="L101" s="18" t="str">
        <f>'DFIT Computations'!M102</f>
        <v>LABOR</v>
      </c>
    </row>
    <row r="102" spans="1:12" x14ac:dyDescent="0.2">
      <c r="A102" s="144">
        <f t="shared" si="57"/>
        <v>82</v>
      </c>
      <c r="B102" s="17" t="s">
        <v>45</v>
      </c>
      <c r="C102" s="61">
        <f>30347.97-235814.12</f>
        <v>-205466.15</v>
      </c>
      <c r="D102" s="61">
        <f>219536-255741</f>
        <v>-36205</v>
      </c>
      <c r="E102" s="54">
        <f t="shared" si="60"/>
        <v>-169261.15</v>
      </c>
      <c r="F102" s="27">
        <f>+'DFIT Computations'!G103</f>
        <v>0</v>
      </c>
      <c r="G102" s="27">
        <f t="shared" si="61"/>
        <v>-169261.15</v>
      </c>
      <c r="H102" s="27">
        <f>+'DFIT Computations'!I103</f>
        <v>0</v>
      </c>
      <c r="I102" s="27">
        <f t="shared" si="62"/>
        <v>-169261.15</v>
      </c>
      <c r="J102" s="51">
        <f t="shared" si="63"/>
        <v>0.99</v>
      </c>
      <c r="K102" s="42">
        <f t="shared" si="64"/>
        <v>-167569</v>
      </c>
      <c r="L102" s="18" t="str">
        <f>'DFIT Computations'!M103</f>
        <v>LABOR</v>
      </c>
    </row>
    <row r="103" spans="1:12" x14ac:dyDescent="0.2">
      <c r="A103" s="144">
        <f t="shared" si="57"/>
        <v>83</v>
      </c>
      <c r="B103" s="56" t="s">
        <v>243</v>
      </c>
      <c r="C103" s="61">
        <f>2548934.7-2682577.02</f>
        <v>-133642.31999999983</v>
      </c>
      <c r="D103" s="61">
        <f>112460-68255</f>
        <v>44205</v>
      </c>
      <c r="E103" s="54">
        <f t="shared" si="60"/>
        <v>-177847.31999999983</v>
      </c>
      <c r="F103" s="27">
        <f>+'DFIT Computations'!G104</f>
        <v>0</v>
      </c>
      <c r="G103" s="27">
        <f t="shared" si="61"/>
        <v>-177847.31999999983</v>
      </c>
      <c r="H103" s="27">
        <f>+'DFIT Computations'!I104</f>
        <v>0</v>
      </c>
      <c r="I103" s="27">
        <f t="shared" si="62"/>
        <v>-177847.31999999983</v>
      </c>
      <c r="J103" s="51">
        <f t="shared" si="63"/>
        <v>0.99</v>
      </c>
      <c r="K103" s="42">
        <f t="shared" si="64"/>
        <v>-176069</v>
      </c>
      <c r="L103" s="18" t="str">
        <f>'DFIT Computations'!M104</f>
        <v>LABOR</v>
      </c>
    </row>
    <row r="104" spans="1:12" x14ac:dyDescent="0.2">
      <c r="A104" s="144">
        <f t="shared" si="57"/>
        <v>84</v>
      </c>
      <c r="B104" s="17" t="s">
        <v>46</v>
      </c>
      <c r="C104" s="61">
        <f>98.13-1185.71</f>
        <v>-1087.58</v>
      </c>
      <c r="D104" s="61">
        <v>0</v>
      </c>
      <c r="E104" s="54">
        <f t="shared" si="60"/>
        <v>-1087.58</v>
      </c>
      <c r="F104" s="27">
        <f>+'DFIT Computations'!G105</f>
        <v>0</v>
      </c>
      <c r="G104" s="27">
        <f t="shared" si="61"/>
        <v>-1087.58</v>
      </c>
      <c r="H104" s="27">
        <f>+'DFIT Computations'!I105</f>
        <v>0</v>
      </c>
      <c r="I104" s="27">
        <f t="shared" si="62"/>
        <v>-1087.58</v>
      </c>
      <c r="J104" s="51">
        <f t="shared" si="63"/>
        <v>0.99</v>
      </c>
      <c r="K104" s="42">
        <f t="shared" si="64"/>
        <v>-1077</v>
      </c>
      <c r="L104" s="18" t="str">
        <f>'DFIT Computations'!M105</f>
        <v>LABOR</v>
      </c>
    </row>
    <row r="105" spans="1:12" x14ac:dyDescent="0.2">
      <c r="A105" s="144">
        <f t="shared" si="57"/>
        <v>85</v>
      </c>
      <c r="B105" s="56" t="s">
        <v>244</v>
      </c>
      <c r="C105" s="61">
        <f>1015.93-999.55</f>
        <v>16.379999999999995</v>
      </c>
      <c r="D105" s="61">
        <v>0</v>
      </c>
      <c r="E105" s="54">
        <f t="shared" si="60"/>
        <v>16.379999999999995</v>
      </c>
      <c r="F105" s="27">
        <f>+'DFIT Computations'!G106</f>
        <v>0</v>
      </c>
      <c r="G105" s="27">
        <f t="shared" si="61"/>
        <v>16.379999999999995</v>
      </c>
      <c r="H105" s="27">
        <f>+'DFIT Computations'!I106</f>
        <v>0</v>
      </c>
      <c r="I105" s="27">
        <f t="shared" si="62"/>
        <v>16.379999999999995</v>
      </c>
      <c r="J105" s="51">
        <f t="shared" si="63"/>
        <v>0.99</v>
      </c>
      <c r="K105" s="42">
        <f t="shared" si="64"/>
        <v>16</v>
      </c>
      <c r="L105" s="18" t="str">
        <f>'DFIT Computations'!M106</f>
        <v>LABOR</v>
      </c>
    </row>
    <row r="106" spans="1:12" x14ac:dyDescent="0.2">
      <c r="A106" s="144">
        <f t="shared" si="57"/>
        <v>86</v>
      </c>
      <c r="B106" s="17" t="s">
        <v>47</v>
      </c>
      <c r="C106" s="61">
        <f>1070.5-1643.37</f>
        <v>-572.86999999999989</v>
      </c>
      <c r="D106" s="61">
        <v>0</v>
      </c>
      <c r="E106" s="54">
        <f t="shared" si="60"/>
        <v>-572.86999999999989</v>
      </c>
      <c r="F106" s="27">
        <f>+'DFIT Computations'!G107</f>
        <v>0</v>
      </c>
      <c r="G106" s="27">
        <f t="shared" si="61"/>
        <v>-572.86999999999989</v>
      </c>
      <c r="H106" s="27">
        <f>+'DFIT Computations'!I107</f>
        <v>0</v>
      </c>
      <c r="I106" s="27">
        <f t="shared" si="62"/>
        <v>-572.86999999999989</v>
      </c>
      <c r="J106" s="51">
        <f t="shared" si="63"/>
        <v>0.99</v>
      </c>
      <c r="K106" s="42">
        <f t="shared" si="64"/>
        <v>-567</v>
      </c>
      <c r="L106" s="18" t="str">
        <f>'DFIT Computations'!M107</f>
        <v>LABOR</v>
      </c>
    </row>
    <row r="107" spans="1:12" x14ac:dyDescent="0.2">
      <c r="A107" s="144">
        <f t="shared" si="57"/>
        <v>87</v>
      </c>
      <c r="B107" s="17" t="s">
        <v>48</v>
      </c>
      <c r="C107" s="61">
        <f>81608.51-2455.07</f>
        <v>79153.439999999988</v>
      </c>
      <c r="D107" s="61">
        <v>-2448</v>
      </c>
      <c r="E107" s="54">
        <f t="shared" si="60"/>
        <v>81601.439999999988</v>
      </c>
      <c r="F107" s="27">
        <f>+'DFIT Computations'!G108</f>
        <v>0</v>
      </c>
      <c r="G107" s="27">
        <f t="shared" si="61"/>
        <v>81601.439999999988</v>
      </c>
      <c r="H107" s="27">
        <f>+'DFIT Computations'!I108</f>
        <v>0</v>
      </c>
      <c r="I107" s="27">
        <f t="shared" si="62"/>
        <v>81601.439999999988</v>
      </c>
      <c r="J107" s="51">
        <f t="shared" si="63"/>
        <v>0.99</v>
      </c>
      <c r="K107" s="42">
        <f t="shared" si="64"/>
        <v>80785</v>
      </c>
      <c r="L107" s="18" t="str">
        <f>'DFIT Computations'!M108</f>
        <v>LABOR</v>
      </c>
    </row>
    <row r="108" spans="1:12" x14ac:dyDescent="0.2">
      <c r="A108" s="144">
        <f t="shared" si="57"/>
        <v>88</v>
      </c>
      <c r="B108" s="122" t="s">
        <v>367</v>
      </c>
      <c r="C108" s="61">
        <v>0</v>
      </c>
      <c r="D108" s="61">
        <v>0</v>
      </c>
      <c r="E108" s="54">
        <f t="shared" si="60"/>
        <v>0</v>
      </c>
      <c r="F108" s="27">
        <f>+'DFIT Computations'!G109</f>
        <v>0</v>
      </c>
      <c r="G108" s="27">
        <f t="shared" si="61"/>
        <v>0</v>
      </c>
      <c r="H108" s="27"/>
      <c r="I108" s="27">
        <f t="shared" si="62"/>
        <v>0</v>
      </c>
      <c r="J108" s="51">
        <f t="shared" si="63"/>
        <v>0.99</v>
      </c>
      <c r="K108" s="42">
        <f t="shared" ref="K108" si="65">IF(I108*J108=0,0, ROUND(I108*J108,0))</f>
        <v>0</v>
      </c>
      <c r="L108" s="138" t="str">
        <f>'DFIT Computations'!M109</f>
        <v>LABOR</v>
      </c>
    </row>
    <row r="109" spans="1:12" x14ac:dyDescent="0.2">
      <c r="A109" s="144">
        <f t="shared" si="57"/>
        <v>89</v>
      </c>
      <c r="B109" s="17" t="s">
        <v>49</v>
      </c>
      <c r="C109" s="61">
        <f>55901.98-110508.15</f>
        <v>-54606.169999999991</v>
      </c>
      <c r="D109" s="61">
        <v>0</v>
      </c>
      <c r="E109" s="54">
        <f t="shared" si="60"/>
        <v>-54606.169999999991</v>
      </c>
      <c r="F109" s="27">
        <f>+'DFIT Computations'!G110</f>
        <v>0</v>
      </c>
      <c r="G109" s="27">
        <f t="shared" si="61"/>
        <v>-54606.169999999991</v>
      </c>
      <c r="H109" s="27">
        <f>+'DFIT Computations'!I110</f>
        <v>0</v>
      </c>
      <c r="I109" s="27">
        <f t="shared" si="62"/>
        <v>-54606.169999999991</v>
      </c>
      <c r="J109" s="51">
        <f t="shared" si="63"/>
        <v>1</v>
      </c>
      <c r="K109" s="42">
        <f t="shared" si="64"/>
        <v>-54606</v>
      </c>
      <c r="L109" s="18" t="str">
        <f>'DFIT Computations'!M110</f>
        <v>SPECIFIC</v>
      </c>
    </row>
    <row r="110" spans="1:12" x14ac:dyDescent="0.2">
      <c r="A110" s="144">
        <f t="shared" si="57"/>
        <v>90</v>
      </c>
      <c r="B110" s="17" t="s">
        <v>307</v>
      </c>
      <c r="C110" s="61">
        <v>0</v>
      </c>
      <c r="D110" s="61">
        <v>0</v>
      </c>
      <c r="E110" s="54">
        <f>+C110-D110</f>
        <v>0</v>
      </c>
      <c r="F110" s="27">
        <f>+'DFIT Computations'!G111</f>
        <v>0</v>
      </c>
      <c r="G110" s="27">
        <f t="shared" si="61"/>
        <v>0</v>
      </c>
      <c r="H110" s="27">
        <f>+'DFIT Computations'!I111</f>
        <v>0</v>
      </c>
      <c r="I110" s="27">
        <f>+G110+H110</f>
        <v>0</v>
      </c>
      <c r="J110" s="51">
        <f t="shared" si="63"/>
        <v>0.99</v>
      </c>
      <c r="K110" s="42">
        <f>IF(I110*J110=0,0, ROUND(I110*J110,0))</f>
        <v>0</v>
      </c>
      <c r="L110" s="18" t="str">
        <f>'DFIT Computations'!M111</f>
        <v>LABOR</v>
      </c>
    </row>
    <row r="111" spans="1:12" x14ac:dyDescent="0.2">
      <c r="A111" s="144">
        <f t="shared" si="57"/>
        <v>91</v>
      </c>
      <c r="B111" s="56" t="s">
        <v>245</v>
      </c>
      <c r="C111" s="61">
        <f>1315119.93-1419958.94</f>
        <v>-104839.01000000001</v>
      </c>
      <c r="D111" s="61">
        <f>-(96201-241802)</f>
        <v>145601</v>
      </c>
      <c r="E111" s="54">
        <f t="shared" si="60"/>
        <v>-250440.01</v>
      </c>
      <c r="F111" s="27">
        <f>+'DFIT Computations'!G112</f>
        <v>0</v>
      </c>
      <c r="G111" s="27">
        <f t="shared" si="61"/>
        <v>-250440.01</v>
      </c>
      <c r="H111" s="27">
        <f>+'DFIT Computations'!I112</f>
        <v>0</v>
      </c>
      <c r="I111" s="27">
        <f t="shared" si="62"/>
        <v>-250440.01</v>
      </c>
      <c r="J111" s="51">
        <f t="shared" si="63"/>
        <v>0.99</v>
      </c>
      <c r="K111" s="42">
        <f t="shared" si="64"/>
        <v>-247936</v>
      </c>
      <c r="L111" s="18" t="str">
        <f>'DFIT Computations'!M112</f>
        <v>LABOR</v>
      </c>
    </row>
    <row r="112" spans="1:12" x14ac:dyDescent="0.2">
      <c r="A112" s="144">
        <f t="shared" si="57"/>
        <v>92</v>
      </c>
      <c r="B112" s="17" t="s">
        <v>50</v>
      </c>
      <c r="C112" s="61">
        <f>181676.41-171452.34</f>
        <v>10224.070000000007</v>
      </c>
      <c r="D112" s="61">
        <f>77543-66000</f>
        <v>11543</v>
      </c>
      <c r="E112" s="54">
        <f t="shared" si="60"/>
        <v>-1318.929999999993</v>
      </c>
      <c r="F112" s="27">
        <f>+'DFIT Computations'!G113</f>
        <v>0</v>
      </c>
      <c r="G112" s="27">
        <f t="shared" si="61"/>
        <v>-1318.929999999993</v>
      </c>
      <c r="H112" s="27">
        <f>+'DFIT Computations'!I113</f>
        <v>0</v>
      </c>
      <c r="I112" s="27">
        <f t="shared" si="62"/>
        <v>-1318.929999999993</v>
      </c>
      <c r="J112" s="51">
        <f t="shared" si="63"/>
        <v>0.99</v>
      </c>
      <c r="K112" s="42">
        <f t="shared" si="64"/>
        <v>-1306</v>
      </c>
      <c r="L112" s="18" t="str">
        <f>'DFIT Computations'!M113</f>
        <v>LABOR</v>
      </c>
    </row>
    <row r="113" spans="1:12" x14ac:dyDescent="0.2">
      <c r="A113" s="144">
        <f t="shared" si="57"/>
        <v>93</v>
      </c>
      <c r="B113" s="56" t="s">
        <v>277</v>
      </c>
      <c r="C113" s="61">
        <f>463.04-2793.14</f>
        <v>-2330.1</v>
      </c>
      <c r="D113" s="61">
        <v>0</v>
      </c>
      <c r="E113" s="54">
        <f t="shared" ref="E113" si="66">+C113-D113</f>
        <v>-2330.1</v>
      </c>
      <c r="F113" s="27">
        <f>+'DFIT Computations'!G114</f>
        <v>0</v>
      </c>
      <c r="G113" s="27">
        <f t="shared" si="61"/>
        <v>-2330.1</v>
      </c>
      <c r="H113" s="27">
        <f>+'DFIT Computations'!I114</f>
        <v>0</v>
      </c>
      <c r="I113" s="27">
        <f t="shared" ref="I113" si="67">+G113+H113</f>
        <v>-2330.1</v>
      </c>
      <c r="J113" s="51">
        <f t="shared" si="63"/>
        <v>0.99</v>
      </c>
      <c r="K113" s="42">
        <f t="shared" ref="K113" si="68">IF(I113*J113=0,0, ROUND(I113*J113,0))</f>
        <v>-2307</v>
      </c>
      <c r="L113" s="18" t="str">
        <f>'DFIT Computations'!M114</f>
        <v>LABOR</v>
      </c>
    </row>
    <row r="114" spans="1:12" x14ac:dyDescent="0.2">
      <c r="A114" s="144">
        <f t="shared" si="57"/>
        <v>94</v>
      </c>
      <c r="B114" s="56" t="s">
        <v>246</v>
      </c>
      <c r="C114" s="61">
        <f>468402.67-572415.79</f>
        <v>-104013.12000000005</v>
      </c>
      <c r="D114" s="61">
        <v>0</v>
      </c>
      <c r="E114" s="54">
        <f t="shared" si="60"/>
        <v>-104013.12000000005</v>
      </c>
      <c r="F114" s="27">
        <f>+'DFIT Computations'!G115</f>
        <v>0</v>
      </c>
      <c r="G114" s="27">
        <f t="shared" si="61"/>
        <v>-104013.12000000005</v>
      </c>
      <c r="H114" s="27">
        <f>+'DFIT Computations'!I115</f>
        <v>0</v>
      </c>
      <c r="I114" s="27">
        <f t="shared" si="62"/>
        <v>-104013.12000000005</v>
      </c>
      <c r="J114" s="51">
        <f t="shared" si="63"/>
        <v>0.99</v>
      </c>
      <c r="K114" s="42">
        <f t="shared" si="64"/>
        <v>-102973</v>
      </c>
      <c r="L114" s="18" t="str">
        <f>'DFIT Computations'!M115</f>
        <v>LABOR</v>
      </c>
    </row>
    <row r="115" spans="1:12" x14ac:dyDescent="0.2">
      <c r="A115" s="144">
        <f t="shared" si="57"/>
        <v>95</v>
      </c>
      <c r="B115" s="56" t="s">
        <v>308</v>
      </c>
      <c r="C115" s="61">
        <v>0</v>
      </c>
      <c r="D115" s="61">
        <v>0</v>
      </c>
      <c r="E115" s="54">
        <f>+C115-D115</f>
        <v>0</v>
      </c>
      <c r="F115" s="27">
        <f>+'DFIT Computations'!G116</f>
        <v>0</v>
      </c>
      <c r="G115" s="27">
        <f t="shared" ref="G115:G116" si="69">+E115+F115</f>
        <v>0</v>
      </c>
      <c r="H115" s="27">
        <f>+'DFIT Computations'!I116</f>
        <v>0</v>
      </c>
      <c r="I115" s="27">
        <f>+G115+H115</f>
        <v>0</v>
      </c>
      <c r="J115" s="51">
        <f t="shared" si="63"/>
        <v>0</v>
      </c>
      <c r="K115" s="42">
        <f>IF(I115*J115=0,0, ROUND(I115*J115,0))</f>
        <v>0</v>
      </c>
      <c r="L115" s="18" t="str">
        <f>'DFIT Computations'!M116</f>
        <v>NON-APPLIC</v>
      </c>
    </row>
    <row r="116" spans="1:12" x14ac:dyDescent="0.2">
      <c r="A116" s="144">
        <f t="shared" si="57"/>
        <v>96</v>
      </c>
      <c r="B116" s="56" t="s">
        <v>309</v>
      </c>
      <c r="C116" s="61">
        <v>0</v>
      </c>
      <c r="D116" s="61">
        <v>0</v>
      </c>
      <c r="E116" s="54">
        <f>+C116-D116</f>
        <v>0</v>
      </c>
      <c r="F116" s="27">
        <f>+'DFIT Computations'!G117</f>
        <v>0</v>
      </c>
      <c r="G116" s="27">
        <f t="shared" si="69"/>
        <v>0</v>
      </c>
      <c r="H116" s="27">
        <f>+'DFIT Computations'!I117</f>
        <v>0</v>
      </c>
      <c r="I116" s="27">
        <f>+G116+H116</f>
        <v>0</v>
      </c>
      <c r="J116" s="51">
        <f t="shared" si="63"/>
        <v>0</v>
      </c>
      <c r="K116" s="42">
        <f>IF(I116*J116=0,0, ROUND(I116*J116,0))</f>
        <v>0</v>
      </c>
      <c r="L116" s="18" t="str">
        <f>'DFIT Computations'!M117</f>
        <v>NON-APPLIC</v>
      </c>
    </row>
    <row r="117" spans="1:12" x14ac:dyDescent="0.2">
      <c r="A117" s="144">
        <f t="shared" si="57"/>
        <v>97</v>
      </c>
      <c r="B117" s="56" t="s">
        <v>264</v>
      </c>
      <c r="C117" s="61">
        <v>0</v>
      </c>
      <c r="D117" s="61">
        <v>0</v>
      </c>
      <c r="E117" s="54">
        <f>+C117-D117</f>
        <v>0</v>
      </c>
      <c r="F117" s="27">
        <f>+'DFIT Computations'!G118</f>
        <v>0</v>
      </c>
      <c r="G117" s="27">
        <f t="shared" si="61"/>
        <v>0</v>
      </c>
      <c r="H117" s="27">
        <f>+'DFIT Computations'!I118</f>
        <v>0</v>
      </c>
      <c r="I117" s="27">
        <f>+G117+H117</f>
        <v>0</v>
      </c>
      <c r="J117" s="51">
        <f t="shared" si="63"/>
        <v>0</v>
      </c>
      <c r="K117" s="42">
        <f>IF(I117*J117=0,0, ROUND(I117*J117,0))</f>
        <v>0</v>
      </c>
      <c r="L117" s="18" t="str">
        <f>'DFIT Computations'!M118</f>
        <v>NON-APPLIC</v>
      </c>
    </row>
    <row r="118" spans="1:12" x14ac:dyDescent="0.2">
      <c r="A118" s="144">
        <f t="shared" si="57"/>
        <v>98</v>
      </c>
      <c r="B118" s="17" t="s">
        <v>51</v>
      </c>
      <c r="C118" s="61">
        <v>0</v>
      </c>
      <c r="D118" s="61">
        <v>0</v>
      </c>
      <c r="E118" s="54">
        <f t="shared" si="60"/>
        <v>0</v>
      </c>
      <c r="F118" s="27">
        <f>+'DFIT Computations'!G119</f>
        <v>0</v>
      </c>
      <c r="G118" s="27">
        <f t="shared" si="61"/>
        <v>0</v>
      </c>
      <c r="H118" s="27">
        <f>+'DFIT Computations'!I119</f>
        <v>0</v>
      </c>
      <c r="I118" s="27">
        <f t="shared" si="62"/>
        <v>0</v>
      </c>
      <c r="J118" s="51">
        <f t="shared" si="63"/>
        <v>0.99299999999999999</v>
      </c>
      <c r="K118" s="42">
        <f t="shared" si="64"/>
        <v>0</v>
      </c>
      <c r="L118" s="18" t="str">
        <f>'DFIT Computations'!M119</f>
        <v>REVENUE</v>
      </c>
    </row>
    <row r="119" spans="1:12" x14ac:dyDescent="0.2">
      <c r="A119" s="144">
        <f t="shared" si="57"/>
        <v>99</v>
      </c>
      <c r="B119" s="17" t="s">
        <v>52</v>
      </c>
      <c r="C119" s="61">
        <v>4614.12</v>
      </c>
      <c r="D119" s="61">
        <v>0</v>
      </c>
      <c r="E119" s="54">
        <f t="shared" si="60"/>
        <v>4614.12</v>
      </c>
      <c r="F119" s="27">
        <f>+'DFIT Computations'!G120</f>
        <v>0</v>
      </c>
      <c r="G119" s="27">
        <f t="shared" si="61"/>
        <v>4614.12</v>
      </c>
      <c r="H119" s="27">
        <f>+'DFIT Computations'!I120</f>
        <v>0</v>
      </c>
      <c r="I119" s="27">
        <f t="shared" si="62"/>
        <v>4614.12</v>
      </c>
      <c r="J119" s="51">
        <f t="shared" si="63"/>
        <v>0</v>
      </c>
      <c r="K119" s="42">
        <f t="shared" si="64"/>
        <v>0</v>
      </c>
      <c r="L119" s="18" t="str">
        <f>'DFIT Computations'!M120</f>
        <v>NON-APPLIC</v>
      </c>
    </row>
    <row r="120" spans="1:12" x14ac:dyDescent="0.2">
      <c r="A120" s="144">
        <f t="shared" si="57"/>
        <v>100</v>
      </c>
      <c r="B120" s="17" t="s">
        <v>53</v>
      </c>
      <c r="C120" s="61">
        <v>1562.61</v>
      </c>
      <c r="D120" s="61">
        <v>0</v>
      </c>
      <c r="E120" s="54">
        <f t="shared" si="60"/>
        <v>1562.61</v>
      </c>
      <c r="F120" s="27">
        <f>+'DFIT Computations'!G121</f>
        <v>0</v>
      </c>
      <c r="G120" s="27">
        <f t="shared" si="61"/>
        <v>1562.61</v>
      </c>
      <c r="H120" s="27">
        <f>+'DFIT Computations'!I121</f>
        <v>0</v>
      </c>
      <c r="I120" s="27">
        <f t="shared" si="62"/>
        <v>1562.61</v>
      </c>
      <c r="J120" s="51">
        <f t="shared" si="63"/>
        <v>0</v>
      </c>
      <c r="K120" s="42">
        <f t="shared" si="64"/>
        <v>0</v>
      </c>
      <c r="L120" s="18" t="str">
        <f>'DFIT Computations'!M121</f>
        <v>NON-APPLIC</v>
      </c>
    </row>
    <row r="121" spans="1:12" x14ac:dyDescent="0.2">
      <c r="A121" s="144">
        <f t="shared" si="57"/>
        <v>101</v>
      </c>
      <c r="B121" s="17" t="s">
        <v>54</v>
      </c>
      <c r="C121" s="61">
        <v>0</v>
      </c>
      <c r="D121" s="61">
        <v>0</v>
      </c>
      <c r="E121" s="54">
        <f t="shared" si="60"/>
        <v>0</v>
      </c>
      <c r="F121" s="27">
        <f>+'DFIT Computations'!G122</f>
        <v>0</v>
      </c>
      <c r="G121" s="27">
        <f t="shared" si="61"/>
        <v>0</v>
      </c>
      <c r="H121" s="27">
        <f>+'DFIT Computations'!I122</f>
        <v>0</v>
      </c>
      <c r="I121" s="27">
        <f t="shared" si="62"/>
        <v>0</v>
      </c>
      <c r="J121" s="51">
        <f t="shared" si="63"/>
        <v>0.99299999999999999</v>
      </c>
      <c r="K121" s="42">
        <f t="shared" si="64"/>
        <v>0</v>
      </c>
      <c r="L121" s="18" t="str">
        <f>'DFIT Computations'!M122</f>
        <v>REVENUE</v>
      </c>
    </row>
    <row r="122" spans="1:12" x14ac:dyDescent="0.2">
      <c r="A122" s="144">
        <f t="shared" si="57"/>
        <v>102</v>
      </c>
      <c r="B122" s="17" t="s">
        <v>55</v>
      </c>
      <c r="C122" s="61">
        <v>-20337.419999999998</v>
      </c>
      <c r="D122" s="61">
        <v>0</v>
      </c>
      <c r="E122" s="54">
        <f t="shared" si="60"/>
        <v>-20337.419999999998</v>
      </c>
      <c r="F122" s="27">
        <f>+'DFIT Computations'!G123</f>
        <v>0</v>
      </c>
      <c r="G122" s="27">
        <f t="shared" si="61"/>
        <v>-20337.419999999998</v>
      </c>
      <c r="H122" s="27">
        <f>+'DFIT Computations'!I123</f>
        <v>0</v>
      </c>
      <c r="I122" s="27">
        <f t="shared" si="62"/>
        <v>-20337.419999999998</v>
      </c>
      <c r="J122" s="51">
        <f t="shared" si="63"/>
        <v>0.98499999999999999</v>
      </c>
      <c r="K122" s="42">
        <f t="shared" si="64"/>
        <v>-20032</v>
      </c>
      <c r="L122" s="18" t="str">
        <f>'DFIT Computations'!M123</f>
        <v>TRAN PLT</v>
      </c>
    </row>
    <row r="123" spans="1:12" x14ac:dyDescent="0.2">
      <c r="A123" s="144">
        <f t="shared" si="57"/>
        <v>103</v>
      </c>
      <c r="B123" s="17" t="s">
        <v>178</v>
      </c>
      <c r="C123" s="61">
        <v>0</v>
      </c>
      <c r="D123" s="61">
        <v>0</v>
      </c>
      <c r="E123" s="54">
        <f t="shared" si="60"/>
        <v>0</v>
      </c>
      <c r="F123" s="27">
        <f>+'DFIT Computations'!G124</f>
        <v>0</v>
      </c>
      <c r="G123" s="27">
        <f t="shared" si="61"/>
        <v>0</v>
      </c>
      <c r="H123" s="27">
        <f>+'DFIT Computations'!I124</f>
        <v>0</v>
      </c>
      <c r="I123" s="27">
        <f t="shared" si="62"/>
        <v>0</v>
      </c>
      <c r="J123" s="51">
        <f t="shared" si="63"/>
        <v>1</v>
      </c>
      <c r="K123" s="42">
        <f t="shared" si="64"/>
        <v>0</v>
      </c>
      <c r="L123" s="18" t="str">
        <f>'DFIT Computations'!M124</f>
        <v>SPECIFIC</v>
      </c>
    </row>
    <row r="124" spans="1:12" x14ac:dyDescent="0.2">
      <c r="A124" s="144">
        <f t="shared" si="57"/>
        <v>104</v>
      </c>
      <c r="B124" s="17" t="s">
        <v>179</v>
      </c>
      <c r="C124" s="61">
        <v>0</v>
      </c>
      <c r="D124" s="61">
        <v>0</v>
      </c>
      <c r="E124" s="54">
        <f t="shared" si="60"/>
        <v>0</v>
      </c>
      <c r="F124" s="27">
        <f>+'DFIT Computations'!G125</f>
        <v>0</v>
      </c>
      <c r="G124" s="27">
        <f t="shared" si="61"/>
        <v>0</v>
      </c>
      <c r="H124" s="27">
        <f>+'DFIT Computations'!I125</f>
        <v>0</v>
      </c>
      <c r="I124" s="27">
        <f t="shared" si="62"/>
        <v>0</v>
      </c>
      <c r="J124" s="51">
        <f t="shared" si="63"/>
        <v>1</v>
      </c>
      <c r="K124" s="42">
        <f t="shared" si="64"/>
        <v>0</v>
      </c>
      <c r="L124" s="18" t="str">
        <f>'DFIT Computations'!M125</f>
        <v>SPECIFIC</v>
      </c>
    </row>
    <row r="125" spans="1:12" x14ac:dyDescent="0.2">
      <c r="A125" s="144">
        <f t="shared" si="57"/>
        <v>105</v>
      </c>
      <c r="B125" s="75" t="s">
        <v>56</v>
      </c>
      <c r="C125" s="78">
        <f t="shared" ref="C125:I125" si="70">SUM(C101:C124)</f>
        <v>-447247.03999999986</v>
      </c>
      <c r="D125" s="78">
        <f t="shared" si="70"/>
        <v>162696</v>
      </c>
      <c r="E125" s="78">
        <f t="shared" si="70"/>
        <v>-609943.03999999992</v>
      </c>
      <c r="F125" s="78">
        <f t="shared" ref="F125" si="71">SUM(F101:F124)</f>
        <v>0</v>
      </c>
      <c r="G125" s="78">
        <f t="shared" si="70"/>
        <v>-609943.03999999992</v>
      </c>
      <c r="H125" s="78">
        <f t="shared" si="70"/>
        <v>0</v>
      </c>
      <c r="I125" s="78">
        <f t="shared" si="70"/>
        <v>-609943.03999999992</v>
      </c>
      <c r="J125" s="24"/>
      <c r="K125" s="78">
        <f>SUM(K101:K124)</f>
        <v>-610405</v>
      </c>
    </row>
    <row r="126" spans="1:12" x14ac:dyDescent="0.2">
      <c r="A126" s="144">
        <f t="shared" si="57"/>
        <v>106</v>
      </c>
      <c r="B126" s="17" t="s">
        <v>0</v>
      </c>
      <c r="C126" s="36"/>
      <c r="D126" s="82"/>
      <c r="E126" s="82"/>
      <c r="F126" s="41"/>
      <c r="G126" s="41"/>
      <c r="H126" s="41"/>
      <c r="I126" s="41"/>
      <c r="J126" s="81"/>
    </row>
    <row r="127" spans="1:12" x14ac:dyDescent="0.2">
      <c r="A127" s="144">
        <f t="shared" si="57"/>
        <v>107</v>
      </c>
      <c r="B127" s="75" t="s">
        <v>57</v>
      </c>
      <c r="C127" s="36"/>
      <c r="D127" s="82"/>
      <c r="E127" s="82"/>
      <c r="F127" s="41"/>
      <c r="G127" s="41"/>
      <c r="H127" s="41"/>
      <c r="I127" s="41"/>
      <c r="J127" s="81"/>
    </row>
    <row r="128" spans="1:12" x14ac:dyDescent="0.2">
      <c r="A128" s="144">
        <f t="shared" si="57"/>
        <v>108</v>
      </c>
      <c r="B128" s="17" t="s">
        <v>58</v>
      </c>
      <c r="C128" s="61">
        <f>353.36-915.53</f>
        <v>-562.16999999999996</v>
      </c>
      <c r="D128" s="61">
        <v>0</v>
      </c>
      <c r="E128" s="54">
        <f t="shared" ref="E128:E145" si="72">+C128-D128</f>
        <v>-562.16999999999996</v>
      </c>
      <c r="F128" s="27">
        <f>+'DFIT Computations'!G129</f>
        <v>0</v>
      </c>
      <c r="G128" s="27">
        <f t="shared" ref="G128:G145" si="73">+E128+F128</f>
        <v>-562.16999999999996</v>
      </c>
      <c r="H128" s="27">
        <f>+'DFIT Computations'!I129</f>
        <v>0</v>
      </c>
      <c r="I128" s="27">
        <f t="shared" ref="I128:I145" si="74">+G128+H128</f>
        <v>-562.16999999999996</v>
      </c>
      <c r="J128" s="51">
        <f t="shared" ref="J128:J146" si="75">VLOOKUP(L128,$C$306:$D$320,2,FALSE)</f>
        <v>0.999</v>
      </c>
      <c r="K128" s="42">
        <f t="shared" ref="K128:K145" si="76">IF(I128*J128=0,0, ROUND(I128*J128,0))</f>
        <v>-562</v>
      </c>
      <c r="L128" s="18" t="str">
        <f>'DFIT Computations'!M129</f>
        <v>DIST PLT</v>
      </c>
    </row>
    <row r="129" spans="1:12" x14ac:dyDescent="0.2">
      <c r="A129" s="144">
        <f t="shared" si="57"/>
        <v>109</v>
      </c>
      <c r="B129" s="17" t="s">
        <v>59</v>
      </c>
      <c r="C129" s="61">
        <f>5154.36-116610.7</f>
        <v>-111456.34</v>
      </c>
      <c r="D129" s="61">
        <v>0</v>
      </c>
      <c r="E129" s="54">
        <f t="shared" si="72"/>
        <v>-111456.34</v>
      </c>
      <c r="F129" s="27">
        <f>+'DFIT Computations'!G130</f>
        <v>0</v>
      </c>
      <c r="G129" s="27">
        <f t="shared" si="73"/>
        <v>-111456.34</v>
      </c>
      <c r="H129" s="27">
        <f>+'DFIT Computations'!I130</f>
        <v>0</v>
      </c>
      <c r="I129" s="27">
        <f t="shared" si="74"/>
        <v>-111456.34</v>
      </c>
      <c r="J129" s="51">
        <f t="shared" si="75"/>
        <v>0.99299999999999999</v>
      </c>
      <c r="K129" s="42">
        <f t="shared" si="76"/>
        <v>-110676</v>
      </c>
      <c r="L129" s="18" t="str">
        <f>'DFIT Computations'!M130</f>
        <v>REVENUE</v>
      </c>
    </row>
    <row r="130" spans="1:12" x14ac:dyDescent="0.2">
      <c r="A130" s="144">
        <f t="shared" si="57"/>
        <v>110</v>
      </c>
      <c r="B130" s="56" t="s">
        <v>291</v>
      </c>
      <c r="C130" s="61">
        <f>-433977.36</f>
        <v>-433977.36</v>
      </c>
      <c r="D130" s="61">
        <v>0</v>
      </c>
      <c r="E130" s="54">
        <f t="shared" si="72"/>
        <v>-433977.36</v>
      </c>
      <c r="F130" s="27">
        <f>+'DFIT Computations'!G131</f>
        <v>0</v>
      </c>
      <c r="G130" s="27">
        <f t="shared" si="73"/>
        <v>-433977.36</v>
      </c>
      <c r="H130" s="27">
        <f>+'DFIT Computations'!I131</f>
        <v>0</v>
      </c>
      <c r="I130" s="27">
        <f t="shared" si="74"/>
        <v>-433977.36</v>
      </c>
      <c r="J130" s="51">
        <f t="shared" si="75"/>
        <v>0.98499999999999999</v>
      </c>
      <c r="K130" s="42">
        <f t="shared" si="76"/>
        <v>-427468</v>
      </c>
      <c r="L130" s="18" t="str">
        <f>'DFIT Computations'!M131</f>
        <v>DEMAND</v>
      </c>
    </row>
    <row r="131" spans="1:12" x14ac:dyDescent="0.2">
      <c r="A131" s="144">
        <f t="shared" si="57"/>
        <v>111</v>
      </c>
      <c r="B131" s="56" t="s">
        <v>263</v>
      </c>
      <c r="C131" s="61">
        <v>0</v>
      </c>
      <c r="D131" s="61">
        <v>0</v>
      </c>
      <c r="E131" s="54">
        <f t="shared" si="72"/>
        <v>0</v>
      </c>
      <c r="F131" s="27">
        <f>+'DFIT Computations'!G132</f>
        <v>0</v>
      </c>
      <c r="G131" s="27">
        <f t="shared" si="73"/>
        <v>0</v>
      </c>
      <c r="H131" s="27">
        <f>+'DFIT Computations'!I132</f>
        <v>0</v>
      </c>
      <c r="I131" s="27">
        <f t="shared" si="74"/>
        <v>0</v>
      </c>
      <c r="J131" s="51">
        <f t="shared" si="75"/>
        <v>1</v>
      </c>
      <c r="K131" s="42">
        <f t="shared" si="76"/>
        <v>0</v>
      </c>
      <c r="L131" s="18" t="str">
        <f>'DFIT Computations'!M132</f>
        <v>SPECIFIC</v>
      </c>
    </row>
    <row r="132" spans="1:12" x14ac:dyDescent="0.2">
      <c r="A132" s="144">
        <f t="shared" si="57"/>
        <v>112</v>
      </c>
      <c r="B132" s="17" t="s">
        <v>60</v>
      </c>
      <c r="C132" s="61">
        <f>149716.35-151180.84</f>
        <v>-1464.4899999999907</v>
      </c>
      <c r="D132" s="61">
        <v>0</v>
      </c>
      <c r="E132" s="54">
        <f t="shared" si="72"/>
        <v>-1464.4899999999907</v>
      </c>
      <c r="F132" s="27">
        <f>+'DFIT Computations'!G133</f>
        <v>0</v>
      </c>
      <c r="G132" s="27">
        <f t="shared" si="73"/>
        <v>-1464.4899999999907</v>
      </c>
      <c r="H132" s="27">
        <f>+'DFIT Computations'!I133</f>
        <v>0</v>
      </c>
      <c r="I132" s="27">
        <f t="shared" si="74"/>
        <v>-1464.4899999999907</v>
      </c>
      <c r="J132" s="51">
        <f t="shared" si="75"/>
        <v>0.99299999999999999</v>
      </c>
      <c r="K132" s="42">
        <f t="shared" si="76"/>
        <v>-1454</v>
      </c>
      <c r="L132" s="18" t="str">
        <f>'DFIT Computations'!M133</f>
        <v>REVENUE</v>
      </c>
    </row>
    <row r="133" spans="1:12" x14ac:dyDescent="0.2">
      <c r="A133" s="144">
        <f t="shared" si="57"/>
        <v>113</v>
      </c>
      <c r="B133" s="17" t="s">
        <v>310</v>
      </c>
      <c r="C133" s="61">
        <v>25428.34</v>
      </c>
      <c r="D133" s="61">
        <v>0</v>
      </c>
      <c r="E133" s="54">
        <f>+C133-D133</f>
        <v>25428.34</v>
      </c>
      <c r="F133" s="27">
        <f>+'DFIT Computations'!G134</f>
        <v>0</v>
      </c>
      <c r="G133" s="27">
        <f t="shared" si="73"/>
        <v>25428.34</v>
      </c>
      <c r="H133" s="27">
        <f>+'DFIT Computations'!I134</f>
        <v>0</v>
      </c>
      <c r="I133" s="27">
        <f>+G133+H133</f>
        <v>25428.34</v>
      </c>
      <c r="J133" s="51">
        <f t="shared" si="75"/>
        <v>0.99299999999999999</v>
      </c>
      <c r="K133" s="42">
        <f>IF(I133*J133=0,0, ROUND(I133*J133,0))</f>
        <v>25250</v>
      </c>
      <c r="L133" s="18" t="str">
        <f>'DFIT Computations'!M134</f>
        <v>REVENUE</v>
      </c>
    </row>
    <row r="134" spans="1:12" x14ac:dyDescent="0.2">
      <c r="A134" s="144">
        <f t="shared" si="57"/>
        <v>114</v>
      </c>
      <c r="B134" s="17" t="s">
        <v>311</v>
      </c>
      <c r="C134" s="61">
        <f>3187.43-18726.19</f>
        <v>-15538.759999999998</v>
      </c>
      <c r="D134" s="61">
        <v>0</v>
      </c>
      <c r="E134" s="54">
        <f>+C134-D134</f>
        <v>-15538.759999999998</v>
      </c>
      <c r="F134" s="27">
        <f>+'DFIT Computations'!G135</f>
        <v>0</v>
      </c>
      <c r="G134" s="27">
        <f t="shared" si="73"/>
        <v>-15538.759999999998</v>
      </c>
      <c r="H134" s="27">
        <f>+'DFIT Computations'!I135</f>
        <v>0</v>
      </c>
      <c r="I134" s="27">
        <f>+G134+H134</f>
        <v>-15538.759999999998</v>
      </c>
      <c r="J134" s="51">
        <f t="shared" si="75"/>
        <v>0.99299999999999999</v>
      </c>
      <c r="K134" s="42">
        <f>IF(I134*J134=0,0, ROUND(I134*J134,0))</f>
        <v>-15430</v>
      </c>
      <c r="L134" s="18" t="str">
        <f>'DFIT Computations'!M135</f>
        <v>REVENUE</v>
      </c>
    </row>
    <row r="135" spans="1:12" x14ac:dyDescent="0.2">
      <c r="A135" s="144">
        <f t="shared" si="57"/>
        <v>115</v>
      </c>
      <c r="B135" s="17" t="s">
        <v>61</v>
      </c>
      <c r="C135" s="61">
        <v>0</v>
      </c>
      <c r="D135" s="61">
        <v>0</v>
      </c>
      <c r="E135" s="54">
        <f t="shared" si="72"/>
        <v>0</v>
      </c>
      <c r="F135" s="27">
        <f>+'DFIT Computations'!G136</f>
        <v>0</v>
      </c>
      <c r="G135" s="27">
        <f t="shared" si="73"/>
        <v>0</v>
      </c>
      <c r="H135" s="27">
        <f>+'DFIT Computations'!I136</f>
        <v>0</v>
      </c>
      <c r="I135" s="27">
        <f t="shared" si="74"/>
        <v>0</v>
      </c>
      <c r="J135" s="51">
        <f t="shared" si="75"/>
        <v>0.98499999999999999</v>
      </c>
      <c r="K135" s="42">
        <f t="shared" si="76"/>
        <v>0</v>
      </c>
      <c r="L135" s="18" t="str">
        <f>'DFIT Computations'!M136</f>
        <v>TRAN PLT</v>
      </c>
    </row>
    <row r="136" spans="1:12" x14ac:dyDescent="0.2">
      <c r="A136" s="144">
        <f t="shared" si="57"/>
        <v>116</v>
      </c>
      <c r="B136" s="17" t="s">
        <v>62</v>
      </c>
      <c r="C136" s="61">
        <v>2643.48</v>
      </c>
      <c r="D136" s="61">
        <v>2643</v>
      </c>
      <c r="E136" s="54">
        <f t="shared" si="72"/>
        <v>0.48000000000001819</v>
      </c>
      <c r="F136" s="27">
        <f>+'DFIT Computations'!G137</f>
        <v>0</v>
      </c>
      <c r="G136" s="27">
        <f t="shared" si="73"/>
        <v>0.48000000000001819</v>
      </c>
      <c r="H136" s="27">
        <f>+'DFIT Computations'!I137</f>
        <v>0</v>
      </c>
      <c r="I136" s="27">
        <f t="shared" si="74"/>
        <v>0.48000000000001819</v>
      </c>
      <c r="J136" s="51">
        <f t="shared" si="75"/>
        <v>0</v>
      </c>
      <c r="K136" s="42">
        <f t="shared" si="76"/>
        <v>0</v>
      </c>
      <c r="L136" s="18" t="str">
        <f>'DFIT Computations'!M137</f>
        <v>NON-UTILITY</v>
      </c>
    </row>
    <row r="137" spans="1:12" x14ac:dyDescent="0.2">
      <c r="A137" s="144">
        <f t="shared" si="57"/>
        <v>117</v>
      </c>
      <c r="B137" s="56" t="s">
        <v>247</v>
      </c>
      <c r="C137" s="61">
        <f>645305.17-467457.64</f>
        <v>177847.53000000003</v>
      </c>
      <c r="D137" s="61">
        <v>0</v>
      </c>
      <c r="E137" s="54">
        <f t="shared" si="72"/>
        <v>177847.53000000003</v>
      </c>
      <c r="F137" s="27">
        <f>+'DFIT Computations'!G138</f>
        <v>0</v>
      </c>
      <c r="G137" s="27">
        <f t="shared" si="73"/>
        <v>177847.53000000003</v>
      </c>
      <c r="H137" s="27">
        <f>+'DFIT Computations'!I138</f>
        <v>0</v>
      </c>
      <c r="I137" s="27">
        <f t="shared" si="74"/>
        <v>177847.53000000003</v>
      </c>
      <c r="J137" s="51">
        <f t="shared" si="75"/>
        <v>0.99</v>
      </c>
      <c r="K137" s="42">
        <f t="shared" si="76"/>
        <v>176069</v>
      </c>
      <c r="L137" s="18" t="str">
        <f>'DFIT Computations'!M138</f>
        <v>LABOR</v>
      </c>
    </row>
    <row r="138" spans="1:12" x14ac:dyDescent="0.2">
      <c r="A138" s="144">
        <f t="shared" si="57"/>
        <v>118</v>
      </c>
      <c r="B138" s="56" t="s">
        <v>248</v>
      </c>
      <c r="C138" s="61">
        <f>999.55-1015.93</f>
        <v>-16.379999999999995</v>
      </c>
      <c r="D138" s="61">
        <v>0</v>
      </c>
      <c r="E138" s="54">
        <f t="shared" si="72"/>
        <v>-16.379999999999995</v>
      </c>
      <c r="F138" s="27">
        <f>+'DFIT Computations'!G139</f>
        <v>0</v>
      </c>
      <c r="G138" s="27">
        <f t="shared" si="73"/>
        <v>-16.379999999999995</v>
      </c>
      <c r="H138" s="27">
        <f>+'DFIT Computations'!I139</f>
        <v>0</v>
      </c>
      <c r="I138" s="27">
        <f t="shared" si="74"/>
        <v>-16.379999999999995</v>
      </c>
      <c r="J138" s="51">
        <f t="shared" si="75"/>
        <v>0.99</v>
      </c>
      <c r="K138" s="42">
        <f t="shared" si="76"/>
        <v>-16</v>
      </c>
      <c r="L138" s="18" t="str">
        <f>'DFIT Computations'!M139</f>
        <v>LABOR</v>
      </c>
    </row>
    <row r="139" spans="1:12" x14ac:dyDescent="0.2">
      <c r="A139" s="144">
        <f t="shared" si="57"/>
        <v>119</v>
      </c>
      <c r="B139" s="56" t="s">
        <v>249</v>
      </c>
      <c r="C139" s="61">
        <f>234511.13-1017484.37</f>
        <v>-782973.24</v>
      </c>
      <c r="D139" s="61">
        <v>0</v>
      </c>
      <c r="E139" s="54">
        <f t="shared" si="72"/>
        <v>-782973.24</v>
      </c>
      <c r="F139" s="27">
        <f>+'DFIT Computations'!G140</f>
        <v>0</v>
      </c>
      <c r="G139" s="27">
        <f t="shared" si="73"/>
        <v>-782973.24</v>
      </c>
      <c r="H139" s="27">
        <f>+'DFIT Computations'!I140</f>
        <v>0</v>
      </c>
      <c r="I139" s="27">
        <f t="shared" si="74"/>
        <v>-782973.24</v>
      </c>
      <c r="J139" s="51">
        <f t="shared" si="75"/>
        <v>0.99</v>
      </c>
      <c r="K139" s="42">
        <f t="shared" si="76"/>
        <v>-775144</v>
      </c>
      <c r="L139" s="18" t="str">
        <f>'DFIT Computations'!M140</f>
        <v>LABOR</v>
      </c>
    </row>
    <row r="140" spans="1:12" x14ac:dyDescent="0.2">
      <c r="A140" s="144">
        <f t="shared" si="57"/>
        <v>120</v>
      </c>
      <c r="B140" s="56" t="s">
        <v>281</v>
      </c>
      <c r="C140" s="61">
        <v>0</v>
      </c>
      <c r="D140" s="61">
        <v>0</v>
      </c>
      <c r="E140" s="54">
        <f t="shared" ref="E140" si="77">+C140-D140</f>
        <v>0</v>
      </c>
      <c r="F140" s="27">
        <f>+'DFIT Computations'!G141</f>
        <v>0</v>
      </c>
      <c r="G140" s="27">
        <f t="shared" si="73"/>
        <v>0</v>
      </c>
      <c r="H140" s="27">
        <f>+'DFIT Computations'!I141</f>
        <v>0</v>
      </c>
      <c r="I140" s="27">
        <f t="shared" ref="I140" si="78">+G140+H140</f>
        <v>0</v>
      </c>
      <c r="J140" s="51">
        <f t="shared" si="75"/>
        <v>0.98499999999999999</v>
      </c>
      <c r="K140" s="42">
        <f t="shared" ref="K140" si="79">IF(I140*J140=0,0, ROUND(I140*J140,0))</f>
        <v>0</v>
      </c>
      <c r="L140" s="18" t="str">
        <f>'DFIT Computations'!M141</f>
        <v>TRAN PLT</v>
      </c>
    </row>
    <row r="141" spans="1:12" x14ac:dyDescent="0.2">
      <c r="A141" s="144">
        <f t="shared" si="57"/>
        <v>121</v>
      </c>
      <c r="B141" s="56" t="s">
        <v>250</v>
      </c>
      <c r="C141" s="61">
        <v>0</v>
      </c>
      <c r="D141" s="61">
        <v>0</v>
      </c>
      <c r="E141" s="54">
        <f t="shared" si="72"/>
        <v>0</v>
      </c>
      <c r="F141" s="27">
        <f>+'DFIT Computations'!G142</f>
        <v>0</v>
      </c>
      <c r="G141" s="27">
        <f t="shared" si="73"/>
        <v>0</v>
      </c>
      <c r="H141" s="27">
        <f>+'DFIT Computations'!I142</f>
        <v>0</v>
      </c>
      <c r="I141" s="27">
        <f t="shared" si="74"/>
        <v>0</v>
      </c>
      <c r="J141" s="51">
        <f t="shared" si="75"/>
        <v>0</v>
      </c>
      <c r="K141" s="42">
        <f t="shared" si="76"/>
        <v>0</v>
      </c>
      <c r="L141" s="18" t="str">
        <f>'DFIT Computations'!M142</f>
        <v>NON-APPLIC</v>
      </c>
    </row>
    <row r="142" spans="1:12" x14ac:dyDescent="0.2">
      <c r="A142" s="144">
        <f t="shared" si="57"/>
        <v>122</v>
      </c>
      <c r="B142" s="56" t="s">
        <v>278</v>
      </c>
      <c r="C142" s="61">
        <v>-7332.02</v>
      </c>
      <c r="D142" s="61">
        <v>0</v>
      </c>
      <c r="E142" s="54">
        <f t="shared" si="72"/>
        <v>-7332.02</v>
      </c>
      <c r="F142" s="27">
        <f>+'DFIT Computations'!G143</f>
        <v>0</v>
      </c>
      <c r="G142" s="27">
        <f t="shared" si="73"/>
        <v>-7332.02</v>
      </c>
      <c r="H142" s="27">
        <f>+'DFIT Computations'!I143</f>
        <v>0</v>
      </c>
      <c r="I142" s="27">
        <f t="shared" si="74"/>
        <v>-7332.02</v>
      </c>
      <c r="J142" s="51">
        <f t="shared" si="75"/>
        <v>0.98499999999999999</v>
      </c>
      <c r="K142" s="42">
        <f t="shared" si="76"/>
        <v>-7222</v>
      </c>
      <c r="L142" s="18" t="str">
        <f>'DFIT Computations'!M143</f>
        <v>DEMAND</v>
      </c>
    </row>
    <row r="143" spans="1:12" x14ac:dyDescent="0.2">
      <c r="A143" s="144">
        <f t="shared" si="57"/>
        <v>123</v>
      </c>
      <c r="B143" s="17" t="s">
        <v>322</v>
      </c>
      <c r="C143" s="61">
        <f>774606.42-18962.53</f>
        <v>755643.89</v>
      </c>
      <c r="D143" s="61">
        <v>0</v>
      </c>
      <c r="E143" s="54">
        <f>+C143-D143</f>
        <v>755643.89</v>
      </c>
      <c r="F143" s="27">
        <f>+'DFIT Computations'!G144</f>
        <v>0</v>
      </c>
      <c r="G143" s="27">
        <f>+E143+F143</f>
        <v>755643.89</v>
      </c>
      <c r="H143" s="27">
        <f>+'DFIT Computations'!I144</f>
        <v>0</v>
      </c>
      <c r="I143" s="27">
        <f>+G143+H143</f>
        <v>755643.89</v>
      </c>
      <c r="J143" s="51">
        <f t="shared" si="75"/>
        <v>0.98499999999999999</v>
      </c>
      <c r="K143" s="42">
        <f>IF(I143*J143=0,0, ROUND(I143*J143,0))</f>
        <v>744309</v>
      </c>
      <c r="L143" s="18" t="str">
        <f>'DFIT Computations'!M144</f>
        <v>DEMAND</v>
      </c>
    </row>
    <row r="144" spans="1:12" x14ac:dyDescent="0.2">
      <c r="A144" s="144">
        <f t="shared" si="57"/>
        <v>124</v>
      </c>
      <c r="B144" s="17" t="s">
        <v>344</v>
      </c>
      <c r="C144" s="61">
        <v>4835744.92</v>
      </c>
      <c r="D144" s="61">
        <v>0</v>
      </c>
      <c r="E144" s="54">
        <f t="shared" si="72"/>
        <v>4835744.92</v>
      </c>
      <c r="F144" s="27">
        <f>+'DFIT Computations'!G145</f>
        <v>0</v>
      </c>
      <c r="G144" s="27">
        <f t="shared" si="73"/>
        <v>4835744.92</v>
      </c>
      <c r="H144" s="27">
        <f>+'DFIT Computations'!I145</f>
        <v>0</v>
      </c>
      <c r="I144" s="27">
        <f t="shared" si="74"/>
        <v>4835744.92</v>
      </c>
      <c r="J144" s="51">
        <f t="shared" si="75"/>
        <v>0.98499999999999999</v>
      </c>
      <c r="K144" s="42">
        <f t="shared" si="76"/>
        <v>4763209</v>
      </c>
      <c r="L144" s="18" t="str">
        <f>'DFIT Computations'!M145</f>
        <v>DEMAND</v>
      </c>
    </row>
    <row r="145" spans="1:12" x14ac:dyDescent="0.2">
      <c r="A145" s="144">
        <f t="shared" si="57"/>
        <v>125</v>
      </c>
      <c r="B145" s="17" t="s">
        <v>345</v>
      </c>
      <c r="C145" s="61">
        <f>6920043.04-5433502.51</f>
        <v>1486540.5300000003</v>
      </c>
      <c r="D145" s="61">
        <f>4335093-2850311</f>
        <v>1484782</v>
      </c>
      <c r="E145" s="54">
        <f t="shared" si="72"/>
        <v>1758.5300000002608</v>
      </c>
      <c r="F145" s="27">
        <f>+'DFIT Computations'!G146</f>
        <v>0</v>
      </c>
      <c r="G145" s="27">
        <f t="shared" si="73"/>
        <v>1758.5300000002608</v>
      </c>
      <c r="H145" s="27">
        <f>+'DFIT Computations'!I146</f>
        <v>0</v>
      </c>
      <c r="I145" s="27">
        <f t="shared" si="74"/>
        <v>1758.5300000002608</v>
      </c>
      <c r="J145" s="51">
        <f t="shared" si="75"/>
        <v>0.98499999999999999</v>
      </c>
      <c r="K145" s="42">
        <f t="shared" si="76"/>
        <v>1732</v>
      </c>
      <c r="L145" s="18" t="str">
        <f>'DFIT Computations'!M146</f>
        <v>DEMAND</v>
      </c>
    </row>
    <row r="146" spans="1:12" x14ac:dyDescent="0.2">
      <c r="A146" s="144">
        <f t="shared" si="57"/>
        <v>126</v>
      </c>
      <c r="B146" s="17" t="s">
        <v>325</v>
      </c>
      <c r="C146" s="61">
        <v>0</v>
      </c>
      <c r="D146" s="61">
        <v>0</v>
      </c>
      <c r="E146" s="54">
        <f t="shared" ref="E146:E170" si="80">+C146-D146</f>
        <v>0</v>
      </c>
      <c r="F146" s="27">
        <f>+'DFIT Computations'!G147</f>
        <v>0</v>
      </c>
      <c r="G146" s="27">
        <f t="shared" ref="G146:G170" si="81">+E146+F146</f>
        <v>0</v>
      </c>
      <c r="H146" s="27">
        <f>+'DFIT Computations'!I147</f>
        <v>0</v>
      </c>
      <c r="I146" s="27">
        <f t="shared" ref="I146:I170" si="82">+G146+H146</f>
        <v>0</v>
      </c>
      <c r="J146" s="51">
        <f t="shared" si="75"/>
        <v>1</v>
      </c>
      <c r="K146" s="42">
        <f t="shared" ref="K146:K170" si="83">IF(I146*J146=0,0, ROUND(I146*J146,0))</f>
        <v>0</v>
      </c>
      <c r="L146" s="18" t="str">
        <f>'DFIT Computations'!M147</f>
        <v>SPECIFIC</v>
      </c>
    </row>
    <row r="147" spans="1:12" x14ac:dyDescent="0.2">
      <c r="A147" s="144">
        <f t="shared" si="57"/>
        <v>127</v>
      </c>
      <c r="B147" s="17" t="s">
        <v>326</v>
      </c>
      <c r="C147" s="61">
        <f>-1357330.86</f>
        <v>-1357330.86</v>
      </c>
      <c r="D147" s="61">
        <v>0</v>
      </c>
      <c r="E147" s="54">
        <f t="shared" si="80"/>
        <v>-1357330.86</v>
      </c>
      <c r="F147" s="27">
        <f>+'DFIT Computations'!G148</f>
        <v>0</v>
      </c>
      <c r="G147" s="27">
        <f t="shared" si="81"/>
        <v>-1357330.86</v>
      </c>
      <c r="H147" s="27">
        <f>+'DFIT Computations'!I148</f>
        <v>0</v>
      </c>
      <c r="I147" s="27">
        <f t="shared" si="82"/>
        <v>-1357330.86</v>
      </c>
      <c r="J147" s="51">
        <f>'CFIT Schedules'!J147</f>
        <v>1</v>
      </c>
      <c r="K147" s="42">
        <f t="shared" si="83"/>
        <v>-1357331</v>
      </c>
      <c r="L147" s="18" t="str">
        <f>'DFIT Computations'!M148</f>
        <v>SPECIFIC</v>
      </c>
    </row>
    <row r="148" spans="1:12" x14ac:dyDescent="0.2">
      <c r="A148" s="144">
        <f t="shared" si="57"/>
        <v>128</v>
      </c>
      <c r="B148" s="17" t="s">
        <v>327</v>
      </c>
      <c r="C148" s="61">
        <f>41939.85-2478.51</f>
        <v>39461.339999999997</v>
      </c>
      <c r="D148" s="61">
        <v>0</v>
      </c>
      <c r="E148" s="54">
        <f t="shared" si="80"/>
        <v>39461.339999999997</v>
      </c>
      <c r="F148" s="27">
        <f>+'DFIT Computations'!G149</f>
        <v>0</v>
      </c>
      <c r="G148" s="27">
        <f t="shared" si="81"/>
        <v>39461.339999999997</v>
      </c>
      <c r="H148" s="27">
        <f>+'DFIT Computations'!I149</f>
        <v>0</v>
      </c>
      <c r="I148" s="27">
        <f t="shared" si="82"/>
        <v>39461.339999999997</v>
      </c>
      <c r="J148" s="51">
        <f t="shared" ref="J148:J153" si="84">VLOOKUP(L148,$C$306:$D$320,2,FALSE)</f>
        <v>0.98599999999999999</v>
      </c>
      <c r="K148" s="42">
        <f t="shared" si="83"/>
        <v>38909</v>
      </c>
      <c r="L148" s="18" t="str">
        <f>'DFIT Computations'!M149</f>
        <v>ENERGY</v>
      </c>
    </row>
    <row r="149" spans="1:12" x14ac:dyDescent="0.2">
      <c r="A149" s="144">
        <f t="shared" si="57"/>
        <v>129</v>
      </c>
      <c r="B149" s="17" t="s">
        <v>328</v>
      </c>
      <c r="C149" s="61">
        <v>0</v>
      </c>
      <c r="D149" s="61">
        <v>0</v>
      </c>
      <c r="E149" s="54">
        <f t="shared" si="80"/>
        <v>0</v>
      </c>
      <c r="F149" s="27">
        <f>+'DFIT Computations'!G150</f>
        <v>0</v>
      </c>
      <c r="G149" s="27">
        <f t="shared" si="81"/>
        <v>0</v>
      </c>
      <c r="H149" s="27">
        <f>+'DFIT Computations'!I150</f>
        <v>0</v>
      </c>
      <c r="I149" s="27">
        <f t="shared" si="82"/>
        <v>0</v>
      </c>
      <c r="J149" s="51">
        <f t="shared" si="84"/>
        <v>1</v>
      </c>
      <c r="K149" s="42">
        <f t="shared" si="83"/>
        <v>0</v>
      </c>
      <c r="L149" s="18" t="str">
        <f>'DFIT Computations'!M150</f>
        <v>SPECIFIC</v>
      </c>
    </row>
    <row r="150" spans="1:12" x14ac:dyDescent="0.2">
      <c r="A150" s="144">
        <f t="shared" si="57"/>
        <v>130</v>
      </c>
      <c r="B150" s="17" t="s">
        <v>329</v>
      </c>
      <c r="C150" s="61">
        <f>847316.15-909605.97</f>
        <v>-62289.819999999949</v>
      </c>
      <c r="D150" s="61">
        <v>0</v>
      </c>
      <c r="E150" s="54">
        <f t="shared" si="80"/>
        <v>-62289.819999999949</v>
      </c>
      <c r="F150" s="27">
        <f>+'DFIT Computations'!G151</f>
        <v>0</v>
      </c>
      <c r="G150" s="27">
        <f t="shared" si="81"/>
        <v>-62289.819999999949</v>
      </c>
      <c r="H150" s="27">
        <f>+'DFIT Computations'!I151</f>
        <v>0</v>
      </c>
      <c r="I150" s="27">
        <f t="shared" si="82"/>
        <v>-62289.819999999949</v>
      </c>
      <c r="J150" s="51">
        <f t="shared" si="84"/>
        <v>0.98499999999999999</v>
      </c>
      <c r="K150" s="42">
        <f t="shared" si="83"/>
        <v>-61355</v>
      </c>
      <c r="L150" s="18" t="str">
        <f>'DFIT Computations'!M151</f>
        <v>GROSS PLT</v>
      </c>
    </row>
    <row r="151" spans="1:12" x14ac:dyDescent="0.2">
      <c r="A151" s="144">
        <f t="shared" si="57"/>
        <v>131</v>
      </c>
      <c r="B151" s="17" t="s">
        <v>330</v>
      </c>
      <c r="C151" s="61">
        <v>0</v>
      </c>
      <c r="D151" s="61">
        <v>0</v>
      </c>
      <c r="E151" s="54">
        <f t="shared" si="80"/>
        <v>0</v>
      </c>
      <c r="F151" s="27">
        <f>+'DFIT Computations'!G152</f>
        <v>0</v>
      </c>
      <c r="G151" s="27">
        <f t="shared" si="81"/>
        <v>0</v>
      </c>
      <c r="H151" s="27">
        <f>+'DFIT Computations'!I152</f>
        <v>0</v>
      </c>
      <c r="I151" s="27">
        <f t="shared" si="82"/>
        <v>0</v>
      </c>
      <c r="J151" s="51">
        <f t="shared" si="84"/>
        <v>0</v>
      </c>
      <c r="K151" s="42">
        <f t="shared" si="83"/>
        <v>0</v>
      </c>
      <c r="L151" s="18" t="str">
        <f>'DFIT Computations'!M152</f>
        <v>NON-APPLIC</v>
      </c>
    </row>
    <row r="152" spans="1:12" x14ac:dyDescent="0.2">
      <c r="A152" s="144">
        <f t="shared" si="57"/>
        <v>132</v>
      </c>
      <c r="B152" s="17" t="s">
        <v>331</v>
      </c>
      <c r="C152" s="61">
        <v>0</v>
      </c>
      <c r="D152" s="61">
        <v>0</v>
      </c>
      <c r="E152" s="54">
        <f t="shared" si="80"/>
        <v>0</v>
      </c>
      <c r="F152" s="27">
        <f>+'DFIT Computations'!G153</f>
        <v>0</v>
      </c>
      <c r="G152" s="27">
        <f t="shared" si="81"/>
        <v>0</v>
      </c>
      <c r="H152" s="27">
        <f>+'DFIT Computations'!I153</f>
        <v>0</v>
      </c>
      <c r="I152" s="27">
        <f t="shared" si="82"/>
        <v>0</v>
      </c>
      <c r="J152" s="51">
        <f t="shared" si="84"/>
        <v>0</v>
      </c>
      <c r="K152" s="42">
        <f t="shared" si="83"/>
        <v>0</v>
      </c>
      <c r="L152" s="18" t="str">
        <f>'DFIT Computations'!M153</f>
        <v>NON-APPLIC</v>
      </c>
    </row>
    <row r="153" spans="1:12" x14ac:dyDescent="0.2">
      <c r="A153" s="144">
        <f t="shared" si="57"/>
        <v>133</v>
      </c>
      <c r="B153" s="17" t="s">
        <v>332</v>
      </c>
      <c r="C153" s="61">
        <v>0</v>
      </c>
      <c r="D153" s="61">
        <v>0</v>
      </c>
      <c r="E153" s="54">
        <f t="shared" si="80"/>
        <v>0</v>
      </c>
      <c r="F153" s="27">
        <f>+'DFIT Computations'!G154</f>
        <v>0</v>
      </c>
      <c r="G153" s="27">
        <f t="shared" si="81"/>
        <v>0</v>
      </c>
      <c r="H153" s="27">
        <f>+'DFIT Computations'!I154</f>
        <v>0</v>
      </c>
      <c r="I153" s="27">
        <f t="shared" si="82"/>
        <v>0</v>
      </c>
      <c r="J153" s="51">
        <f t="shared" si="84"/>
        <v>0.98499999999999999</v>
      </c>
      <c r="K153" s="42">
        <f t="shared" si="83"/>
        <v>0</v>
      </c>
      <c r="L153" s="18" t="str">
        <f>'DFIT Computations'!M154</f>
        <v>GROSS PLT</v>
      </c>
    </row>
    <row r="154" spans="1:12" x14ac:dyDescent="0.2">
      <c r="A154" s="144">
        <f t="shared" si="57"/>
        <v>134</v>
      </c>
      <c r="B154" s="17" t="s">
        <v>333</v>
      </c>
      <c r="C154" s="61">
        <v>0</v>
      </c>
      <c r="D154" s="61">
        <v>0</v>
      </c>
      <c r="E154" s="54">
        <f t="shared" si="80"/>
        <v>0</v>
      </c>
      <c r="F154" s="27">
        <f>+'DFIT Computations'!G155</f>
        <v>0</v>
      </c>
      <c r="G154" s="27">
        <f t="shared" si="81"/>
        <v>0</v>
      </c>
      <c r="H154" s="27">
        <f>+'DFIT Computations'!I155</f>
        <v>0</v>
      </c>
      <c r="I154" s="27">
        <f t="shared" si="82"/>
        <v>0</v>
      </c>
      <c r="J154" s="51">
        <f>'CFIT Schedules'!J154</f>
        <v>0.98565999999999998</v>
      </c>
      <c r="K154" s="42">
        <f t="shared" si="83"/>
        <v>0</v>
      </c>
      <c r="L154" s="18" t="str">
        <f>'DFIT Computations'!M155</f>
        <v>SPECIFIC</v>
      </c>
    </row>
    <row r="155" spans="1:12" x14ac:dyDescent="0.2">
      <c r="A155" s="144">
        <f t="shared" si="57"/>
        <v>135</v>
      </c>
      <c r="B155" s="17" t="s">
        <v>334</v>
      </c>
      <c r="C155" s="61">
        <v>0</v>
      </c>
      <c r="D155" s="61">
        <v>0</v>
      </c>
      <c r="E155" s="54">
        <f t="shared" si="80"/>
        <v>0</v>
      </c>
      <c r="F155" s="27">
        <f>+'DFIT Computations'!G156</f>
        <v>0</v>
      </c>
      <c r="G155" s="27">
        <f t="shared" si="81"/>
        <v>0</v>
      </c>
      <c r="H155" s="27">
        <f>+'DFIT Computations'!I156</f>
        <v>0</v>
      </c>
      <c r="I155" s="27">
        <f t="shared" si="82"/>
        <v>0</v>
      </c>
      <c r="J155" s="51">
        <f t="shared" ref="J155:J170" si="85">VLOOKUP(L155,$C$306:$D$320,2,FALSE)</f>
        <v>0.98499999999999999</v>
      </c>
      <c r="K155" s="42">
        <f t="shared" si="83"/>
        <v>0</v>
      </c>
      <c r="L155" s="18" t="str">
        <f>'DFIT Computations'!M156</f>
        <v>GROSS PLT</v>
      </c>
    </row>
    <row r="156" spans="1:12" x14ac:dyDescent="0.2">
      <c r="A156" s="144">
        <f t="shared" si="57"/>
        <v>136</v>
      </c>
      <c r="B156" s="17" t="s">
        <v>335</v>
      </c>
      <c r="C156" s="61">
        <v>0</v>
      </c>
      <c r="D156" s="61">
        <v>0</v>
      </c>
      <c r="E156" s="54">
        <f t="shared" si="80"/>
        <v>0</v>
      </c>
      <c r="F156" s="27">
        <f>+'DFIT Computations'!G157</f>
        <v>0</v>
      </c>
      <c r="G156" s="27">
        <f t="shared" si="81"/>
        <v>0</v>
      </c>
      <c r="H156" s="27">
        <f>+'DFIT Computations'!I157</f>
        <v>0</v>
      </c>
      <c r="I156" s="27">
        <f t="shared" si="82"/>
        <v>0</v>
      </c>
      <c r="J156" s="51">
        <f t="shared" si="85"/>
        <v>0</v>
      </c>
      <c r="K156" s="42">
        <f t="shared" si="83"/>
        <v>0</v>
      </c>
      <c r="L156" s="18" t="str">
        <f>'DFIT Computations'!M157</f>
        <v>NON-APPLIC</v>
      </c>
    </row>
    <row r="157" spans="1:12" x14ac:dyDescent="0.2">
      <c r="A157" s="144">
        <f t="shared" si="57"/>
        <v>137</v>
      </c>
      <c r="B157" s="17" t="s">
        <v>336</v>
      </c>
      <c r="C157" s="61">
        <v>0</v>
      </c>
      <c r="D157" s="61">
        <v>0</v>
      </c>
      <c r="E157" s="54">
        <f t="shared" si="80"/>
        <v>0</v>
      </c>
      <c r="F157" s="27">
        <f>+'DFIT Computations'!G158</f>
        <v>0</v>
      </c>
      <c r="G157" s="27">
        <f t="shared" si="81"/>
        <v>0</v>
      </c>
      <c r="H157" s="27">
        <f>+'DFIT Computations'!I158</f>
        <v>0</v>
      </c>
      <c r="I157" s="27">
        <f t="shared" si="82"/>
        <v>0</v>
      </c>
      <c r="J157" s="51">
        <f t="shared" si="85"/>
        <v>0</v>
      </c>
      <c r="K157" s="42">
        <f t="shared" si="83"/>
        <v>0</v>
      </c>
      <c r="L157" s="18" t="str">
        <f>'DFIT Computations'!M158</f>
        <v>NON-APPLIC</v>
      </c>
    </row>
    <row r="158" spans="1:12" x14ac:dyDescent="0.2">
      <c r="A158" s="144">
        <f t="shared" si="57"/>
        <v>138</v>
      </c>
      <c r="B158" s="17" t="s">
        <v>337</v>
      </c>
      <c r="C158" s="61">
        <f>51.8-4670.42</f>
        <v>-4618.62</v>
      </c>
      <c r="D158" s="61">
        <v>0</v>
      </c>
      <c r="E158" s="54">
        <f t="shared" si="80"/>
        <v>-4618.62</v>
      </c>
      <c r="F158" s="27">
        <f>+'DFIT Computations'!G159</f>
        <v>0</v>
      </c>
      <c r="G158" s="27">
        <f t="shared" si="81"/>
        <v>-4618.62</v>
      </c>
      <c r="H158" s="27">
        <f>+'DFIT Computations'!I159</f>
        <v>0</v>
      </c>
      <c r="I158" s="27">
        <f t="shared" si="82"/>
        <v>-4618.62</v>
      </c>
      <c r="J158" s="51">
        <f t="shared" si="85"/>
        <v>0</v>
      </c>
      <c r="K158" s="42">
        <f t="shared" si="83"/>
        <v>0</v>
      </c>
      <c r="L158" s="18" t="str">
        <f>'DFIT Computations'!M159</f>
        <v>NON-APPLIC</v>
      </c>
    </row>
    <row r="159" spans="1:12" x14ac:dyDescent="0.2">
      <c r="A159" s="144">
        <f t="shared" ref="A159:A222" si="86">A158+1</f>
        <v>139</v>
      </c>
      <c r="B159" s="17" t="s">
        <v>338</v>
      </c>
      <c r="C159" s="61">
        <f>9813.47-103.17</f>
        <v>9710.2999999999993</v>
      </c>
      <c r="D159" s="61">
        <v>0</v>
      </c>
      <c r="E159" s="54">
        <f t="shared" si="80"/>
        <v>9710.2999999999993</v>
      </c>
      <c r="F159" s="27">
        <f>+'DFIT Computations'!G160</f>
        <v>0</v>
      </c>
      <c r="G159" s="27">
        <f t="shared" si="81"/>
        <v>9710.2999999999993</v>
      </c>
      <c r="H159" s="27">
        <f>+'DFIT Computations'!I160</f>
        <v>0</v>
      </c>
      <c r="I159" s="27">
        <f t="shared" si="82"/>
        <v>9710.2999999999993</v>
      </c>
      <c r="J159" s="51">
        <f t="shared" si="85"/>
        <v>0</v>
      </c>
      <c r="K159" s="42">
        <f t="shared" si="83"/>
        <v>0</v>
      </c>
      <c r="L159" s="18" t="str">
        <f>'DFIT Computations'!M160</f>
        <v>NON-APPLIC</v>
      </c>
    </row>
    <row r="160" spans="1:12" x14ac:dyDescent="0.2">
      <c r="A160" s="144">
        <f t="shared" si="86"/>
        <v>140</v>
      </c>
      <c r="B160" s="17" t="s">
        <v>339</v>
      </c>
      <c r="C160" s="61">
        <f>31601.8-311.8</f>
        <v>31290</v>
      </c>
      <c r="D160" s="61">
        <v>0</v>
      </c>
      <c r="E160" s="54">
        <f t="shared" si="80"/>
        <v>31290</v>
      </c>
      <c r="F160" s="27">
        <f>+'DFIT Computations'!G161</f>
        <v>0</v>
      </c>
      <c r="G160" s="27">
        <f t="shared" si="81"/>
        <v>31290</v>
      </c>
      <c r="H160" s="27">
        <f>+'DFIT Computations'!I161</f>
        <v>0</v>
      </c>
      <c r="I160" s="27">
        <f t="shared" si="82"/>
        <v>31290</v>
      </c>
      <c r="J160" s="51">
        <f t="shared" si="85"/>
        <v>1</v>
      </c>
      <c r="K160" s="42">
        <f t="shared" si="83"/>
        <v>31290</v>
      </c>
      <c r="L160" s="18" t="str">
        <f>'DFIT Computations'!M161</f>
        <v>SPECIFIC</v>
      </c>
    </row>
    <row r="161" spans="1:12" x14ac:dyDescent="0.2">
      <c r="A161" s="144">
        <f t="shared" si="86"/>
        <v>141</v>
      </c>
      <c r="B161" s="17" t="s">
        <v>340</v>
      </c>
      <c r="C161" s="61">
        <f>24471.8-5935.57</f>
        <v>18536.23</v>
      </c>
      <c r="D161" s="61">
        <v>0</v>
      </c>
      <c r="E161" s="54">
        <f t="shared" si="80"/>
        <v>18536.23</v>
      </c>
      <c r="F161" s="27">
        <f>+'DFIT Computations'!G162</f>
        <v>0</v>
      </c>
      <c r="G161" s="27">
        <f t="shared" si="81"/>
        <v>18536.23</v>
      </c>
      <c r="H161" s="27">
        <f>+'DFIT Computations'!I162</f>
        <v>0</v>
      </c>
      <c r="I161" s="27">
        <f t="shared" si="82"/>
        <v>18536.23</v>
      </c>
      <c r="J161" s="51">
        <f t="shared" si="85"/>
        <v>1</v>
      </c>
      <c r="K161" s="42">
        <f t="shared" si="83"/>
        <v>18536</v>
      </c>
      <c r="L161" s="18" t="str">
        <f>'DFIT Computations'!M162</f>
        <v>SPECIFIC</v>
      </c>
    </row>
    <row r="162" spans="1:12" x14ac:dyDescent="0.2">
      <c r="A162" s="144">
        <f t="shared" si="86"/>
        <v>142</v>
      </c>
      <c r="B162" s="17" t="s">
        <v>341</v>
      </c>
      <c r="C162" s="61">
        <v>0</v>
      </c>
      <c r="D162" s="61">
        <v>0</v>
      </c>
      <c r="E162" s="54">
        <f t="shared" si="80"/>
        <v>0</v>
      </c>
      <c r="F162" s="27">
        <f>+'DFIT Computations'!G163</f>
        <v>0</v>
      </c>
      <c r="G162" s="27">
        <f t="shared" si="81"/>
        <v>0</v>
      </c>
      <c r="H162" s="27">
        <f>+'DFIT Computations'!I163</f>
        <v>0</v>
      </c>
      <c r="I162" s="27">
        <f t="shared" si="82"/>
        <v>0</v>
      </c>
      <c r="J162" s="51">
        <f t="shared" si="85"/>
        <v>1</v>
      </c>
      <c r="K162" s="42">
        <f t="shared" si="83"/>
        <v>0</v>
      </c>
      <c r="L162" s="18" t="str">
        <f>'DFIT Computations'!M163</f>
        <v>SPECIFIC</v>
      </c>
    </row>
    <row r="163" spans="1:12" x14ac:dyDescent="0.2">
      <c r="A163" s="144">
        <f t="shared" si="86"/>
        <v>143</v>
      </c>
      <c r="B163" s="17" t="s">
        <v>342</v>
      </c>
      <c r="C163" s="61">
        <v>0</v>
      </c>
      <c r="D163" s="61">
        <v>0</v>
      </c>
      <c r="E163" s="54">
        <f t="shared" si="80"/>
        <v>0</v>
      </c>
      <c r="F163" s="27">
        <f>+'DFIT Computations'!G164</f>
        <v>0</v>
      </c>
      <c r="G163" s="27">
        <f t="shared" si="81"/>
        <v>0</v>
      </c>
      <c r="H163" s="27">
        <f>+'DFIT Computations'!I164</f>
        <v>0</v>
      </c>
      <c r="I163" s="27">
        <f t="shared" si="82"/>
        <v>0</v>
      </c>
      <c r="J163" s="51">
        <f t="shared" si="85"/>
        <v>1</v>
      </c>
      <c r="K163" s="42">
        <f t="shared" si="83"/>
        <v>0</v>
      </c>
      <c r="L163" s="18" t="str">
        <f>'DFIT Computations'!M164</f>
        <v>SPECIFIC</v>
      </c>
    </row>
    <row r="164" spans="1:12" x14ac:dyDescent="0.2">
      <c r="A164" s="144">
        <f t="shared" si="86"/>
        <v>144</v>
      </c>
      <c r="B164" s="122" t="s">
        <v>368</v>
      </c>
      <c r="C164" s="61">
        <v>-131925.28</v>
      </c>
      <c r="D164" s="61">
        <v>0</v>
      </c>
      <c r="E164" s="54">
        <f t="shared" si="80"/>
        <v>-131925.28</v>
      </c>
      <c r="F164" s="27">
        <f>+'DFIT Computations'!G165</f>
        <v>0</v>
      </c>
      <c r="G164" s="27">
        <f t="shared" si="81"/>
        <v>-131925.28</v>
      </c>
      <c r="H164" s="27">
        <f>+'DFIT Computations'!I165</f>
        <v>0</v>
      </c>
      <c r="I164" s="27">
        <f t="shared" si="82"/>
        <v>-131925.28</v>
      </c>
      <c r="J164" s="51">
        <f t="shared" si="85"/>
        <v>0.98499999999999999</v>
      </c>
      <c r="K164" s="42">
        <f t="shared" ref="K164:K169" si="87">IF(I164*J164=0,0, ROUND(I164*J164,0))</f>
        <v>-129946</v>
      </c>
      <c r="L164" s="138" t="str">
        <f>'DFIT Computations'!M165</f>
        <v>GROSS PLT</v>
      </c>
    </row>
    <row r="165" spans="1:12" x14ac:dyDescent="0.2">
      <c r="A165" s="144">
        <f t="shared" si="86"/>
        <v>145</v>
      </c>
      <c r="B165" s="122" t="s">
        <v>369</v>
      </c>
      <c r="C165" s="61">
        <v>276481.71000000002</v>
      </c>
      <c r="D165" s="61">
        <v>0</v>
      </c>
      <c r="E165" s="54">
        <f t="shared" si="80"/>
        <v>276481.71000000002</v>
      </c>
      <c r="F165" s="27">
        <f>+'DFIT Computations'!G166</f>
        <v>0</v>
      </c>
      <c r="G165" s="27">
        <f t="shared" si="81"/>
        <v>276481.71000000002</v>
      </c>
      <c r="H165" s="27">
        <f>+'DFIT Computations'!I166</f>
        <v>0</v>
      </c>
      <c r="I165" s="27">
        <f t="shared" si="82"/>
        <v>276481.71000000002</v>
      </c>
      <c r="J165" s="51">
        <f t="shared" si="85"/>
        <v>0.98499999999999999</v>
      </c>
      <c r="K165" s="42">
        <f t="shared" si="87"/>
        <v>272334</v>
      </c>
      <c r="L165" s="138" t="str">
        <f>'DFIT Computations'!M166</f>
        <v>GROSS PLT</v>
      </c>
    </row>
    <row r="166" spans="1:12" x14ac:dyDescent="0.2">
      <c r="A166" s="144">
        <f t="shared" si="86"/>
        <v>146</v>
      </c>
      <c r="B166" s="122" t="s">
        <v>370</v>
      </c>
      <c r="C166" s="61">
        <v>3150000</v>
      </c>
      <c r="D166" s="61">
        <v>0</v>
      </c>
      <c r="E166" s="54">
        <f t="shared" si="80"/>
        <v>3150000</v>
      </c>
      <c r="F166" s="27">
        <f>+'DFIT Computations'!G167</f>
        <v>0</v>
      </c>
      <c r="G166" s="27">
        <f t="shared" si="81"/>
        <v>3150000</v>
      </c>
      <c r="H166" s="27">
        <f>+'DFIT Computations'!I167</f>
        <v>0</v>
      </c>
      <c r="I166" s="27">
        <f t="shared" si="82"/>
        <v>3150000</v>
      </c>
      <c r="J166" s="51">
        <f t="shared" si="85"/>
        <v>0.98499999999999999</v>
      </c>
      <c r="K166" s="42">
        <f t="shared" si="87"/>
        <v>3102750</v>
      </c>
      <c r="L166" s="138" t="str">
        <f>'DFIT Computations'!M167</f>
        <v>GROSS PLT</v>
      </c>
    </row>
    <row r="167" spans="1:12" x14ac:dyDescent="0.2">
      <c r="A167" s="144">
        <f t="shared" si="86"/>
        <v>147</v>
      </c>
      <c r="B167" s="122" t="s">
        <v>371</v>
      </c>
      <c r="C167" s="61">
        <v>0</v>
      </c>
      <c r="D167" s="61">
        <v>0</v>
      </c>
      <c r="E167" s="54">
        <f t="shared" si="80"/>
        <v>0</v>
      </c>
      <c r="F167" s="27">
        <f>+'DFIT Computations'!G168</f>
        <v>0</v>
      </c>
      <c r="G167" s="27">
        <f t="shared" si="81"/>
        <v>0</v>
      </c>
      <c r="H167" s="27">
        <f>+'DFIT Computations'!I168</f>
        <v>0</v>
      </c>
      <c r="I167" s="27">
        <f t="shared" si="82"/>
        <v>0</v>
      </c>
      <c r="J167" s="51">
        <f t="shared" si="85"/>
        <v>0.98499999999999999</v>
      </c>
      <c r="K167" s="42">
        <f t="shared" si="87"/>
        <v>0</v>
      </c>
      <c r="L167" s="138" t="str">
        <f>'DFIT Computations'!M168</f>
        <v>GROSS PLT</v>
      </c>
    </row>
    <row r="168" spans="1:12" x14ac:dyDescent="0.2">
      <c r="A168" s="144">
        <f t="shared" si="86"/>
        <v>148</v>
      </c>
      <c r="B168" s="122" t="s">
        <v>372</v>
      </c>
      <c r="C168" s="61">
        <v>56388.52</v>
      </c>
      <c r="D168" s="61">
        <v>0</v>
      </c>
      <c r="E168" s="54">
        <f t="shared" si="80"/>
        <v>56388.52</v>
      </c>
      <c r="F168" s="27">
        <f>+'DFIT Computations'!G169</f>
        <v>0</v>
      </c>
      <c r="G168" s="27">
        <f t="shared" si="81"/>
        <v>56388.52</v>
      </c>
      <c r="H168" s="27">
        <f>+'DFIT Computations'!I169</f>
        <v>0</v>
      </c>
      <c r="I168" s="27">
        <f t="shared" si="82"/>
        <v>56388.52</v>
      </c>
      <c r="J168" s="51">
        <f t="shared" si="85"/>
        <v>0.98499999999999999</v>
      </c>
      <c r="K168" s="42">
        <f t="shared" si="87"/>
        <v>55543</v>
      </c>
      <c r="L168" s="138" t="str">
        <f>'DFIT Computations'!M169</f>
        <v>GROSS PLT</v>
      </c>
    </row>
    <row r="169" spans="1:12" x14ac:dyDescent="0.2">
      <c r="A169" s="144">
        <f t="shared" si="86"/>
        <v>149</v>
      </c>
      <c r="B169" s="122" t="s">
        <v>373</v>
      </c>
      <c r="C169" s="61">
        <f>-48132.66</f>
        <v>-48132.66</v>
      </c>
      <c r="D169" s="61">
        <v>0</v>
      </c>
      <c r="E169" s="54">
        <f t="shared" si="80"/>
        <v>-48132.66</v>
      </c>
      <c r="F169" s="27">
        <f>+'DFIT Computations'!G170</f>
        <v>0</v>
      </c>
      <c r="G169" s="27">
        <f t="shared" si="81"/>
        <v>-48132.66</v>
      </c>
      <c r="H169" s="27">
        <f>+'DFIT Computations'!I170</f>
        <v>0</v>
      </c>
      <c r="I169" s="27">
        <f t="shared" si="82"/>
        <v>-48132.66</v>
      </c>
      <c r="J169" s="51">
        <f t="shared" si="85"/>
        <v>0.98499999999999999</v>
      </c>
      <c r="K169" s="42">
        <f t="shared" si="87"/>
        <v>-47411</v>
      </c>
      <c r="L169" s="138" t="str">
        <f>'DFIT Computations'!M170</f>
        <v>GROSS PLT</v>
      </c>
    </row>
    <row r="170" spans="1:12" x14ac:dyDescent="0.2">
      <c r="A170" s="144">
        <f t="shared" si="86"/>
        <v>150</v>
      </c>
      <c r="B170" s="17" t="s">
        <v>343</v>
      </c>
      <c r="C170" s="61">
        <v>0</v>
      </c>
      <c r="D170" s="61">
        <v>0</v>
      </c>
      <c r="E170" s="54">
        <f t="shared" si="80"/>
        <v>0</v>
      </c>
      <c r="F170" s="27">
        <f>+'DFIT Computations'!G171</f>
        <v>0</v>
      </c>
      <c r="G170" s="27">
        <f t="shared" si="81"/>
        <v>0</v>
      </c>
      <c r="H170" s="27">
        <f>+'DFIT Computations'!I171</f>
        <v>0</v>
      </c>
      <c r="I170" s="27">
        <f t="shared" si="82"/>
        <v>0</v>
      </c>
      <c r="J170" s="51">
        <f t="shared" si="85"/>
        <v>0.98499999999999999</v>
      </c>
      <c r="K170" s="42">
        <f t="shared" si="83"/>
        <v>0</v>
      </c>
      <c r="L170" s="18" t="str">
        <f>'DFIT Computations'!M171</f>
        <v>DEMAND</v>
      </c>
    </row>
    <row r="171" spans="1:12" x14ac:dyDescent="0.2">
      <c r="A171" s="144">
        <f t="shared" si="86"/>
        <v>151</v>
      </c>
      <c r="B171" s="56"/>
      <c r="C171" s="61"/>
      <c r="D171" s="61"/>
      <c r="E171" s="54"/>
      <c r="F171" s="27"/>
      <c r="G171" s="27"/>
      <c r="H171" s="27"/>
      <c r="I171" s="27"/>
      <c r="J171" s="51"/>
      <c r="K171" s="42"/>
      <c r="L171" s="18"/>
    </row>
    <row r="172" spans="1:12" x14ac:dyDescent="0.2">
      <c r="A172" s="144">
        <f t="shared" si="86"/>
        <v>152</v>
      </c>
      <c r="B172" s="75" t="s">
        <v>63</v>
      </c>
      <c r="C172" s="78">
        <f t="shared" ref="C172:I172" si="88">SUM(C128:C171)</f>
        <v>7908098.7899999991</v>
      </c>
      <c r="D172" s="78">
        <f t="shared" si="88"/>
        <v>1487425</v>
      </c>
      <c r="E172" s="78">
        <f t="shared" si="88"/>
        <v>6420673.7899999991</v>
      </c>
      <c r="F172" s="78">
        <f t="shared" si="88"/>
        <v>0</v>
      </c>
      <c r="G172" s="78">
        <f t="shared" si="88"/>
        <v>6420673.7899999991</v>
      </c>
      <c r="H172" s="78">
        <f t="shared" si="88"/>
        <v>0</v>
      </c>
      <c r="I172" s="78">
        <f t="shared" si="88"/>
        <v>6420673.7899999991</v>
      </c>
      <c r="J172" s="24"/>
      <c r="K172" s="78">
        <f>SUM(K128:K171)</f>
        <v>6295916</v>
      </c>
    </row>
    <row r="173" spans="1:12" x14ac:dyDescent="0.2">
      <c r="A173" s="144">
        <f t="shared" si="86"/>
        <v>153</v>
      </c>
      <c r="B173" s="17" t="s">
        <v>0</v>
      </c>
      <c r="C173" s="36"/>
      <c r="D173" s="38"/>
      <c r="E173" s="38"/>
      <c r="F173" s="38"/>
      <c r="G173" s="38"/>
      <c r="H173" s="38"/>
      <c r="I173" s="38"/>
      <c r="J173" s="81"/>
    </row>
    <row r="174" spans="1:12" x14ac:dyDescent="0.2">
      <c r="A174" s="144">
        <f t="shared" si="86"/>
        <v>154</v>
      </c>
      <c r="B174" s="75" t="s">
        <v>64</v>
      </c>
      <c r="C174" s="36"/>
      <c r="D174" s="38"/>
      <c r="E174" s="38"/>
      <c r="F174" s="38"/>
      <c r="G174" s="38"/>
      <c r="H174" s="38"/>
      <c r="I174" s="38"/>
      <c r="J174" s="81"/>
    </row>
    <row r="175" spans="1:12" x14ac:dyDescent="0.2">
      <c r="A175" s="144">
        <f t="shared" si="86"/>
        <v>155</v>
      </c>
      <c r="B175" s="17" t="s">
        <v>355</v>
      </c>
      <c r="C175" s="61">
        <v>0</v>
      </c>
      <c r="D175" s="61">
        <v>0</v>
      </c>
      <c r="E175" s="54">
        <f>+C175-D175</f>
        <v>0</v>
      </c>
      <c r="F175" s="27">
        <f>+'DFIT Computations'!G176</f>
        <v>0</v>
      </c>
      <c r="G175" s="27">
        <f>+E175+F175</f>
        <v>0</v>
      </c>
      <c r="H175" s="27">
        <f>+'DFIT Computations'!I176</f>
        <v>0</v>
      </c>
      <c r="I175" s="27">
        <f>+G175+H175</f>
        <v>0</v>
      </c>
      <c r="J175" s="51">
        <f>VLOOKUP(L175,$C$306:$D$320,2,FALSE)</f>
        <v>0</v>
      </c>
      <c r="K175" s="42">
        <f>IF(I175*J175=0,0, ROUND(I175*J175,0))</f>
        <v>0</v>
      </c>
      <c r="L175" s="18" t="str">
        <f>'DFIT Computations'!M176</f>
        <v>NON-APPLIC</v>
      </c>
    </row>
    <row r="176" spans="1:12" x14ac:dyDescent="0.2">
      <c r="A176" s="144">
        <f t="shared" si="86"/>
        <v>156</v>
      </c>
      <c r="B176" s="75" t="s">
        <v>65</v>
      </c>
      <c r="C176" s="78">
        <f t="shared" ref="C176:I176" si="89">+C175</f>
        <v>0</v>
      </c>
      <c r="D176" s="78">
        <f t="shared" si="89"/>
        <v>0</v>
      </c>
      <c r="E176" s="78">
        <f t="shared" si="89"/>
        <v>0</v>
      </c>
      <c r="F176" s="78">
        <f t="shared" ref="F176" si="90">+F175</f>
        <v>0</v>
      </c>
      <c r="G176" s="78">
        <f t="shared" si="89"/>
        <v>0</v>
      </c>
      <c r="H176" s="78">
        <f t="shared" si="89"/>
        <v>0</v>
      </c>
      <c r="I176" s="78">
        <f t="shared" si="89"/>
        <v>0</v>
      </c>
      <c r="J176" s="24"/>
      <c r="K176" s="99">
        <f>+K175</f>
        <v>0</v>
      </c>
    </row>
    <row r="177" spans="1:12" x14ac:dyDescent="0.2">
      <c r="A177" s="144">
        <f t="shared" si="86"/>
        <v>157</v>
      </c>
      <c r="B177" s="17" t="s">
        <v>0</v>
      </c>
      <c r="C177" s="36"/>
      <c r="D177" s="82"/>
      <c r="E177" s="82"/>
      <c r="F177" s="41"/>
      <c r="G177" s="41"/>
      <c r="H177" s="41"/>
      <c r="I177" s="41"/>
      <c r="J177" s="81"/>
    </row>
    <row r="178" spans="1:12" x14ac:dyDescent="0.2">
      <c r="A178" s="144">
        <f t="shared" si="86"/>
        <v>158</v>
      </c>
      <c r="B178" s="75" t="s">
        <v>66</v>
      </c>
      <c r="C178" s="36"/>
      <c r="D178" s="82"/>
      <c r="E178" s="82"/>
      <c r="F178" s="41"/>
      <c r="G178" s="41"/>
      <c r="H178" s="41"/>
      <c r="I178" s="41"/>
      <c r="J178" s="81"/>
    </row>
    <row r="179" spans="1:12" x14ac:dyDescent="0.2">
      <c r="A179" s="144">
        <f t="shared" si="86"/>
        <v>159</v>
      </c>
      <c r="B179" s="17" t="s">
        <v>67</v>
      </c>
      <c r="C179" s="61">
        <v>-7066.66</v>
      </c>
      <c r="D179" s="61">
        <v>0</v>
      </c>
      <c r="E179" s="54">
        <f t="shared" ref="E179:E222" si="91">+C179-D179</f>
        <v>-7066.66</v>
      </c>
      <c r="F179" s="27">
        <f>+'DFIT Computations'!G180</f>
        <v>0</v>
      </c>
      <c r="G179" s="27">
        <f t="shared" ref="G179:G222" si="92">+E179+F179</f>
        <v>-7066.66</v>
      </c>
      <c r="H179" s="27">
        <f>+'DFIT Computations'!I180</f>
        <v>0</v>
      </c>
      <c r="I179" s="27">
        <f t="shared" ref="I179:I222" si="93">+G179+H179</f>
        <v>-7066.66</v>
      </c>
      <c r="J179" s="51">
        <f t="shared" ref="J179:J186" si="94">VLOOKUP(L179,$C$306:$D$320,2,FALSE)</f>
        <v>0.98499999999999999</v>
      </c>
      <c r="K179" s="42">
        <f t="shared" ref="K179:K222" si="95">IF(I179*J179=0,0, ROUND(I179*J179,0))</f>
        <v>-6961</v>
      </c>
      <c r="L179" s="18" t="str">
        <f>'DFIT Computations'!M180</f>
        <v>GROSS PLT</v>
      </c>
    </row>
    <row r="180" spans="1:12" x14ac:dyDescent="0.2">
      <c r="A180" s="144">
        <f t="shared" si="86"/>
        <v>160</v>
      </c>
      <c r="B180" s="17" t="s">
        <v>68</v>
      </c>
      <c r="C180" s="61">
        <f>550669.97-1116.36</f>
        <v>549553.61</v>
      </c>
      <c r="D180" s="61">
        <f>-(570562-595001)</f>
        <v>24439</v>
      </c>
      <c r="E180" s="54">
        <f t="shared" si="91"/>
        <v>525114.61</v>
      </c>
      <c r="F180" s="27">
        <f>+'DFIT Computations'!G181</f>
        <v>0</v>
      </c>
      <c r="G180" s="27">
        <f t="shared" si="92"/>
        <v>525114.61</v>
      </c>
      <c r="H180" s="27">
        <f>+'DFIT Computations'!I181</f>
        <v>0</v>
      </c>
      <c r="I180" s="27">
        <f t="shared" si="93"/>
        <v>525114.61</v>
      </c>
      <c r="J180" s="51">
        <f t="shared" si="94"/>
        <v>0.99</v>
      </c>
      <c r="K180" s="42">
        <f t="shared" si="95"/>
        <v>519863</v>
      </c>
      <c r="L180" s="18" t="str">
        <f>'DFIT Computations'!M181</f>
        <v>LABOR</v>
      </c>
    </row>
    <row r="181" spans="1:12" x14ac:dyDescent="0.2">
      <c r="A181" s="144">
        <f t="shared" si="86"/>
        <v>161</v>
      </c>
      <c r="B181" s="56" t="s">
        <v>251</v>
      </c>
      <c r="C181" s="61">
        <f>1017484.37-290526.53</f>
        <v>726957.84</v>
      </c>
      <c r="D181" s="61">
        <f>-(755263-699248)</f>
        <v>-56015</v>
      </c>
      <c r="E181" s="54">
        <f t="shared" si="91"/>
        <v>782972.84</v>
      </c>
      <c r="F181" s="27">
        <f>+'DFIT Computations'!G182</f>
        <v>0</v>
      </c>
      <c r="G181" s="27">
        <f t="shared" si="92"/>
        <v>782972.84</v>
      </c>
      <c r="H181" s="27">
        <f>+'DFIT Computations'!I182</f>
        <v>0</v>
      </c>
      <c r="I181" s="27">
        <f t="shared" si="93"/>
        <v>782972.84</v>
      </c>
      <c r="J181" s="51">
        <f t="shared" si="94"/>
        <v>0.99</v>
      </c>
      <c r="K181" s="42">
        <f t="shared" si="95"/>
        <v>775143</v>
      </c>
      <c r="L181" s="18" t="str">
        <f>'DFIT Computations'!M182</f>
        <v>LABOR</v>
      </c>
    </row>
    <row r="182" spans="1:12" x14ac:dyDescent="0.2">
      <c r="A182" s="144">
        <f t="shared" si="86"/>
        <v>162</v>
      </c>
      <c r="B182" s="17" t="s">
        <v>69</v>
      </c>
      <c r="C182" s="61">
        <f>76624.17-138538.26</f>
        <v>-61914.090000000011</v>
      </c>
      <c r="D182" s="61">
        <v>0</v>
      </c>
      <c r="E182" s="54">
        <f t="shared" si="91"/>
        <v>-61914.090000000011</v>
      </c>
      <c r="F182" s="27">
        <f>+'DFIT Computations'!G183</f>
        <v>0</v>
      </c>
      <c r="G182" s="27">
        <f t="shared" si="92"/>
        <v>-61914.090000000011</v>
      </c>
      <c r="H182" s="27">
        <f>+'DFIT Computations'!I183</f>
        <v>0</v>
      </c>
      <c r="I182" s="27">
        <f t="shared" si="93"/>
        <v>-61914.090000000011</v>
      </c>
      <c r="J182" s="51">
        <f t="shared" si="94"/>
        <v>0.99</v>
      </c>
      <c r="K182" s="42">
        <f t="shared" si="95"/>
        <v>-61295</v>
      </c>
      <c r="L182" s="18" t="str">
        <f>'DFIT Computations'!M183</f>
        <v>LABOR</v>
      </c>
    </row>
    <row r="183" spans="1:12" x14ac:dyDescent="0.2">
      <c r="A183" s="144">
        <f t="shared" si="86"/>
        <v>163</v>
      </c>
      <c r="B183" s="17" t="s">
        <v>70</v>
      </c>
      <c r="C183" s="61">
        <f>5017595.23-6902706.33</f>
        <v>-1885111.0999999996</v>
      </c>
      <c r="D183" s="61">
        <f>-(3913479-2428697)</f>
        <v>-1484782</v>
      </c>
      <c r="E183" s="54">
        <f t="shared" si="91"/>
        <v>-400329.09999999963</v>
      </c>
      <c r="F183" s="27">
        <f>+'DFIT Computations'!G184</f>
        <v>0</v>
      </c>
      <c r="G183" s="27">
        <f t="shared" si="92"/>
        <v>-400329.09999999963</v>
      </c>
      <c r="H183" s="27">
        <f>+'DFIT Computations'!I184</f>
        <v>0</v>
      </c>
      <c r="I183" s="27">
        <f t="shared" si="93"/>
        <v>-400329.09999999963</v>
      </c>
      <c r="J183" s="51">
        <f t="shared" si="94"/>
        <v>0.98499999999999999</v>
      </c>
      <c r="K183" s="42">
        <f t="shared" si="95"/>
        <v>-394324</v>
      </c>
      <c r="L183" s="18" t="str">
        <f>'DFIT Computations'!M184</f>
        <v>PROD PLT</v>
      </c>
    </row>
    <row r="184" spans="1:12" x14ac:dyDescent="0.2">
      <c r="A184" s="144">
        <f t="shared" si="86"/>
        <v>164</v>
      </c>
      <c r="B184" s="17" t="s">
        <v>312</v>
      </c>
      <c r="C184" s="61">
        <v>-45490.23</v>
      </c>
      <c r="D184" s="61">
        <v>0</v>
      </c>
      <c r="E184" s="54">
        <f>+C184-D184</f>
        <v>-45490.23</v>
      </c>
      <c r="F184" s="27">
        <f>+'DFIT Computations'!G185</f>
        <v>0</v>
      </c>
      <c r="G184" s="27">
        <f t="shared" si="92"/>
        <v>-45490.23</v>
      </c>
      <c r="H184" s="27">
        <f>+'DFIT Computations'!I185</f>
        <v>0</v>
      </c>
      <c r="I184" s="27">
        <f>+G184+H184</f>
        <v>-45490.23</v>
      </c>
      <c r="J184" s="51">
        <f t="shared" si="94"/>
        <v>0.99</v>
      </c>
      <c r="K184" s="42">
        <f>IF(I184*J184=0,0, ROUND(I184*J184,0))</f>
        <v>-45035</v>
      </c>
      <c r="L184" s="18" t="str">
        <f>'DFIT Computations'!M185</f>
        <v>LABOR</v>
      </c>
    </row>
    <row r="185" spans="1:12" x14ac:dyDescent="0.2">
      <c r="A185" s="144">
        <f t="shared" si="86"/>
        <v>165</v>
      </c>
      <c r="B185" s="56" t="s">
        <v>252</v>
      </c>
      <c r="C185" s="61">
        <v>0</v>
      </c>
      <c r="D185" s="61">
        <v>0</v>
      </c>
      <c r="E185" s="54">
        <f t="shared" si="91"/>
        <v>0</v>
      </c>
      <c r="F185" s="27">
        <f>+'DFIT Computations'!G186</f>
        <v>0</v>
      </c>
      <c r="G185" s="27">
        <f t="shared" si="92"/>
        <v>0</v>
      </c>
      <c r="H185" s="27">
        <f>+'DFIT Computations'!I186</f>
        <v>0</v>
      </c>
      <c r="I185" s="27">
        <f t="shared" si="93"/>
        <v>0</v>
      </c>
      <c r="J185" s="51">
        <f t="shared" si="94"/>
        <v>0.99</v>
      </c>
      <c r="K185" s="42">
        <f t="shared" si="95"/>
        <v>0</v>
      </c>
      <c r="L185" s="18" t="str">
        <f>'DFIT Computations'!M186</f>
        <v>LABOR</v>
      </c>
    </row>
    <row r="186" spans="1:12" x14ac:dyDescent="0.2">
      <c r="A186" s="144">
        <f t="shared" si="86"/>
        <v>166</v>
      </c>
      <c r="B186" s="56" t="s">
        <v>253</v>
      </c>
      <c r="C186" s="61">
        <v>0</v>
      </c>
      <c r="D186" s="61">
        <v>0</v>
      </c>
      <c r="E186" s="54">
        <f t="shared" si="91"/>
        <v>0</v>
      </c>
      <c r="F186" s="27">
        <f>+'DFIT Computations'!G187</f>
        <v>0</v>
      </c>
      <c r="G186" s="27">
        <f t="shared" si="92"/>
        <v>0</v>
      </c>
      <c r="H186" s="27">
        <f>+'DFIT Computations'!I187</f>
        <v>0</v>
      </c>
      <c r="I186" s="27">
        <f t="shared" si="93"/>
        <v>0</v>
      </c>
      <c r="J186" s="51">
        <f t="shared" si="94"/>
        <v>0.99</v>
      </c>
      <c r="K186" s="42">
        <f t="shared" si="95"/>
        <v>0</v>
      </c>
      <c r="L186" s="18" t="str">
        <f>'DFIT Computations'!M187</f>
        <v>LABOR</v>
      </c>
    </row>
    <row r="187" spans="1:12" x14ac:dyDescent="0.2">
      <c r="A187" s="144">
        <f t="shared" si="86"/>
        <v>167</v>
      </c>
      <c r="B187" s="121" t="s">
        <v>374</v>
      </c>
      <c r="C187" s="61">
        <f>2188208.94-233335.31</f>
        <v>1954873.63</v>
      </c>
      <c r="D187" s="61">
        <v>0</v>
      </c>
      <c r="E187" s="54">
        <f t="shared" si="91"/>
        <v>1954873.63</v>
      </c>
      <c r="F187" s="27">
        <f>+'DFIT Computations'!G188</f>
        <v>0</v>
      </c>
      <c r="G187" s="27">
        <f t="shared" si="92"/>
        <v>1954873.63</v>
      </c>
      <c r="H187" s="27"/>
      <c r="I187" s="27">
        <f t="shared" si="93"/>
        <v>1954873.63</v>
      </c>
      <c r="J187" s="51">
        <f t="shared" ref="J187" si="96">VLOOKUP(L187,$C$306:$D$320,2,FALSE)</f>
        <v>0.98499999999999999</v>
      </c>
      <c r="K187" s="42">
        <f t="shared" ref="K187" si="97">IF(I187*J187=0,0, ROUND(I187*J187,0))</f>
        <v>1925551</v>
      </c>
      <c r="L187" s="138" t="str">
        <f>'DFIT Computations'!M188</f>
        <v>GROSS PLT</v>
      </c>
    </row>
    <row r="188" spans="1:12" x14ac:dyDescent="0.2">
      <c r="A188" s="144">
        <f t="shared" si="86"/>
        <v>168</v>
      </c>
      <c r="B188" s="121" t="s">
        <v>375</v>
      </c>
      <c r="C188" s="61">
        <f>226438.82-2188370.13</f>
        <v>-1961931.3099999998</v>
      </c>
      <c r="D188" s="61">
        <v>0</v>
      </c>
      <c r="E188" s="54">
        <f t="shared" si="91"/>
        <v>-1961931.3099999998</v>
      </c>
      <c r="F188" s="27">
        <f>+'DFIT Computations'!G189</f>
        <v>0</v>
      </c>
      <c r="G188" s="27">
        <f t="shared" si="92"/>
        <v>-1961931.3099999998</v>
      </c>
      <c r="H188" s="27"/>
      <c r="I188" s="27">
        <f t="shared" si="93"/>
        <v>-1961931.3099999998</v>
      </c>
      <c r="J188" s="51">
        <f t="shared" ref="J188" si="98">VLOOKUP(L188,$C$306:$D$320,2,FALSE)</f>
        <v>0.98499999999999999</v>
      </c>
      <c r="K188" s="42">
        <f t="shared" ref="K188" si="99">IF(I188*J188=0,0, ROUND(I188*J188,0))</f>
        <v>-1932502</v>
      </c>
      <c r="L188" s="138" t="str">
        <f>'DFIT Computations'!M189</f>
        <v>GROSS PLT</v>
      </c>
    </row>
    <row r="189" spans="1:12" x14ac:dyDescent="0.2">
      <c r="A189" s="144">
        <f t="shared" si="86"/>
        <v>169</v>
      </c>
      <c r="B189" s="17" t="s">
        <v>235</v>
      </c>
      <c r="C189" s="61">
        <v>0</v>
      </c>
      <c r="D189" s="61">
        <v>0</v>
      </c>
      <c r="E189" s="54">
        <f t="shared" si="91"/>
        <v>0</v>
      </c>
      <c r="F189" s="27">
        <f>+'DFIT Computations'!G190</f>
        <v>0</v>
      </c>
      <c r="G189" s="27">
        <f t="shared" si="92"/>
        <v>0</v>
      </c>
      <c r="H189" s="27">
        <f>+'DFIT Computations'!I190</f>
        <v>0</v>
      </c>
      <c r="I189" s="27">
        <f t="shared" si="93"/>
        <v>0</v>
      </c>
      <c r="J189" s="51">
        <f>VLOOKUP(L189,$C$306:$D$320,2,FALSE)</f>
        <v>1</v>
      </c>
      <c r="K189" s="42">
        <f t="shared" si="95"/>
        <v>0</v>
      </c>
      <c r="L189" s="18" t="str">
        <f>'DFIT Computations'!M190</f>
        <v>SPECIFIC</v>
      </c>
    </row>
    <row r="190" spans="1:12" x14ac:dyDescent="0.2">
      <c r="A190" s="144">
        <f t="shared" si="86"/>
        <v>170</v>
      </c>
      <c r="B190" s="121" t="s">
        <v>376</v>
      </c>
      <c r="C190" s="61">
        <v>14985.25</v>
      </c>
      <c r="D190" s="61">
        <v>0</v>
      </c>
      <c r="E190" s="54">
        <f t="shared" si="91"/>
        <v>14985.25</v>
      </c>
      <c r="F190" s="27">
        <f>+'DFIT Computations'!G191</f>
        <v>0</v>
      </c>
      <c r="G190" s="27">
        <f t="shared" si="92"/>
        <v>14985.25</v>
      </c>
      <c r="H190" s="27"/>
      <c r="I190" s="27">
        <f t="shared" si="93"/>
        <v>14985.25</v>
      </c>
      <c r="J190" s="51">
        <f t="shared" ref="J190" si="100">VLOOKUP(L190,$C$306:$D$320,2,FALSE)</f>
        <v>0.98499999999999999</v>
      </c>
      <c r="K190" s="42">
        <f t="shared" si="95"/>
        <v>14760</v>
      </c>
      <c r="L190" s="138" t="str">
        <f>'DFIT Computations'!M191</f>
        <v>GROSS PLT</v>
      </c>
    </row>
    <row r="191" spans="1:12" x14ac:dyDescent="0.2">
      <c r="A191" s="144">
        <f t="shared" si="86"/>
        <v>171</v>
      </c>
      <c r="B191" s="17" t="s">
        <v>268</v>
      </c>
      <c r="C191" s="61">
        <v>-13957.65</v>
      </c>
      <c r="D191" s="61">
        <v>-13958</v>
      </c>
      <c r="E191" s="54">
        <f>+C191-D191</f>
        <v>0.3500000000003638</v>
      </c>
      <c r="F191" s="27">
        <f>+'DFIT Computations'!G192</f>
        <v>0</v>
      </c>
      <c r="G191" s="27">
        <f t="shared" si="92"/>
        <v>0.3500000000003638</v>
      </c>
      <c r="H191" s="27">
        <f>+'DFIT Computations'!I192</f>
        <v>0</v>
      </c>
      <c r="I191" s="27">
        <f>+G191+H191</f>
        <v>0.3500000000003638</v>
      </c>
      <c r="J191" s="51">
        <f>VLOOKUP(L191,$C$306:$D$320,2,FALSE)</f>
        <v>0</v>
      </c>
      <c r="K191" s="42">
        <f>IF(I191*J191=0,0, ROUND(I191*J191,0))</f>
        <v>0</v>
      </c>
      <c r="L191" s="18" t="str">
        <f>'DFIT Computations'!M192</f>
        <v>NON-APPLIC</v>
      </c>
    </row>
    <row r="192" spans="1:12" x14ac:dyDescent="0.2">
      <c r="A192" s="144">
        <f t="shared" si="86"/>
        <v>172</v>
      </c>
      <c r="B192" s="122" t="s">
        <v>382</v>
      </c>
      <c r="C192" s="61">
        <f>110914.44-15844.92</f>
        <v>95069.52</v>
      </c>
      <c r="D192" s="61">
        <v>95070</v>
      </c>
      <c r="E192" s="54">
        <f>+C192-D192</f>
        <v>-0.47999999999592546</v>
      </c>
      <c r="F192" s="27">
        <f>+'DFIT Computations'!G193</f>
        <v>0</v>
      </c>
      <c r="G192" s="27">
        <f t="shared" si="92"/>
        <v>-0.47999999999592546</v>
      </c>
      <c r="H192" s="27"/>
      <c r="I192" s="27">
        <f t="shared" si="93"/>
        <v>-0.47999999999592546</v>
      </c>
      <c r="J192" s="51">
        <f t="shared" ref="J192" si="101">VLOOKUP(L192,$C$306:$D$320,2,FALSE)</f>
        <v>0.98499999999999999</v>
      </c>
      <c r="K192" s="42">
        <f t="shared" ref="K192" si="102">IF(I192*J192=0,0, ROUND(I192*J192,0))</f>
        <v>0</v>
      </c>
      <c r="L192" s="138" t="str">
        <f>'DFIT Computations'!M193</f>
        <v>GROSS PLT</v>
      </c>
    </row>
    <row r="193" spans="1:12" x14ac:dyDescent="0.2">
      <c r="A193" s="144">
        <f t="shared" si="86"/>
        <v>173</v>
      </c>
      <c r="B193" s="17" t="s">
        <v>180</v>
      </c>
      <c r="C193" s="61">
        <v>0</v>
      </c>
      <c r="D193" s="61">
        <v>0</v>
      </c>
      <c r="E193" s="54">
        <f t="shared" si="91"/>
        <v>0</v>
      </c>
      <c r="F193" s="27">
        <f>+'DFIT Computations'!G194</f>
        <v>0</v>
      </c>
      <c r="G193" s="27">
        <f t="shared" si="92"/>
        <v>0</v>
      </c>
      <c r="H193" s="27">
        <f>+'DFIT Computations'!I193</f>
        <v>0</v>
      </c>
      <c r="I193" s="27">
        <f t="shared" si="93"/>
        <v>0</v>
      </c>
      <c r="J193" s="51">
        <f t="shared" ref="J193:J205" si="103">VLOOKUP(L193,$C$306:$D$320,2,FALSE)</f>
        <v>0.98499999999999999</v>
      </c>
      <c r="K193" s="42">
        <f t="shared" si="95"/>
        <v>0</v>
      </c>
      <c r="L193" s="18" t="str">
        <f>'DFIT Computations'!M193</f>
        <v>GROSS PLT</v>
      </c>
    </row>
    <row r="194" spans="1:12" x14ac:dyDescent="0.2">
      <c r="A194" s="144">
        <f t="shared" si="86"/>
        <v>174</v>
      </c>
      <c r="B194" s="17" t="s">
        <v>350</v>
      </c>
      <c r="C194" s="61">
        <f>64557-667144.98</f>
        <v>-602587.98</v>
      </c>
      <c r="D194" s="61">
        <v>-602588</v>
      </c>
      <c r="E194" s="54">
        <f t="shared" ref="E194:E195" si="104">+C194-D194</f>
        <v>2.0000000018626451E-2</v>
      </c>
      <c r="F194" s="27">
        <f>+'DFIT Computations'!G195</f>
        <v>0</v>
      </c>
      <c r="G194" s="27">
        <f t="shared" ref="G194:G195" si="105">+E194+F194</f>
        <v>2.0000000018626451E-2</v>
      </c>
      <c r="H194" s="27">
        <f>+'DFIT Computations'!I194</f>
        <v>0</v>
      </c>
      <c r="I194" s="27">
        <f t="shared" ref="I194:I195" si="106">+G194+H194</f>
        <v>2.0000000018626451E-2</v>
      </c>
      <c r="J194" s="51">
        <f t="shared" si="103"/>
        <v>0</v>
      </c>
      <c r="K194" s="42">
        <f t="shared" ref="K194:K195" si="107">IF(I194*J194=0,0, ROUND(I194*J194,0))</f>
        <v>0</v>
      </c>
      <c r="L194" s="18" t="str">
        <f>'DFIT Computations'!M194</f>
        <v>NON-APPLIC</v>
      </c>
    </row>
    <row r="195" spans="1:12" x14ac:dyDescent="0.2">
      <c r="A195" s="144">
        <f t="shared" si="86"/>
        <v>175</v>
      </c>
      <c r="B195" s="17" t="s">
        <v>351</v>
      </c>
      <c r="C195" s="61">
        <f>239724.63-82603.35</f>
        <v>157121.28</v>
      </c>
      <c r="D195" s="61">
        <v>157121</v>
      </c>
      <c r="E195" s="54">
        <f t="shared" si="104"/>
        <v>0.27999999999883585</v>
      </c>
      <c r="F195" s="27">
        <f>+'DFIT Computations'!G197</f>
        <v>0</v>
      </c>
      <c r="G195" s="27">
        <f t="shared" si="105"/>
        <v>0.27999999999883585</v>
      </c>
      <c r="H195" s="27">
        <f>+'DFIT Computations'!I195</f>
        <v>0</v>
      </c>
      <c r="I195" s="27">
        <f t="shared" si="106"/>
        <v>0.27999999999883585</v>
      </c>
      <c r="J195" s="51">
        <f t="shared" si="103"/>
        <v>0</v>
      </c>
      <c r="K195" s="42">
        <f t="shared" si="107"/>
        <v>0</v>
      </c>
      <c r="L195" s="18" t="str">
        <f>'DFIT Computations'!M195</f>
        <v>NON-APPLIC</v>
      </c>
    </row>
    <row r="196" spans="1:12" x14ac:dyDescent="0.2">
      <c r="A196" s="144">
        <f t="shared" si="86"/>
        <v>176</v>
      </c>
      <c r="B196" s="17" t="s">
        <v>313</v>
      </c>
      <c r="C196" s="61">
        <v>-84840</v>
      </c>
      <c r="D196" s="61">
        <v>0</v>
      </c>
      <c r="E196" s="54">
        <f>+C196-D196</f>
        <v>-84840</v>
      </c>
      <c r="F196" s="27">
        <f>+'DFIT Computations'!G198</f>
        <v>0</v>
      </c>
      <c r="G196" s="27">
        <f t="shared" si="92"/>
        <v>-84840</v>
      </c>
      <c r="H196" s="27">
        <f>+'DFIT Computations'!I197</f>
        <v>0</v>
      </c>
      <c r="I196" s="27">
        <f>+G196+H196</f>
        <v>-84840</v>
      </c>
      <c r="J196" s="51">
        <f t="shared" si="103"/>
        <v>0.98499999999999999</v>
      </c>
      <c r="K196" s="42">
        <f>IF(I196*J196=0,0, ROUND(I196*J196,0))</f>
        <v>-83567</v>
      </c>
      <c r="L196" s="18" t="str">
        <f>'DFIT Computations'!M197</f>
        <v>GROSS PLT</v>
      </c>
    </row>
    <row r="197" spans="1:12" x14ac:dyDescent="0.2">
      <c r="A197" s="144">
        <f t="shared" si="86"/>
        <v>177</v>
      </c>
      <c r="B197" s="17" t="s">
        <v>72</v>
      </c>
      <c r="C197" s="61">
        <f>16879.17</f>
        <v>16879.169999999998</v>
      </c>
      <c r="D197" s="61">
        <f>-(7318-16879)</f>
        <v>9561</v>
      </c>
      <c r="E197" s="54">
        <f t="shared" si="91"/>
        <v>7318.1699999999983</v>
      </c>
      <c r="F197" s="27">
        <f>+'DFIT Computations'!G199</f>
        <v>0</v>
      </c>
      <c r="G197" s="27">
        <f t="shared" si="92"/>
        <v>7318.1699999999983</v>
      </c>
      <c r="H197" s="27">
        <f>+'DFIT Computations'!I198</f>
        <v>0</v>
      </c>
      <c r="I197" s="27">
        <f t="shared" si="93"/>
        <v>7318.1699999999983</v>
      </c>
      <c r="J197" s="51">
        <f t="shared" si="103"/>
        <v>0</v>
      </c>
      <c r="K197" s="42">
        <f t="shared" si="95"/>
        <v>0</v>
      </c>
      <c r="L197" s="18" t="str">
        <f>'DFIT Computations'!M198</f>
        <v>NON-APPLIC</v>
      </c>
    </row>
    <row r="198" spans="1:12" x14ac:dyDescent="0.2">
      <c r="A198" s="144">
        <f t="shared" si="86"/>
        <v>178</v>
      </c>
      <c r="B198" s="56" t="s">
        <v>254</v>
      </c>
      <c r="C198" s="61">
        <v>5837.58</v>
      </c>
      <c r="D198" s="61">
        <v>0</v>
      </c>
      <c r="E198" s="54">
        <f t="shared" si="91"/>
        <v>5837.58</v>
      </c>
      <c r="F198" s="27">
        <f>+'DFIT Computations'!G200</f>
        <v>0</v>
      </c>
      <c r="G198" s="27">
        <f t="shared" si="92"/>
        <v>5837.58</v>
      </c>
      <c r="H198" s="27">
        <f>+'DFIT Computations'!I199</f>
        <v>0</v>
      </c>
      <c r="I198" s="27">
        <f t="shared" si="93"/>
        <v>5837.58</v>
      </c>
      <c r="J198" s="51">
        <f t="shared" si="103"/>
        <v>0</v>
      </c>
      <c r="K198" s="42">
        <f t="shared" si="95"/>
        <v>0</v>
      </c>
      <c r="L198" s="18" t="str">
        <f>'DFIT Computations'!M199</f>
        <v>NON-APPLIC</v>
      </c>
    </row>
    <row r="199" spans="1:12" x14ac:dyDescent="0.2">
      <c r="A199" s="144">
        <f t="shared" si="86"/>
        <v>179</v>
      </c>
      <c r="B199" s="56" t="s">
        <v>255</v>
      </c>
      <c r="C199" s="61">
        <f>974390.03-1904158.47</f>
        <v>-929768.44</v>
      </c>
      <c r="D199" s="61">
        <v>-929768</v>
      </c>
      <c r="E199" s="54">
        <f t="shared" si="91"/>
        <v>-0.43999999994412065</v>
      </c>
      <c r="F199" s="27">
        <f>+'DFIT Computations'!G200</f>
        <v>0</v>
      </c>
      <c r="G199" s="27">
        <f t="shared" si="92"/>
        <v>-0.43999999994412065</v>
      </c>
      <c r="H199" s="27">
        <f>+'DFIT Computations'!I200</f>
        <v>0</v>
      </c>
      <c r="I199" s="27">
        <f t="shared" si="93"/>
        <v>-0.43999999994412065</v>
      </c>
      <c r="J199" s="51">
        <f t="shared" si="103"/>
        <v>0</v>
      </c>
      <c r="K199" s="42">
        <f t="shared" si="95"/>
        <v>0</v>
      </c>
      <c r="L199" s="18" t="str">
        <f>'DFIT Computations'!M200</f>
        <v>NON-APPLIC</v>
      </c>
    </row>
    <row r="200" spans="1:12" x14ac:dyDescent="0.2">
      <c r="A200" s="144">
        <f t="shared" si="86"/>
        <v>180</v>
      </c>
      <c r="B200" s="64" t="s">
        <v>353</v>
      </c>
      <c r="C200" s="61">
        <v>0</v>
      </c>
      <c r="D200" s="61">
        <v>0</v>
      </c>
      <c r="E200" s="54">
        <f t="shared" ref="E200" si="108">+C200-D200</f>
        <v>0</v>
      </c>
      <c r="F200" s="27">
        <f>+'DFIT Computations'!G201</f>
        <v>0</v>
      </c>
      <c r="G200" s="27">
        <f t="shared" ref="G200" si="109">+E200+F200</f>
        <v>0</v>
      </c>
      <c r="H200" s="27">
        <f>+'DFIT Computations'!I201</f>
        <v>0</v>
      </c>
      <c r="I200" s="27">
        <f t="shared" ref="I200" si="110">+G200+H200</f>
        <v>0</v>
      </c>
      <c r="J200" s="51">
        <f t="shared" si="103"/>
        <v>0</v>
      </c>
      <c r="K200" s="42">
        <f t="shared" ref="K200" si="111">IF(I200*J200=0,0, ROUND(I200*J200,0))</f>
        <v>0</v>
      </c>
      <c r="L200" s="18" t="str">
        <f>'DFIT Computations'!M201</f>
        <v>NON-APPLIC</v>
      </c>
    </row>
    <row r="201" spans="1:12" x14ac:dyDescent="0.2">
      <c r="A201" s="144">
        <f t="shared" si="86"/>
        <v>181</v>
      </c>
      <c r="B201" s="17" t="s">
        <v>73</v>
      </c>
      <c r="C201" s="61">
        <v>0</v>
      </c>
      <c r="D201" s="61">
        <v>0</v>
      </c>
      <c r="E201" s="54">
        <f t="shared" si="91"/>
        <v>0</v>
      </c>
      <c r="F201" s="27">
        <f>+'DFIT Computations'!G202</f>
        <v>0</v>
      </c>
      <c r="G201" s="27">
        <f t="shared" si="92"/>
        <v>0</v>
      </c>
      <c r="H201" s="27">
        <f>+'DFIT Computations'!I202</f>
        <v>0</v>
      </c>
      <c r="I201" s="27">
        <f t="shared" si="93"/>
        <v>0</v>
      </c>
      <c r="J201" s="51">
        <f t="shared" si="103"/>
        <v>0.98499999999999999</v>
      </c>
      <c r="K201" s="42">
        <f t="shared" si="95"/>
        <v>0</v>
      </c>
      <c r="L201" s="18" t="str">
        <f>'DFIT Computations'!M202</f>
        <v>NET PLANT</v>
      </c>
    </row>
    <row r="202" spans="1:12" x14ac:dyDescent="0.2">
      <c r="A202" s="144">
        <f t="shared" si="86"/>
        <v>182</v>
      </c>
      <c r="B202" s="17" t="s">
        <v>74</v>
      </c>
      <c r="C202" s="61">
        <v>0</v>
      </c>
      <c r="D202" s="61">
        <v>0</v>
      </c>
      <c r="E202" s="54">
        <f t="shared" si="91"/>
        <v>0</v>
      </c>
      <c r="F202" s="27">
        <f>+'DFIT Computations'!G203</f>
        <v>0</v>
      </c>
      <c r="G202" s="27">
        <f t="shared" si="92"/>
        <v>0</v>
      </c>
      <c r="H202" s="27">
        <f>+'DFIT Computations'!I203</f>
        <v>0</v>
      </c>
      <c r="I202" s="27">
        <f t="shared" si="93"/>
        <v>0</v>
      </c>
      <c r="J202" s="51">
        <f t="shared" si="103"/>
        <v>0.98499999999999999</v>
      </c>
      <c r="K202" s="42">
        <f t="shared" si="95"/>
        <v>0</v>
      </c>
      <c r="L202" s="18" t="str">
        <f>'DFIT Computations'!M203</f>
        <v>NET PLANT</v>
      </c>
    </row>
    <row r="203" spans="1:12" x14ac:dyDescent="0.2">
      <c r="A203" s="144">
        <f t="shared" si="86"/>
        <v>183</v>
      </c>
      <c r="B203" s="17" t="s">
        <v>75</v>
      </c>
      <c r="C203" s="61">
        <f>138538.26-62972.07</f>
        <v>75566.19</v>
      </c>
      <c r="D203" s="61">
        <v>0</v>
      </c>
      <c r="E203" s="54">
        <f t="shared" si="91"/>
        <v>75566.19</v>
      </c>
      <c r="F203" s="27">
        <f>+'DFIT Computations'!G204</f>
        <v>0</v>
      </c>
      <c r="G203" s="27">
        <f t="shared" si="92"/>
        <v>75566.19</v>
      </c>
      <c r="H203" s="27">
        <f>+'DFIT Computations'!I204</f>
        <v>0</v>
      </c>
      <c r="I203" s="27">
        <f t="shared" si="93"/>
        <v>75566.19</v>
      </c>
      <c r="J203" s="51">
        <f t="shared" si="103"/>
        <v>0.99</v>
      </c>
      <c r="K203" s="42">
        <f t="shared" si="95"/>
        <v>74811</v>
      </c>
      <c r="L203" s="18" t="str">
        <f>'DFIT Computations'!M204</f>
        <v>LABOR</v>
      </c>
    </row>
    <row r="204" spans="1:12" x14ac:dyDescent="0.2">
      <c r="A204" s="144">
        <f t="shared" si="86"/>
        <v>184</v>
      </c>
      <c r="B204" s="56" t="s">
        <v>256</v>
      </c>
      <c r="C204" s="61">
        <v>0</v>
      </c>
      <c r="D204" s="61">
        <v>0</v>
      </c>
      <c r="E204" s="54">
        <f t="shared" si="91"/>
        <v>0</v>
      </c>
      <c r="F204" s="27">
        <f>+'DFIT Computations'!G205</f>
        <v>0</v>
      </c>
      <c r="G204" s="27">
        <f t="shared" si="92"/>
        <v>0</v>
      </c>
      <c r="H204" s="27">
        <f>+'DFIT Computations'!I205</f>
        <v>0</v>
      </c>
      <c r="I204" s="27">
        <f t="shared" si="93"/>
        <v>0</v>
      </c>
      <c r="J204" s="51">
        <f t="shared" si="103"/>
        <v>0.98499999999999999</v>
      </c>
      <c r="K204" s="42">
        <f t="shared" si="95"/>
        <v>0</v>
      </c>
      <c r="L204" s="18" t="str">
        <f>'DFIT Computations'!M205</f>
        <v>GROSS PLT</v>
      </c>
    </row>
    <row r="205" spans="1:12" x14ac:dyDescent="0.2">
      <c r="A205" s="144">
        <f t="shared" si="86"/>
        <v>185</v>
      </c>
      <c r="B205" s="56" t="s">
        <v>257</v>
      </c>
      <c r="C205" s="61">
        <v>-11155.2</v>
      </c>
      <c r="D205" s="61">
        <v>-11155</v>
      </c>
      <c r="E205" s="54">
        <f t="shared" ref="E205:E221" si="112">+C205-D205</f>
        <v>-0.2000000000007276</v>
      </c>
      <c r="F205" s="27">
        <f>+'DFIT Computations'!G206</f>
        <v>0</v>
      </c>
      <c r="G205" s="27">
        <f t="shared" si="92"/>
        <v>-0.2000000000007276</v>
      </c>
      <c r="H205" s="27">
        <f>+'DFIT Computations'!I206</f>
        <v>0</v>
      </c>
      <c r="I205" s="27">
        <f t="shared" ref="I205:I220" si="113">+G205+H205</f>
        <v>-0.2000000000007276</v>
      </c>
      <c r="J205" s="51">
        <f t="shared" si="103"/>
        <v>0.98499999999999999</v>
      </c>
      <c r="K205" s="42">
        <f t="shared" ref="K205:K220" si="114">IF(I205*J205=0,0, ROUND(I205*J205,0))</f>
        <v>0</v>
      </c>
      <c r="L205" s="18" t="str">
        <f>'DFIT Computations'!M206</f>
        <v>GROSS PLT</v>
      </c>
    </row>
    <row r="206" spans="1:12" x14ac:dyDescent="0.2">
      <c r="A206" s="144">
        <f t="shared" si="86"/>
        <v>186</v>
      </c>
      <c r="B206" s="64" t="s">
        <v>392</v>
      </c>
      <c r="C206" s="61">
        <f>42941.5+27693756-32033074.9-578820.22</f>
        <v>-4875197.6199999982</v>
      </c>
      <c r="D206" s="61">
        <v>0</v>
      </c>
      <c r="E206" s="54">
        <f t="shared" ref="E206:E219" si="115">+C206-D206</f>
        <v>-4875197.6199999982</v>
      </c>
      <c r="F206" s="27">
        <f>+'DFIT Computations'!G221</f>
        <v>0</v>
      </c>
      <c r="G206" s="27">
        <f t="shared" ref="G206:G219" si="116">+E206+F206</f>
        <v>-4875197.6199999982</v>
      </c>
      <c r="H206" s="27">
        <f>+'DFIT Computations'!I207</f>
        <v>0</v>
      </c>
      <c r="I206" s="27">
        <f t="shared" ref="I206:I219" si="117">+G206+H206</f>
        <v>-4875197.6199999982</v>
      </c>
      <c r="J206" s="51">
        <v>0</v>
      </c>
      <c r="K206" s="42">
        <f t="shared" si="114"/>
        <v>0</v>
      </c>
      <c r="L206" s="123" t="str">
        <f>'DFIT Computations'!M207</f>
        <v>NON-APPLIC</v>
      </c>
    </row>
    <row r="207" spans="1:12" x14ac:dyDescent="0.2">
      <c r="A207" s="144">
        <f t="shared" si="86"/>
        <v>187</v>
      </c>
      <c r="B207" s="64" t="s">
        <v>383</v>
      </c>
      <c r="C207" s="61">
        <f>802073.65-918414</f>
        <v>-116340.34999999998</v>
      </c>
      <c r="D207" s="61">
        <v>0</v>
      </c>
      <c r="E207" s="54">
        <f t="shared" si="115"/>
        <v>-116340.34999999998</v>
      </c>
      <c r="F207" s="27">
        <f>+'DFIT Computations'!G223</f>
        <v>0</v>
      </c>
      <c r="G207" s="27">
        <f t="shared" si="116"/>
        <v>-116340.34999999998</v>
      </c>
      <c r="H207" s="27">
        <f>+'DFIT Computations'!I208</f>
        <v>0</v>
      </c>
      <c r="I207" s="27">
        <f t="shared" si="117"/>
        <v>-116340.34999999998</v>
      </c>
      <c r="J207" s="51">
        <v>0</v>
      </c>
      <c r="K207" s="42">
        <f t="shared" si="114"/>
        <v>0</v>
      </c>
      <c r="L207" s="123" t="str">
        <f>'DFIT Computations'!M208</f>
        <v>NON-APPLIC</v>
      </c>
    </row>
    <row r="208" spans="1:12" x14ac:dyDescent="0.2">
      <c r="A208" s="144">
        <f t="shared" si="86"/>
        <v>188</v>
      </c>
      <c r="B208" s="64" t="s">
        <v>384</v>
      </c>
      <c r="C208" s="61">
        <f>353577+51225587.22-59228357-1274152.35</f>
        <v>-8923345.1300000008</v>
      </c>
      <c r="D208" s="61">
        <v>0</v>
      </c>
      <c r="E208" s="54">
        <f t="shared" si="115"/>
        <v>-8923345.1300000008</v>
      </c>
      <c r="F208" s="27">
        <f>+'DFIT Computations'!G224</f>
        <v>0</v>
      </c>
      <c r="G208" s="27">
        <f t="shared" si="116"/>
        <v>-8923345.1300000008</v>
      </c>
      <c r="H208" s="27">
        <f>+'DFIT Computations'!I209</f>
        <v>0</v>
      </c>
      <c r="I208" s="27">
        <f t="shared" si="117"/>
        <v>-8923345.1300000008</v>
      </c>
      <c r="J208" s="51">
        <f>VLOOKUP(L208,$C$306:$D$320,2,FALSE)</f>
        <v>1</v>
      </c>
      <c r="K208" s="42">
        <f t="shared" si="114"/>
        <v>-8923345</v>
      </c>
      <c r="L208" s="123" t="str">
        <f>'DFIT Computations'!M209</f>
        <v>SPECIFIC</v>
      </c>
    </row>
    <row r="209" spans="1:12" x14ac:dyDescent="0.2">
      <c r="A209" s="144">
        <f t="shared" si="86"/>
        <v>189</v>
      </c>
      <c r="B209" s="64" t="s">
        <v>393</v>
      </c>
      <c r="C209" s="61">
        <f>6092465+9613144-9703834-1200773.17</f>
        <v>4801001.83</v>
      </c>
      <c r="D209" s="61">
        <v>0</v>
      </c>
      <c r="E209" s="54">
        <f t="shared" si="115"/>
        <v>4801001.83</v>
      </c>
      <c r="F209" s="27">
        <f>+'DFIT Computations'!G225</f>
        <v>0</v>
      </c>
      <c r="G209" s="27">
        <f t="shared" si="116"/>
        <v>4801001.83</v>
      </c>
      <c r="H209" s="27">
        <f>+'DFIT Computations'!I210</f>
        <v>0</v>
      </c>
      <c r="I209" s="27">
        <f t="shared" si="117"/>
        <v>4801001.83</v>
      </c>
      <c r="J209" s="51">
        <v>0</v>
      </c>
      <c r="K209" s="42">
        <f t="shared" si="114"/>
        <v>0</v>
      </c>
      <c r="L209" s="126" t="str">
        <f>'DFIT Computations'!M210</f>
        <v>NON-APPLIC</v>
      </c>
    </row>
    <row r="210" spans="1:12" x14ac:dyDescent="0.2">
      <c r="A210" s="144">
        <f t="shared" si="86"/>
        <v>190</v>
      </c>
      <c r="B210" s="64" t="s">
        <v>385</v>
      </c>
      <c r="C210" s="61">
        <f>122333+890655-883978-102744.06</f>
        <v>26265.940000000002</v>
      </c>
      <c r="D210" s="61">
        <v>0</v>
      </c>
      <c r="E210" s="54">
        <f t="shared" si="115"/>
        <v>26265.940000000002</v>
      </c>
      <c r="F210" s="27">
        <f>+'DFIT Computations'!G226</f>
        <v>0</v>
      </c>
      <c r="G210" s="27">
        <f t="shared" si="116"/>
        <v>26265.940000000002</v>
      </c>
      <c r="H210" s="27">
        <f>+'DFIT Computations'!I211</f>
        <v>0</v>
      </c>
      <c r="I210" s="27">
        <f t="shared" si="117"/>
        <v>26265.940000000002</v>
      </c>
      <c r="J210" s="51">
        <v>0</v>
      </c>
      <c r="K210" s="42">
        <f t="shared" si="114"/>
        <v>0</v>
      </c>
      <c r="L210" s="126" t="str">
        <f>'DFIT Computations'!M211</f>
        <v>NON-APPLIC</v>
      </c>
    </row>
    <row r="211" spans="1:12" x14ac:dyDescent="0.2">
      <c r="A211" s="144">
        <f t="shared" si="86"/>
        <v>191</v>
      </c>
      <c r="B211" s="64" t="s">
        <v>386</v>
      </c>
      <c r="C211" s="61">
        <f>8286651+58422944-57902605-6636895.06</f>
        <v>2170094.9400000004</v>
      </c>
      <c r="D211" s="61">
        <v>0</v>
      </c>
      <c r="E211" s="54">
        <f t="shared" si="115"/>
        <v>2170094.9400000004</v>
      </c>
      <c r="F211" s="27">
        <f>+'DFIT Computations'!G228</f>
        <v>0</v>
      </c>
      <c r="G211" s="27">
        <f t="shared" si="116"/>
        <v>2170094.9400000004</v>
      </c>
      <c r="H211" s="27">
        <f>+'DFIT Computations'!I212</f>
        <v>0</v>
      </c>
      <c r="I211" s="27">
        <f t="shared" si="117"/>
        <v>2170094.9400000004</v>
      </c>
      <c r="J211" s="51">
        <f>VLOOKUP(L211,$C$306:$D$320,2,FALSE)</f>
        <v>1</v>
      </c>
      <c r="K211" s="42">
        <f t="shared" si="114"/>
        <v>2170095</v>
      </c>
      <c r="L211" s="126" t="str">
        <f>'DFIT Computations'!M212</f>
        <v>SPECIFIC</v>
      </c>
    </row>
    <row r="212" spans="1:12" x14ac:dyDescent="0.2">
      <c r="A212" s="144">
        <f t="shared" si="86"/>
        <v>192</v>
      </c>
      <c r="B212" s="64" t="s">
        <v>387</v>
      </c>
      <c r="C212" s="61">
        <f>4975490.23+491040.19-2491479-3931147</f>
        <v>-956095.57999999914</v>
      </c>
      <c r="D212" s="61">
        <v>0</v>
      </c>
      <c r="E212" s="54">
        <f t="shared" si="115"/>
        <v>-956095.57999999914</v>
      </c>
      <c r="F212" s="27">
        <f>+'DFIT Computations'!G229</f>
        <v>0</v>
      </c>
      <c r="G212" s="27">
        <f t="shared" si="116"/>
        <v>-956095.57999999914</v>
      </c>
      <c r="H212" s="27">
        <f>+'DFIT Computations'!I213</f>
        <v>0</v>
      </c>
      <c r="I212" s="27">
        <f t="shared" si="117"/>
        <v>-956095.57999999914</v>
      </c>
      <c r="J212" s="51">
        <v>0</v>
      </c>
      <c r="K212" s="42">
        <f t="shared" si="114"/>
        <v>0</v>
      </c>
      <c r="L212" s="126" t="str">
        <f>'DFIT Computations'!M213</f>
        <v>NON-APPLIC</v>
      </c>
    </row>
    <row r="213" spans="1:12" x14ac:dyDescent="0.2">
      <c r="A213" s="144">
        <f t="shared" si="86"/>
        <v>193</v>
      </c>
      <c r="B213" s="64" t="s">
        <v>388</v>
      </c>
      <c r="C213" s="61">
        <f>5622+567288-582269-19556.8</f>
        <v>-28915.8</v>
      </c>
      <c r="D213" s="61">
        <v>0</v>
      </c>
      <c r="E213" s="54">
        <f t="shared" si="115"/>
        <v>-28915.8</v>
      </c>
      <c r="F213" s="27">
        <f>+'DFIT Computations'!G230</f>
        <v>0</v>
      </c>
      <c r="G213" s="27">
        <f t="shared" si="116"/>
        <v>-28915.8</v>
      </c>
      <c r="H213" s="27">
        <f>+'DFIT Computations'!I214</f>
        <v>0</v>
      </c>
      <c r="I213" s="27">
        <f t="shared" si="117"/>
        <v>-28915.8</v>
      </c>
      <c r="J213" s="51">
        <v>0</v>
      </c>
      <c r="K213" s="42">
        <f t="shared" si="114"/>
        <v>0</v>
      </c>
      <c r="L213" s="123" t="str">
        <f>'DFIT Computations'!M214</f>
        <v>NON-APPLIC</v>
      </c>
    </row>
    <row r="214" spans="1:12" x14ac:dyDescent="0.2">
      <c r="A214" s="144">
        <f t="shared" si="86"/>
        <v>194</v>
      </c>
      <c r="B214" s="64" t="s">
        <v>389</v>
      </c>
      <c r="C214" s="61">
        <f>635116+36101651-37078991-1586900.25</f>
        <v>-1929124.25</v>
      </c>
      <c r="D214" s="61">
        <v>0</v>
      </c>
      <c r="E214" s="54">
        <f t="shared" si="115"/>
        <v>-1929124.25</v>
      </c>
      <c r="F214" s="27">
        <f>+'DFIT Computations'!G231</f>
        <v>0</v>
      </c>
      <c r="G214" s="27">
        <f t="shared" si="116"/>
        <v>-1929124.25</v>
      </c>
      <c r="H214" s="27">
        <f>+'DFIT Computations'!I215</f>
        <v>0</v>
      </c>
      <c r="I214" s="27">
        <f t="shared" si="117"/>
        <v>-1929124.25</v>
      </c>
      <c r="J214" s="51">
        <f>VLOOKUP(L214,$C$306:$D$320,2,FALSE)</f>
        <v>1</v>
      </c>
      <c r="K214" s="42">
        <f t="shared" si="114"/>
        <v>-1929124</v>
      </c>
      <c r="L214" s="123" t="str">
        <f>'DFIT Computations'!M215</f>
        <v>SPECIFIC</v>
      </c>
    </row>
    <row r="215" spans="1:12" x14ac:dyDescent="0.2">
      <c r="A215" s="144">
        <f t="shared" si="86"/>
        <v>195</v>
      </c>
      <c r="B215" s="64" t="s">
        <v>390</v>
      </c>
      <c r="C215" s="61">
        <f>314285-316559-19926.79</f>
        <v>-22200.79</v>
      </c>
      <c r="D215" s="61">
        <v>0</v>
      </c>
      <c r="E215" s="54">
        <f t="shared" si="115"/>
        <v>-22200.79</v>
      </c>
      <c r="F215" s="27">
        <f>+'DFIT Computations'!G232</f>
        <v>0</v>
      </c>
      <c r="G215" s="27">
        <f t="shared" si="116"/>
        <v>-22200.79</v>
      </c>
      <c r="H215" s="27">
        <f>+'DFIT Computations'!I216</f>
        <v>0</v>
      </c>
      <c r="I215" s="27">
        <f t="shared" si="117"/>
        <v>-22200.79</v>
      </c>
      <c r="J215" s="51">
        <v>0</v>
      </c>
      <c r="K215" s="42">
        <f t="shared" si="114"/>
        <v>0</v>
      </c>
      <c r="L215" s="123" t="str">
        <f>'DFIT Computations'!M216</f>
        <v>NON-APPLIC</v>
      </c>
    </row>
    <row r="216" spans="1:12" x14ac:dyDescent="0.2">
      <c r="A216" s="144">
        <f t="shared" si="86"/>
        <v>196</v>
      </c>
      <c r="B216" s="64" t="s">
        <v>391</v>
      </c>
      <c r="C216" s="61">
        <f>87455+20725641-20874948-1395846.94</f>
        <v>-1457698.94</v>
      </c>
      <c r="D216" s="61">
        <v>0</v>
      </c>
      <c r="E216" s="54">
        <f t="shared" si="115"/>
        <v>-1457698.94</v>
      </c>
      <c r="F216" s="27">
        <f>+'DFIT Computations'!G233</f>
        <v>0</v>
      </c>
      <c r="G216" s="27">
        <f t="shared" si="116"/>
        <v>-1457698.94</v>
      </c>
      <c r="H216" s="27">
        <f>+'DFIT Computations'!I217</f>
        <v>0</v>
      </c>
      <c r="I216" s="27">
        <f t="shared" si="117"/>
        <v>-1457698.94</v>
      </c>
      <c r="J216" s="51">
        <f>VLOOKUP(L216,$C$306:$D$320,2,FALSE)</f>
        <v>1</v>
      </c>
      <c r="K216" s="42">
        <f t="shared" si="114"/>
        <v>-1457699</v>
      </c>
      <c r="L216" s="123" t="str">
        <f>'DFIT Computations'!M217</f>
        <v>SPECIFIC</v>
      </c>
    </row>
    <row r="217" spans="1:12" x14ac:dyDescent="0.2">
      <c r="A217" s="144">
        <f t="shared" si="86"/>
        <v>197</v>
      </c>
      <c r="B217" s="64" t="s">
        <v>403</v>
      </c>
      <c r="C217" s="61">
        <v>-25992.82</v>
      </c>
      <c r="D217" s="61"/>
      <c r="E217" s="54">
        <f t="shared" si="115"/>
        <v>-25992.82</v>
      </c>
      <c r="F217" s="27">
        <f>+'DFIT Computations'!G234</f>
        <v>0</v>
      </c>
      <c r="G217" s="27">
        <f t="shared" ref="G217" si="118">+E217+F217</f>
        <v>-25992.82</v>
      </c>
      <c r="H217" s="27">
        <f>+'DFIT Computations'!I219</f>
        <v>0</v>
      </c>
      <c r="I217" s="27">
        <f t="shared" ref="I217" si="119">+G217+H217</f>
        <v>-25992.82</v>
      </c>
      <c r="J217" s="51">
        <f>VLOOKUP(L217,$C$306:$D$320,2,FALSE)</f>
        <v>0</v>
      </c>
      <c r="K217" s="42">
        <f t="shared" ref="K217" si="120">IF(I217*J217=0,0, ROUND(I217*J217,0))</f>
        <v>0</v>
      </c>
      <c r="L217" s="143" t="str">
        <f>'DFIT Computations'!M219</f>
        <v>NON-APPLIC</v>
      </c>
    </row>
    <row r="218" spans="1:12" x14ac:dyDescent="0.2">
      <c r="A218" s="144">
        <f t="shared" si="86"/>
        <v>198</v>
      </c>
      <c r="B218" s="64" t="s">
        <v>394</v>
      </c>
      <c r="C218" s="61">
        <f>779159-3149258</f>
        <v>-2370099</v>
      </c>
      <c r="D218" s="61">
        <v>0</v>
      </c>
      <c r="E218" s="54">
        <f t="shared" si="115"/>
        <v>-2370099</v>
      </c>
      <c r="F218" s="27">
        <f>+'DFIT Computations'!G234</f>
        <v>0</v>
      </c>
      <c r="G218" s="27">
        <f t="shared" si="116"/>
        <v>-2370099</v>
      </c>
      <c r="H218" s="27">
        <f>+'DFIT Computations'!I219</f>
        <v>0</v>
      </c>
      <c r="I218" s="27">
        <f t="shared" si="117"/>
        <v>-2370099</v>
      </c>
      <c r="J218" s="51">
        <v>0</v>
      </c>
      <c r="K218" s="42">
        <f t="shared" si="114"/>
        <v>0</v>
      </c>
      <c r="L218" s="123" t="str">
        <f>'DFIT Computations'!M219</f>
        <v>NON-APPLIC</v>
      </c>
    </row>
    <row r="219" spans="1:12" x14ac:dyDescent="0.2">
      <c r="A219" s="144">
        <f t="shared" si="86"/>
        <v>199</v>
      </c>
      <c r="B219" s="64" t="s">
        <v>395</v>
      </c>
      <c r="C219" s="61">
        <f>3243405-776177</f>
        <v>2467228</v>
      </c>
      <c r="D219" s="61">
        <v>0</v>
      </c>
      <c r="E219" s="54">
        <f t="shared" si="115"/>
        <v>2467228</v>
      </c>
      <c r="F219" s="27">
        <f>+'DFIT Computations'!G235</f>
        <v>0</v>
      </c>
      <c r="G219" s="27">
        <f t="shared" si="116"/>
        <v>2467228</v>
      </c>
      <c r="H219" s="27">
        <f>+'DFIT Computations'!I220</f>
        <v>0</v>
      </c>
      <c r="I219" s="27">
        <f t="shared" si="117"/>
        <v>2467228</v>
      </c>
      <c r="J219" s="51">
        <v>0</v>
      </c>
      <c r="K219" s="42">
        <f t="shared" si="114"/>
        <v>0</v>
      </c>
      <c r="L219" s="123" t="str">
        <f>'DFIT Computations'!M220</f>
        <v>NON-APPLIC</v>
      </c>
    </row>
    <row r="220" spans="1:12" x14ac:dyDescent="0.2">
      <c r="A220" s="144">
        <f t="shared" si="86"/>
        <v>200</v>
      </c>
      <c r="B220" s="64" t="s">
        <v>359</v>
      </c>
      <c r="C220" s="61">
        <f>4434.24-7541.71</f>
        <v>-3107.4700000000003</v>
      </c>
      <c r="D220" s="61">
        <v>0</v>
      </c>
      <c r="E220" s="54">
        <f t="shared" si="112"/>
        <v>-3107.4700000000003</v>
      </c>
      <c r="F220" s="27">
        <f>+'DFIT Computations'!G221</f>
        <v>0</v>
      </c>
      <c r="G220" s="27">
        <f t="shared" si="92"/>
        <v>-3107.4700000000003</v>
      </c>
      <c r="H220" s="27">
        <f>+'DFIT Computations'!I221</f>
        <v>0</v>
      </c>
      <c r="I220" s="27">
        <f t="shared" si="113"/>
        <v>-3107.4700000000003</v>
      </c>
      <c r="J220" s="51">
        <f>VLOOKUP(L220,$C$306:$D$320,2,FALSE)</f>
        <v>0.98499999999999999</v>
      </c>
      <c r="K220" s="42">
        <f t="shared" si="114"/>
        <v>-3061</v>
      </c>
      <c r="L220" s="18" t="str">
        <f>'DFIT Computations'!M221</f>
        <v>GROSS PLT</v>
      </c>
    </row>
    <row r="221" spans="1:12" x14ac:dyDescent="0.2">
      <c r="A221" s="144">
        <f t="shared" si="86"/>
        <v>201</v>
      </c>
      <c r="B221" s="121" t="s">
        <v>377</v>
      </c>
      <c r="C221" s="61">
        <v>-47307.41</v>
      </c>
      <c r="D221" s="61">
        <v>0</v>
      </c>
      <c r="E221" s="54">
        <f t="shared" si="112"/>
        <v>-47307.41</v>
      </c>
      <c r="F221" s="27">
        <f>+'DFIT Computations'!G222</f>
        <v>0</v>
      </c>
      <c r="G221" s="27">
        <f t="shared" si="92"/>
        <v>-47307.41</v>
      </c>
      <c r="H221" s="27">
        <f>+'DFIT Computations'!I222</f>
        <v>0</v>
      </c>
      <c r="I221" s="27">
        <f t="shared" ref="I221" si="121">+G221+H221</f>
        <v>-47307.41</v>
      </c>
      <c r="J221" s="51">
        <f>VLOOKUP(L221,$C$306:$D$320,2,FALSE)</f>
        <v>0.98499999999999999</v>
      </c>
      <c r="K221" s="42">
        <f t="shared" ref="K221" si="122">IF(I221*J221=0,0, ROUND(I221*J221,0))</f>
        <v>-46598</v>
      </c>
      <c r="L221" s="138" t="str">
        <f>'DFIT Computations'!M222</f>
        <v>GROSS PLT</v>
      </c>
    </row>
    <row r="222" spans="1:12" x14ac:dyDescent="0.2">
      <c r="A222" s="144">
        <f t="shared" si="86"/>
        <v>202</v>
      </c>
      <c r="B222" s="64" t="s">
        <v>362</v>
      </c>
      <c r="C222" s="61">
        <f>4490.71-7102.62</f>
        <v>-2611.91</v>
      </c>
      <c r="D222" s="61">
        <v>-2612</v>
      </c>
      <c r="E222" s="54">
        <f t="shared" si="91"/>
        <v>9.0000000000145519E-2</v>
      </c>
      <c r="F222" s="27">
        <f>+'DFIT Computations'!G223</f>
        <v>0</v>
      </c>
      <c r="G222" s="27">
        <f t="shared" si="92"/>
        <v>9.0000000000145519E-2</v>
      </c>
      <c r="H222" s="27">
        <f>+'DFIT Computations'!I223</f>
        <v>0</v>
      </c>
      <c r="I222" s="27">
        <f t="shared" si="93"/>
        <v>9.0000000000145519E-2</v>
      </c>
      <c r="J222" s="51">
        <f>VLOOKUP(L222,$C$306:$D$320,2,FALSE)</f>
        <v>0</v>
      </c>
      <c r="K222" s="42">
        <f t="shared" si="95"/>
        <v>0</v>
      </c>
      <c r="L222" s="18" t="str">
        <f>'DFIT Computations'!M223</f>
        <v>NON-APPLIC</v>
      </c>
    </row>
    <row r="223" spans="1:12" x14ac:dyDescent="0.2">
      <c r="A223" s="144">
        <f t="shared" ref="A223:A286" si="123">A222+1</f>
        <v>203</v>
      </c>
      <c r="B223" s="75" t="s">
        <v>76</v>
      </c>
      <c r="C223" s="78">
        <f>SUM(C179:C222)</f>
        <v>-13300424.949999996</v>
      </c>
      <c r="D223" s="78">
        <f>SUM(D179:D222)</f>
        <v>-2814687</v>
      </c>
      <c r="E223" s="78">
        <f>SUM(E179:E222)</f>
        <v>-10485737.949999997</v>
      </c>
      <c r="F223" s="78">
        <f t="shared" ref="F223" si="124">SUM(F179:F222)</f>
        <v>0</v>
      </c>
      <c r="G223" s="78">
        <f>SUM(G179:G222)</f>
        <v>-10485737.949999997</v>
      </c>
      <c r="H223" s="78">
        <f>SUM(H179:H222)</f>
        <v>0</v>
      </c>
      <c r="I223" s="78">
        <f>SUM(I179:I222)</f>
        <v>-10485737.949999997</v>
      </c>
      <c r="J223" s="24"/>
      <c r="K223" s="78">
        <f>SUM(K179:K222)</f>
        <v>-9403288</v>
      </c>
    </row>
    <row r="224" spans="1:12" x14ac:dyDescent="0.2">
      <c r="A224" s="144">
        <f t="shared" si="123"/>
        <v>204</v>
      </c>
      <c r="B224" s="17" t="s">
        <v>0</v>
      </c>
      <c r="C224" s="36"/>
      <c r="D224" s="82"/>
      <c r="E224" s="82"/>
      <c r="F224" s="41"/>
      <c r="G224" s="82"/>
      <c r="H224" s="41"/>
      <c r="I224" s="37"/>
      <c r="J224" s="81"/>
    </row>
    <row r="225" spans="1:12" x14ac:dyDescent="0.2">
      <c r="A225" s="144">
        <f t="shared" si="123"/>
        <v>205</v>
      </c>
      <c r="B225" s="75" t="s">
        <v>77</v>
      </c>
      <c r="C225" s="36"/>
      <c r="D225" s="98"/>
      <c r="E225" s="98"/>
      <c r="F225" s="98"/>
      <c r="G225" s="98"/>
      <c r="H225" s="98"/>
      <c r="I225" s="98"/>
      <c r="J225" s="81"/>
    </row>
    <row r="226" spans="1:12" x14ac:dyDescent="0.2">
      <c r="A226" s="144">
        <f t="shared" si="123"/>
        <v>206</v>
      </c>
      <c r="B226" s="17" t="s">
        <v>292</v>
      </c>
      <c r="C226" s="61">
        <v>0</v>
      </c>
      <c r="D226" s="61">
        <v>0</v>
      </c>
      <c r="E226" s="54">
        <f t="shared" ref="E226:E235" si="125">+C226-D226</f>
        <v>0</v>
      </c>
      <c r="F226" s="27">
        <f>+'DFIT Computations'!G228</f>
        <v>0</v>
      </c>
      <c r="G226" s="27">
        <f t="shared" ref="G226:G235" si="126">+E226+F226</f>
        <v>0</v>
      </c>
      <c r="H226" s="27">
        <f>+'DFIT Computations'!I228</f>
        <v>0</v>
      </c>
      <c r="I226" s="27">
        <f t="shared" ref="I226:I235" si="127">+G226+H226</f>
        <v>0</v>
      </c>
      <c r="J226" s="51">
        <f t="shared" ref="J226:J235" si="128">VLOOKUP(L226,$C$306:$D$320,2,FALSE)</f>
        <v>0.99</v>
      </c>
      <c r="K226" s="42">
        <f t="shared" ref="K226:K235" si="129">IF(I226*J226=0,0, ROUND(I226*J226,0))</f>
        <v>0</v>
      </c>
      <c r="L226" s="18" t="str">
        <f>'DFIT Computations'!M228</f>
        <v>LABOR</v>
      </c>
    </row>
    <row r="227" spans="1:12" x14ac:dyDescent="0.2">
      <c r="A227" s="144">
        <f t="shared" si="123"/>
        <v>207</v>
      </c>
      <c r="B227" s="17" t="s">
        <v>78</v>
      </c>
      <c r="C227" s="61">
        <v>0</v>
      </c>
      <c r="D227" s="61">
        <v>0</v>
      </c>
      <c r="E227" s="54">
        <f t="shared" ref="E227" si="130">+C227-D227</f>
        <v>0</v>
      </c>
      <c r="F227" s="27">
        <f>+'DFIT Computations'!G229</f>
        <v>0</v>
      </c>
      <c r="G227" s="27">
        <f t="shared" ref="G227" si="131">+E227+F227</f>
        <v>0</v>
      </c>
      <c r="H227" s="27">
        <f>+'DFIT Computations'!I229</f>
        <v>0</v>
      </c>
      <c r="I227" s="27">
        <f t="shared" ref="I227" si="132">+G227+H227</f>
        <v>0</v>
      </c>
      <c r="J227" s="51">
        <f t="shared" si="128"/>
        <v>0.99</v>
      </c>
      <c r="K227" s="42">
        <f t="shared" ref="K227" si="133">IF(I227*J227=0,0, ROUND(I227*J227,0))</f>
        <v>0</v>
      </c>
      <c r="L227" s="18" t="str">
        <f>'DFIT Computations'!M229</f>
        <v>LABOR</v>
      </c>
    </row>
    <row r="228" spans="1:12" x14ac:dyDescent="0.2">
      <c r="A228" s="144">
        <f t="shared" si="123"/>
        <v>208</v>
      </c>
      <c r="B228" s="17" t="s">
        <v>79</v>
      </c>
      <c r="C228" s="61">
        <v>0</v>
      </c>
      <c r="D228" s="61">
        <v>0</v>
      </c>
      <c r="E228" s="54">
        <f t="shared" si="125"/>
        <v>0</v>
      </c>
      <c r="F228" s="27">
        <f>+'DFIT Computations'!G230</f>
        <v>0</v>
      </c>
      <c r="G228" s="27">
        <f t="shared" si="126"/>
        <v>0</v>
      </c>
      <c r="H228" s="27">
        <f>+'DFIT Computations'!I230</f>
        <v>0</v>
      </c>
      <c r="I228" s="27">
        <f t="shared" si="127"/>
        <v>0</v>
      </c>
      <c r="J228" s="51">
        <f t="shared" si="128"/>
        <v>0.99</v>
      </c>
      <c r="K228" s="42">
        <f t="shared" si="129"/>
        <v>0</v>
      </c>
      <c r="L228" s="18" t="str">
        <f>'DFIT Computations'!M230</f>
        <v>LABOR</v>
      </c>
    </row>
    <row r="229" spans="1:12" x14ac:dyDescent="0.2">
      <c r="A229" s="144">
        <f t="shared" si="123"/>
        <v>209</v>
      </c>
      <c r="B229" s="17" t="s">
        <v>80</v>
      </c>
      <c r="C229" s="61">
        <v>0</v>
      </c>
      <c r="D229" s="61">
        <v>0</v>
      </c>
      <c r="E229" s="54">
        <f t="shared" si="125"/>
        <v>0</v>
      </c>
      <c r="F229" s="27">
        <f>+'DFIT Computations'!G231</f>
        <v>0</v>
      </c>
      <c r="G229" s="27">
        <f t="shared" si="126"/>
        <v>0</v>
      </c>
      <c r="H229" s="27">
        <f>+'DFIT Computations'!I231</f>
        <v>0</v>
      </c>
      <c r="I229" s="27">
        <f t="shared" si="127"/>
        <v>0</v>
      </c>
      <c r="J229" s="51">
        <f t="shared" si="128"/>
        <v>0</v>
      </c>
      <c r="K229" s="42">
        <f t="shared" si="129"/>
        <v>0</v>
      </c>
      <c r="L229" s="18" t="str">
        <f>'DFIT Computations'!M231</f>
        <v>NON-APPLIC</v>
      </c>
    </row>
    <row r="230" spans="1:12" x14ac:dyDescent="0.2">
      <c r="A230" s="144">
        <f t="shared" si="123"/>
        <v>210</v>
      </c>
      <c r="B230" s="17" t="s">
        <v>279</v>
      </c>
      <c r="C230" s="61">
        <v>0</v>
      </c>
      <c r="D230" s="61">
        <v>0</v>
      </c>
      <c r="E230" s="54">
        <f t="shared" si="125"/>
        <v>0</v>
      </c>
      <c r="F230" s="27">
        <f>+'DFIT Computations'!G232</f>
        <v>0</v>
      </c>
      <c r="G230" s="27">
        <f t="shared" si="126"/>
        <v>0</v>
      </c>
      <c r="H230" s="27">
        <f>+'DFIT Computations'!I232</f>
        <v>0</v>
      </c>
      <c r="I230" s="27">
        <f t="shared" si="127"/>
        <v>0</v>
      </c>
      <c r="J230" s="51">
        <f t="shared" si="128"/>
        <v>0</v>
      </c>
      <c r="K230" s="42">
        <f t="shared" si="129"/>
        <v>0</v>
      </c>
      <c r="L230" s="18" t="str">
        <f>'DFIT Computations'!M232</f>
        <v>NON-APPLIC</v>
      </c>
    </row>
    <row r="231" spans="1:12" x14ac:dyDescent="0.2">
      <c r="A231" s="144">
        <f t="shared" si="123"/>
        <v>211</v>
      </c>
      <c r="B231" s="17" t="s">
        <v>81</v>
      </c>
      <c r="C231" s="61">
        <v>0</v>
      </c>
      <c r="D231" s="61">
        <v>0</v>
      </c>
      <c r="E231" s="54">
        <f t="shared" si="125"/>
        <v>0</v>
      </c>
      <c r="F231" s="27">
        <f>+'DFIT Computations'!G233</f>
        <v>0</v>
      </c>
      <c r="G231" s="27">
        <f t="shared" si="126"/>
        <v>0</v>
      </c>
      <c r="H231" s="27">
        <f>+'DFIT Computations'!I233</f>
        <v>0</v>
      </c>
      <c r="I231" s="27">
        <f t="shared" si="127"/>
        <v>0</v>
      </c>
      <c r="J231" s="51">
        <f t="shared" si="128"/>
        <v>0</v>
      </c>
      <c r="K231" s="42">
        <f t="shared" si="129"/>
        <v>0</v>
      </c>
      <c r="L231" s="18" t="str">
        <f>'DFIT Computations'!M233</f>
        <v>NON-APPLIC</v>
      </c>
    </row>
    <row r="232" spans="1:12" x14ac:dyDescent="0.2">
      <c r="A232" s="144">
        <f t="shared" si="123"/>
        <v>212</v>
      </c>
      <c r="B232" s="17" t="s">
        <v>280</v>
      </c>
      <c r="C232" s="61">
        <v>0</v>
      </c>
      <c r="D232" s="61">
        <v>0</v>
      </c>
      <c r="E232" s="54">
        <f t="shared" si="125"/>
        <v>0</v>
      </c>
      <c r="F232" s="27">
        <f>+'DFIT Computations'!G234</f>
        <v>0</v>
      </c>
      <c r="G232" s="27">
        <f t="shared" si="126"/>
        <v>0</v>
      </c>
      <c r="H232" s="27">
        <f>+'DFIT Computations'!I234</f>
        <v>0</v>
      </c>
      <c r="I232" s="27">
        <f t="shared" si="127"/>
        <v>0</v>
      </c>
      <c r="J232" s="51">
        <f t="shared" si="128"/>
        <v>0.99</v>
      </c>
      <c r="K232" s="42">
        <f t="shared" si="129"/>
        <v>0</v>
      </c>
      <c r="L232" s="18" t="str">
        <f>'DFIT Computations'!M234</f>
        <v>LABOR</v>
      </c>
    </row>
    <row r="233" spans="1:12" x14ac:dyDescent="0.2">
      <c r="A233" s="144">
        <f t="shared" si="123"/>
        <v>213</v>
      </c>
      <c r="B233" s="56" t="s">
        <v>258</v>
      </c>
      <c r="C233" s="61">
        <v>0</v>
      </c>
      <c r="D233" s="61">
        <v>0</v>
      </c>
      <c r="E233" s="54">
        <f t="shared" si="125"/>
        <v>0</v>
      </c>
      <c r="F233" s="27">
        <f>+'DFIT Computations'!G235</f>
        <v>0</v>
      </c>
      <c r="G233" s="27">
        <f t="shared" si="126"/>
        <v>0</v>
      </c>
      <c r="H233" s="27">
        <f>+'DFIT Computations'!I235</f>
        <v>0</v>
      </c>
      <c r="I233" s="27">
        <f t="shared" si="127"/>
        <v>0</v>
      </c>
      <c r="J233" s="51">
        <f t="shared" si="128"/>
        <v>0.98499999999999999</v>
      </c>
      <c r="K233" s="42">
        <f t="shared" si="129"/>
        <v>0</v>
      </c>
      <c r="L233" s="18" t="str">
        <f>'DFIT Computations'!M235</f>
        <v>PROD PLT</v>
      </c>
    </row>
    <row r="234" spans="1:12" x14ac:dyDescent="0.2">
      <c r="A234" s="144">
        <f t="shared" si="123"/>
        <v>214</v>
      </c>
      <c r="B234" s="17" t="s">
        <v>82</v>
      </c>
      <c r="C234" s="61">
        <v>0</v>
      </c>
      <c r="D234" s="61">
        <v>0</v>
      </c>
      <c r="E234" s="54">
        <f t="shared" si="125"/>
        <v>0</v>
      </c>
      <c r="F234" s="27">
        <f>+'DFIT Computations'!G236</f>
        <v>0</v>
      </c>
      <c r="G234" s="27">
        <f t="shared" si="126"/>
        <v>0</v>
      </c>
      <c r="H234" s="27">
        <f>+'DFIT Computations'!I236</f>
        <v>0</v>
      </c>
      <c r="I234" s="27">
        <f t="shared" si="127"/>
        <v>0</v>
      </c>
      <c r="J234" s="51">
        <f t="shared" si="128"/>
        <v>0.98499999999999999</v>
      </c>
      <c r="K234" s="42">
        <f t="shared" si="129"/>
        <v>0</v>
      </c>
      <c r="L234" s="18" t="str">
        <f>'DFIT Computations'!M236</f>
        <v>PROD PLT</v>
      </c>
    </row>
    <row r="235" spans="1:12" x14ac:dyDescent="0.2">
      <c r="A235" s="144">
        <f t="shared" si="123"/>
        <v>215</v>
      </c>
      <c r="B235" s="56" t="s">
        <v>259</v>
      </c>
      <c r="C235" s="61">
        <v>0</v>
      </c>
      <c r="D235" s="61">
        <v>13958</v>
      </c>
      <c r="E235" s="54">
        <f t="shared" si="125"/>
        <v>-13958</v>
      </c>
      <c r="F235" s="27">
        <f>+'DFIT Computations'!G238</f>
        <v>0</v>
      </c>
      <c r="G235" s="27">
        <f t="shared" si="126"/>
        <v>-13958</v>
      </c>
      <c r="H235" s="27">
        <f>+'DFIT Computations'!I238</f>
        <v>0</v>
      </c>
      <c r="I235" s="27">
        <f t="shared" si="127"/>
        <v>-13958</v>
      </c>
      <c r="J235" s="51">
        <f t="shared" si="128"/>
        <v>0</v>
      </c>
      <c r="K235" s="42">
        <f t="shared" si="129"/>
        <v>0</v>
      </c>
      <c r="L235" s="18" t="str">
        <f>'DFIT Computations'!M238</f>
        <v>NON-APPLIC</v>
      </c>
    </row>
    <row r="236" spans="1:12" x14ac:dyDescent="0.2">
      <c r="A236" s="144">
        <f t="shared" si="123"/>
        <v>216</v>
      </c>
      <c r="B236" s="75" t="s">
        <v>83</v>
      </c>
      <c r="C236" s="78">
        <f t="shared" ref="C236:I236" si="134">SUM(C226:C235)</f>
        <v>0</v>
      </c>
      <c r="D236" s="78">
        <f t="shared" si="134"/>
        <v>13958</v>
      </c>
      <c r="E236" s="78">
        <f t="shared" si="134"/>
        <v>-13958</v>
      </c>
      <c r="F236" s="78">
        <f t="shared" ref="F236" si="135">SUM(F226:F235)</f>
        <v>0</v>
      </c>
      <c r="G236" s="78">
        <f t="shared" si="134"/>
        <v>-13958</v>
      </c>
      <c r="H236" s="78">
        <f t="shared" si="134"/>
        <v>0</v>
      </c>
      <c r="I236" s="78">
        <f t="shared" si="134"/>
        <v>-13958</v>
      </c>
      <c r="J236" s="24"/>
      <c r="K236" s="78">
        <f>SUM(K226:K235)</f>
        <v>0</v>
      </c>
    </row>
    <row r="237" spans="1:12" x14ac:dyDescent="0.2">
      <c r="A237" s="144">
        <f t="shared" si="123"/>
        <v>217</v>
      </c>
      <c r="B237" s="17" t="s">
        <v>0</v>
      </c>
      <c r="C237" s="36"/>
      <c r="D237" s="82"/>
      <c r="E237" s="82"/>
      <c r="F237" s="41"/>
      <c r="G237" s="41"/>
      <c r="H237" s="41"/>
      <c r="I237" s="41"/>
      <c r="J237" s="81"/>
    </row>
    <row r="238" spans="1:12" x14ac:dyDescent="0.2">
      <c r="A238" s="144">
        <f t="shared" si="123"/>
        <v>218</v>
      </c>
      <c r="B238" s="75" t="s">
        <v>84</v>
      </c>
      <c r="C238" s="36"/>
      <c r="D238" s="82"/>
      <c r="E238" s="82"/>
      <c r="F238" s="41"/>
      <c r="G238" s="41"/>
      <c r="H238" s="41"/>
      <c r="I238" s="41"/>
      <c r="J238" s="81"/>
    </row>
    <row r="239" spans="1:12" x14ac:dyDescent="0.2">
      <c r="A239" s="144">
        <f t="shared" si="123"/>
        <v>219</v>
      </c>
      <c r="B239" s="17" t="s">
        <v>85</v>
      </c>
      <c r="C239" s="61">
        <f>21003.15-2461.83</f>
        <v>18541.32</v>
      </c>
      <c r="D239" s="61">
        <f>-(26052-23700)</f>
        <v>-2352</v>
      </c>
      <c r="E239" s="54">
        <f>+C239-D239</f>
        <v>20893.32</v>
      </c>
      <c r="F239" s="27">
        <f>+'DFIT Computations'!G242</f>
        <v>0</v>
      </c>
      <c r="G239" s="27">
        <f t="shared" ref="G239:G240" si="136">+E239+F239</f>
        <v>20893.32</v>
      </c>
      <c r="H239" s="27">
        <f>+'DFIT Computations'!I242</f>
        <v>0</v>
      </c>
      <c r="I239" s="27">
        <f>+G239+H239</f>
        <v>20893.32</v>
      </c>
      <c r="J239" s="51">
        <f>VLOOKUP(L239,$C$306:$D$320,2,FALSE)</f>
        <v>0.98499999999999999</v>
      </c>
      <c r="K239" s="42">
        <f>IF(I239*J239=0,0, ROUND(I239*J239,0))</f>
        <v>20580</v>
      </c>
      <c r="L239" s="18" t="str">
        <f>'DFIT Computations'!M242</f>
        <v>GROSS PLT</v>
      </c>
    </row>
    <row r="240" spans="1:12" x14ac:dyDescent="0.2">
      <c r="A240" s="144">
        <f t="shared" si="123"/>
        <v>220</v>
      </c>
      <c r="B240" s="17" t="s">
        <v>86</v>
      </c>
      <c r="C240" s="61">
        <v>-107140.11</v>
      </c>
      <c r="D240" s="61">
        <v>-107140</v>
      </c>
      <c r="E240" s="54">
        <f>+C240-D240</f>
        <v>-0.11000000000058208</v>
      </c>
      <c r="F240" s="27">
        <f>+'DFIT Computations'!G243</f>
        <v>0</v>
      </c>
      <c r="G240" s="27">
        <f t="shared" si="136"/>
        <v>-0.11000000000058208</v>
      </c>
      <c r="H240" s="27">
        <f>+'DFIT Computations'!I243</f>
        <v>0</v>
      </c>
      <c r="I240" s="27">
        <f>+G240+H240</f>
        <v>-0.11000000000058208</v>
      </c>
      <c r="J240" s="51">
        <f>VLOOKUP(L240,$C$306:$D$320,2,FALSE)</f>
        <v>0.98499999999999999</v>
      </c>
      <c r="K240" s="42">
        <f>IF(I240*J240=0,0, ROUND(I240*J240,0))</f>
        <v>0</v>
      </c>
      <c r="L240" s="18" t="str">
        <f>'DFIT Computations'!M243</f>
        <v>GROSS PLT</v>
      </c>
    </row>
    <row r="241" spans="1:12" x14ac:dyDescent="0.2">
      <c r="A241" s="144">
        <f t="shared" si="123"/>
        <v>221</v>
      </c>
      <c r="B241" s="75" t="s">
        <v>87</v>
      </c>
      <c r="C241" s="78">
        <f t="shared" ref="C241:I241" si="137">SUM(C239:C240)</f>
        <v>-88598.790000000008</v>
      </c>
      <c r="D241" s="78">
        <f t="shared" si="137"/>
        <v>-109492</v>
      </c>
      <c r="E241" s="78">
        <f t="shared" si="137"/>
        <v>20893.21</v>
      </c>
      <c r="F241" s="78">
        <f t="shared" ref="F241" si="138">SUM(F239:F240)</f>
        <v>0</v>
      </c>
      <c r="G241" s="78">
        <f t="shared" si="137"/>
        <v>20893.21</v>
      </c>
      <c r="H241" s="78">
        <f t="shared" si="137"/>
        <v>0</v>
      </c>
      <c r="I241" s="78">
        <f t="shared" si="137"/>
        <v>20893.21</v>
      </c>
      <c r="J241" s="24"/>
      <c r="K241" s="78">
        <f>SUM(K239:K240)</f>
        <v>20580</v>
      </c>
    </row>
    <row r="242" spans="1:12" x14ac:dyDescent="0.2">
      <c r="A242" s="144">
        <f t="shared" si="123"/>
        <v>222</v>
      </c>
      <c r="B242" s="17" t="s">
        <v>0</v>
      </c>
      <c r="C242" s="36"/>
      <c r="D242" s="82"/>
      <c r="E242" s="82"/>
      <c r="F242" s="41"/>
      <c r="G242" s="82"/>
      <c r="H242" s="41"/>
      <c r="I242" s="37"/>
      <c r="J242" s="81"/>
    </row>
    <row r="243" spans="1:12" x14ac:dyDescent="0.2">
      <c r="A243" s="144">
        <f t="shared" si="123"/>
        <v>223</v>
      </c>
      <c r="B243" s="75" t="s">
        <v>88</v>
      </c>
      <c r="C243" s="36"/>
      <c r="D243" s="98"/>
      <c r="E243" s="98"/>
      <c r="F243" s="98"/>
      <c r="G243" s="98"/>
      <c r="H243" s="98"/>
      <c r="I243" s="98"/>
      <c r="J243" s="81"/>
    </row>
    <row r="244" spans="1:12" x14ac:dyDescent="0.2">
      <c r="A244" s="144">
        <f t="shared" si="123"/>
        <v>224</v>
      </c>
      <c r="B244" s="17" t="s">
        <v>89</v>
      </c>
      <c r="C244" s="61">
        <f>905048.7-154482.76-63742.56</f>
        <v>686823.37999999989</v>
      </c>
      <c r="D244" s="61">
        <f>-(728116-686823)</f>
        <v>-41293</v>
      </c>
      <c r="E244" s="54">
        <f>+C244-D244</f>
        <v>728116.37999999989</v>
      </c>
      <c r="F244" s="27">
        <f>+'DFIT Computations'!G247</f>
        <v>0</v>
      </c>
      <c r="G244" s="27">
        <f>+E244+F244</f>
        <v>728116.37999999989</v>
      </c>
      <c r="H244" s="27">
        <f>+'DFIT Computations'!I247</f>
        <v>0</v>
      </c>
      <c r="I244" s="27">
        <f>+G244+H244</f>
        <v>728116.37999999989</v>
      </c>
      <c r="J244" s="51">
        <f>VLOOKUP(L244,$C$306:$D$320,2,FALSE)</f>
        <v>0.98499999999999999</v>
      </c>
      <c r="K244" s="42">
        <f>IF(I244*J244=0,0, ROUND(I244*J244,0))</f>
        <v>717195</v>
      </c>
      <c r="L244" s="18" t="str">
        <f>'DFIT Computations'!M247</f>
        <v>GROSS PLT</v>
      </c>
    </row>
    <row r="245" spans="1:12" x14ac:dyDescent="0.2">
      <c r="A245" s="144">
        <f t="shared" si="123"/>
        <v>225</v>
      </c>
      <c r="B245" s="75" t="s">
        <v>90</v>
      </c>
      <c r="C245" s="78">
        <f t="shared" ref="C245:I245" si="139">SUM(C244:C244)</f>
        <v>686823.37999999989</v>
      </c>
      <c r="D245" s="78">
        <f t="shared" si="139"/>
        <v>-41293</v>
      </c>
      <c r="E245" s="78">
        <f t="shared" si="139"/>
        <v>728116.37999999989</v>
      </c>
      <c r="F245" s="78">
        <f t="shared" ref="F245" si="140">SUM(F244:F244)</f>
        <v>0</v>
      </c>
      <c r="G245" s="78">
        <f t="shared" si="139"/>
        <v>728116.37999999989</v>
      </c>
      <c r="H245" s="78">
        <f t="shared" si="139"/>
        <v>0</v>
      </c>
      <c r="I245" s="78">
        <f t="shared" si="139"/>
        <v>728116.37999999989</v>
      </c>
      <c r="J245" s="24"/>
      <c r="K245" s="78">
        <f>SUM(K244:K244)</f>
        <v>717195</v>
      </c>
    </row>
    <row r="246" spans="1:12" x14ac:dyDescent="0.2">
      <c r="A246" s="144">
        <f t="shared" si="123"/>
        <v>226</v>
      </c>
      <c r="B246" s="17" t="s">
        <v>0</v>
      </c>
      <c r="C246" s="36"/>
      <c r="D246" s="38"/>
      <c r="E246" s="38"/>
      <c r="F246" s="38"/>
      <c r="G246" s="38"/>
      <c r="H246" s="38"/>
      <c r="I246" s="38"/>
      <c r="J246" s="81"/>
    </row>
    <row r="247" spans="1:12" x14ac:dyDescent="0.2">
      <c r="A247" s="144">
        <f t="shared" si="123"/>
        <v>227</v>
      </c>
      <c r="B247" s="75" t="s">
        <v>91</v>
      </c>
      <c r="C247" s="36"/>
      <c r="D247" s="38"/>
      <c r="E247" s="38"/>
      <c r="F247" s="38"/>
      <c r="G247" s="38"/>
      <c r="H247" s="38"/>
      <c r="I247" s="38"/>
      <c r="J247" s="81"/>
    </row>
    <row r="248" spans="1:12" x14ac:dyDescent="0.2">
      <c r="A248" s="144">
        <f t="shared" si="123"/>
        <v>228</v>
      </c>
      <c r="B248" s="17" t="s">
        <v>346</v>
      </c>
      <c r="C248" s="61">
        <v>-7817.46</v>
      </c>
      <c r="D248" s="61">
        <v>0</v>
      </c>
      <c r="E248" s="54">
        <f>+C248-D248</f>
        <v>-7817.46</v>
      </c>
      <c r="F248" s="27">
        <f>+'DFIT Computations'!G251</f>
        <v>0</v>
      </c>
      <c r="G248" s="27">
        <f>+E248+F248</f>
        <v>-7817.46</v>
      </c>
      <c r="H248" s="27">
        <f>+'DFIT Computations'!I251</f>
        <v>0</v>
      </c>
      <c r="I248" s="27">
        <f>+G248+H248</f>
        <v>-7817.46</v>
      </c>
      <c r="J248" s="51">
        <f>VLOOKUP(L248,$C$306:$D$320,2,FALSE)</f>
        <v>0.98499999999999999</v>
      </c>
      <c r="K248" s="42">
        <f>IF(I248*J248=0,0, ROUND(I248*J248,0))</f>
        <v>-7700</v>
      </c>
      <c r="L248" s="18" t="str">
        <f>'DFIT Computations'!M251</f>
        <v>DEMAND</v>
      </c>
    </row>
    <row r="249" spans="1:12" x14ac:dyDescent="0.2">
      <c r="A249" s="144">
        <f t="shared" si="123"/>
        <v>229</v>
      </c>
      <c r="B249" s="75" t="s">
        <v>92</v>
      </c>
      <c r="C249" s="78">
        <f t="shared" ref="C249:I249" si="141">SUM(C248:C248)</f>
        <v>-7817.46</v>
      </c>
      <c r="D249" s="78">
        <f t="shared" si="141"/>
        <v>0</v>
      </c>
      <c r="E249" s="78">
        <f t="shared" si="141"/>
        <v>-7817.46</v>
      </c>
      <c r="F249" s="78">
        <f t="shared" ref="F249" si="142">SUM(F248:F248)</f>
        <v>0</v>
      </c>
      <c r="G249" s="78">
        <f t="shared" si="141"/>
        <v>-7817.46</v>
      </c>
      <c r="H249" s="78">
        <f t="shared" si="141"/>
        <v>0</v>
      </c>
      <c r="I249" s="78">
        <f t="shared" si="141"/>
        <v>-7817.46</v>
      </c>
      <c r="J249" s="24"/>
      <c r="K249" s="78">
        <f>SUM(K248:K248)</f>
        <v>-7700</v>
      </c>
    </row>
    <row r="250" spans="1:12" x14ac:dyDescent="0.2">
      <c r="A250" s="144">
        <f t="shared" si="123"/>
        <v>230</v>
      </c>
      <c r="B250" s="17" t="s">
        <v>0</v>
      </c>
      <c r="C250" s="36"/>
      <c r="D250" s="82"/>
      <c r="E250" s="82"/>
      <c r="F250" s="41"/>
      <c r="G250" s="41"/>
      <c r="H250" s="41"/>
      <c r="I250" s="41"/>
      <c r="J250" s="81"/>
    </row>
    <row r="251" spans="1:12" x14ac:dyDescent="0.2">
      <c r="A251" s="144">
        <f t="shared" si="123"/>
        <v>231</v>
      </c>
      <c r="B251" s="75" t="s">
        <v>93</v>
      </c>
      <c r="C251" s="36"/>
      <c r="D251" s="38"/>
      <c r="E251" s="38"/>
      <c r="F251" s="38"/>
      <c r="G251" s="38"/>
      <c r="H251" s="38"/>
      <c r="I251" s="38"/>
      <c r="J251" s="81"/>
    </row>
    <row r="252" spans="1:12" x14ac:dyDescent="0.2">
      <c r="A252" s="144">
        <f t="shared" si="123"/>
        <v>232</v>
      </c>
      <c r="B252" s="17" t="s">
        <v>94</v>
      </c>
      <c r="C252" s="61">
        <v>0</v>
      </c>
      <c r="D252" s="61">
        <v>0</v>
      </c>
      <c r="E252" s="54">
        <f t="shared" ref="E252:E262" si="143">+C252-D252</f>
        <v>0</v>
      </c>
      <c r="F252" s="27">
        <f>+'DFIT Computations'!G255</f>
        <v>0</v>
      </c>
      <c r="G252" s="27">
        <f t="shared" ref="G252:G262" si="144">+E252+F252</f>
        <v>0</v>
      </c>
      <c r="H252" s="27">
        <f>+'DFIT Computations'!I255</f>
        <v>0</v>
      </c>
      <c r="I252" s="27">
        <f t="shared" ref="I252:I262" si="145">+G252+H252</f>
        <v>0</v>
      </c>
      <c r="J252" s="51">
        <f t="shared" ref="J252:J262" si="146">VLOOKUP(L252,$C$306:$D$320,2,FALSE)</f>
        <v>0</v>
      </c>
      <c r="K252" s="42">
        <f t="shared" ref="K252:K262" si="147">IF(I252*J252=0,0, ROUND(I252*J252,0))</f>
        <v>0</v>
      </c>
      <c r="L252" s="18" t="str">
        <f>'DFIT Computations'!M255</f>
        <v>NON-UTILITY</v>
      </c>
    </row>
    <row r="253" spans="1:12" x14ac:dyDescent="0.2">
      <c r="A253" s="144">
        <f t="shared" si="123"/>
        <v>233</v>
      </c>
      <c r="B253" s="17" t="s">
        <v>95</v>
      </c>
      <c r="C253" s="61">
        <f>455348.44-1560918.76</f>
        <v>-1105570.32</v>
      </c>
      <c r="D253" s="61">
        <f>-(-1338272+1358849)</f>
        <v>-20577</v>
      </c>
      <c r="E253" s="54">
        <f t="shared" si="143"/>
        <v>-1084993.32</v>
      </c>
      <c r="F253" s="27">
        <f>+'DFIT Computations'!G256</f>
        <v>0</v>
      </c>
      <c r="G253" s="27">
        <f t="shared" si="144"/>
        <v>-1084993.32</v>
      </c>
      <c r="H253" s="27">
        <f>+'DFIT Computations'!I256</f>
        <v>0</v>
      </c>
      <c r="I253" s="27">
        <f t="shared" si="145"/>
        <v>-1084993.32</v>
      </c>
      <c r="J253" s="51">
        <f t="shared" si="146"/>
        <v>0.98599999999999999</v>
      </c>
      <c r="K253" s="42">
        <f t="shared" si="147"/>
        <v>-1069803</v>
      </c>
      <c r="L253" s="18" t="str">
        <f>'DFIT Computations'!M256</f>
        <v>ENERGY</v>
      </c>
    </row>
    <row r="254" spans="1:12" x14ac:dyDescent="0.2">
      <c r="A254" s="144">
        <f t="shared" si="123"/>
        <v>234</v>
      </c>
      <c r="B254" s="17" t="s">
        <v>96</v>
      </c>
      <c r="C254" s="61">
        <v>0</v>
      </c>
      <c r="D254" s="61">
        <v>0</v>
      </c>
      <c r="E254" s="54">
        <f t="shared" si="143"/>
        <v>0</v>
      </c>
      <c r="F254" s="27">
        <f>+'DFIT Computations'!G257</f>
        <v>0</v>
      </c>
      <c r="G254" s="27">
        <f t="shared" si="144"/>
        <v>0</v>
      </c>
      <c r="H254" s="27">
        <f>+'DFIT Computations'!I257</f>
        <v>0</v>
      </c>
      <c r="I254" s="27">
        <f t="shared" si="145"/>
        <v>0</v>
      </c>
      <c r="J254" s="51">
        <f t="shared" si="146"/>
        <v>0</v>
      </c>
      <c r="K254" s="42">
        <f t="shared" si="147"/>
        <v>0</v>
      </c>
      <c r="L254" s="18" t="str">
        <f>'DFIT Computations'!M257</f>
        <v>NON-UTILITY</v>
      </c>
    </row>
    <row r="255" spans="1:12" x14ac:dyDescent="0.2">
      <c r="A255" s="144">
        <f t="shared" si="123"/>
        <v>235</v>
      </c>
      <c r="B255" s="17" t="s">
        <v>97</v>
      </c>
      <c r="C255" s="61">
        <v>0</v>
      </c>
      <c r="D255" s="61">
        <v>0</v>
      </c>
      <c r="E255" s="54">
        <f t="shared" si="143"/>
        <v>0</v>
      </c>
      <c r="F255" s="27">
        <f>+'DFIT Computations'!G258</f>
        <v>0</v>
      </c>
      <c r="G255" s="27">
        <f t="shared" si="144"/>
        <v>0</v>
      </c>
      <c r="H255" s="27">
        <f>+'DFIT Computations'!I258</f>
        <v>0</v>
      </c>
      <c r="I255" s="27">
        <f t="shared" si="145"/>
        <v>0</v>
      </c>
      <c r="J255" s="51">
        <f t="shared" si="146"/>
        <v>0</v>
      </c>
      <c r="K255" s="42">
        <f t="shared" si="147"/>
        <v>0</v>
      </c>
      <c r="L255" s="18" t="str">
        <f>'DFIT Computations'!M258</f>
        <v>NON-UTILITY</v>
      </c>
    </row>
    <row r="256" spans="1:12" x14ac:dyDescent="0.2">
      <c r="A256" s="144">
        <f t="shared" si="123"/>
        <v>236</v>
      </c>
      <c r="B256" s="17" t="s">
        <v>98</v>
      </c>
      <c r="C256" s="61">
        <f>-60341.4</f>
        <v>-60341.4</v>
      </c>
      <c r="D256" s="61">
        <v>0</v>
      </c>
      <c r="E256" s="54">
        <f t="shared" si="143"/>
        <v>-60341.4</v>
      </c>
      <c r="F256" s="27">
        <f>+'DFIT Computations'!G259</f>
        <v>0</v>
      </c>
      <c r="G256" s="27">
        <f t="shared" si="144"/>
        <v>-60341.4</v>
      </c>
      <c r="H256" s="27">
        <f>+'DFIT Computations'!I259</f>
        <v>0</v>
      </c>
      <c r="I256" s="27">
        <f t="shared" si="145"/>
        <v>-60341.4</v>
      </c>
      <c r="J256" s="51">
        <f t="shared" si="146"/>
        <v>0.98599999999999999</v>
      </c>
      <c r="K256" s="42">
        <f t="shared" si="147"/>
        <v>-59497</v>
      </c>
      <c r="L256" s="18" t="str">
        <f>'DFIT Computations'!M259</f>
        <v>ENERGY</v>
      </c>
    </row>
    <row r="257" spans="1:12" x14ac:dyDescent="0.2">
      <c r="A257" s="144">
        <f t="shared" si="123"/>
        <v>237</v>
      </c>
      <c r="B257" s="17" t="s">
        <v>99</v>
      </c>
      <c r="C257" s="61">
        <v>-144.27000000000001</v>
      </c>
      <c r="D257" s="61">
        <v>-144</v>
      </c>
      <c r="E257" s="54">
        <f t="shared" si="143"/>
        <v>-0.27000000000001023</v>
      </c>
      <c r="F257" s="27">
        <f>+'DFIT Computations'!G260</f>
        <v>0</v>
      </c>
      <c r="G257" s="27">
        <f t="shared" si="144"/>
        <v>-0.27000000000001023</v>
      </c>
      <c r="H257" s="27">
        <f>+'DFIT Computations'!I260</f>
        <v>0</v>
      </c>
      <c r="I257" s="27">
        <f t="shared" si="145"/>
        <v>-0.27000000000001023</v>
      </c>
      <c r="J257" s="51">
        <f t="shared" si="146"/>
        <v>0.98599999999999999</v>
      </c>
      <c r="K257" s="42">
        <f t="shared" si="147"/>
        <v>0</v>
      </c>
      <c r="L257" s="18" t="str">
        <f>'DFIT Computations'!M260</f>
        <v>ENERGY</v>
      </c>
    </row>
    <row r="258" spans="1:12" x14ac:dyDescent="0.2">
      <c r="A258" s="144">
        <f t="shared" si="123"/>
        <v>238</v>
      </c>
      <c r="B258" s="17" t="s">
        <v>100</v>
      </c>
      <c r="C258" s="61">
        <v>-1928.01</v>
      </c>
      <c r="D258" s="61">
        <v>0</v>
      </c>
      <c r="E258" s="54">
        <f t="shared" si="143"/>
        <v>-1928.01</v>
      </c>
      <c r="F258" s="27">
        <f>+'DFIT Computations'!G261</f>
        <v>0</v>
      </c>
      <c r="G258" s="27">
        <f t="shared" si="144"/>
        <v>-1928.01</v>
      </c>
      <c r="H258" s="27">
        <f>+'DFIT Computations'!I261</f>
        <v>0</v>
      </c>
      <c r="I258" s="27">
        <f t="shared" si="145"/>
        <v>-1928.01</v>
      </c>
      <c r="J258" s="51">
        <f t="shared" si="146"/>
        <v>0.98599999999999999</v>
      </c>
      <c r="K258" s="42">
        <f t="shared" si="147"/>
        <v>-1901</v>
      </c>
      <c r="L258" s="18" t="str">
        <f>'DFIT Computations'!M261</f>
        <v>ENERGY</v>
      </c>
    </row>
    <row r="259" spans="1:12" x14ac:dyDescent="0.2">
      <c r="A259" s="144">
        <f t="shared" si="123"/>
        <v>239</v>
      </c>
      <c r="B259" s="17" t="s">
        <v>260</v>
      </c>
      <c r="C259" s="61">
        <v>0</v>
      </c>
      <c r="D259" s="61">
        <v>0</v>
      </c>
      <c r="E259" s="54">
        <f t="shared" si="143"/>
        <v>0</v>
      </c>
      <c r="F259" s="27">
        <f>+'DFIT Computations'!G262</f>
        <v>0</v>
      </c>
      <c r="G259" s="27">
        <f t="shared" si="144"/>
        <v>0</v>
      </c>
      <c r="H259" s="27">
        <f>+'DFIT Computations'!I262</f>
        <v>0</v>
      </c>
      <c r="I259" s="27">
        <f t="shared" si="145"/>
        <v>0</v>
      </c>
      <c r="J259" s="51">
        <f t="shared" si="146"/>
        <v>0.98599999999999999</v>
      </c>
      <c r="K259" s="42">
        <f t="shared" si="147"/>
        <v>0</v>
      </c>
      <c r="L259" s="18" t="str">
        <f>'DFIT Computations'!M262</f>
        <v>ENERGY</v>
      </c>
    </row>
    <row r="260" spans="1:12" x14ac:dyDescent="0.2">
      <c r="A260" s="144">
        <f t="shared" si="123"/>
        <v>240</v>
      </c>
      <c r="B260" s="17" t="s">
        <v>101</v>
      </c>
      <c r="C260" s="61">
        <v>0</v>
      </c>
      <c r="D260" s="61">
        <v>0</v>
      </c>
      <c r="E260" s="54">
        <f t="shared" si="143"/>
        <v>0</v>
      </c>
      <c r="F260" s="27">
        <f>+'DFIT Computations'!G263</f>
        <v>0</v>
      </c>
      <c r="G260" s="27">
        <f t="shared" si="144"/>
        <v>0</v>
      </c>
      <c r="H260" s="27">
        <f>+'DFIT Computations'!I263</f>
        <v>0</v>
      </c>
      <c r="I260" s="27">
        <f t="shared" si="145"/>
        <v>0</v>
      </c>
      <c r="J260" s="51">
        <f t="shared" si="146"/>
        <v>0</v>
      </c>
      <c r="K260" s="42">
        <f t="shared" si="147"/>
        <v>0</v>
      </c>
      <c r="L260" s="18" t="str">
        <f>'DFIT Computations'!M263</f>
        <v>NON-UTILITY</v>
      </c>
    </row>
    <row r="261" spans="1:12" x14ac:dyDescent="0.2">
      <c r="A261" s="144">
        <f t="shared" si="123"/>
        <v>241</v>
      </c>
      <c r="B261" s="17" t="s">
        <v>261</v>
      </c>
      <c r="C261" s="61">
        <v>0</v>
      </c>
      <c r="D261" s="61">
        <v>0</v>
      </c>
      <c r="E261" s="54">
        <f t="shared" si="143"/>
        <v>0</v>
      </c>
      <c r="F261" s="27">
        <f>+'DFIT Computations'!G264</f>
        <v>0</v>
      </c>
      <c r="G261" s="27">
        <f t="shared" si="144"/>
        <v>0</v>
      </c>
      <c r="H261" s="27">
        <f>+'DFIT Computations'!I264</f>
        <v>0</v>
      </c>
      <c r="I261" s="27">
        <f t="shared" si="145"/>
        <v>0</v>
      </c>
      <c r="J261" s="51">
        <f t="shared" si="146"/>
        <v>0</v>
      </c>
      <c r="K261" s="42">
        <f t="shared" si="147"/>
        <v>0</v>
      </c>
      <c r="L261" s="18" t="str">
        <f>'DFIT Computations'!M264</f>
        <v>NON-UTILITY</v>
      </c>
    </row>
    <row r="262" spans="1:12" x14ac:dyDescent="0.2">
      <c r="A262" s="144">
        <f t="shared" si="123"/>
        <v>242</v>
      </c>
      <c r="B262" s="17" t="s">
        <v>102</v>
      </c>
      <c r="C262" s="61">
        <f>2061188.64-913925.97</f>
        <v>1147262.67</v>
      </c>
      <c r="D262" s="61">
        <v>0</v>
      </c>
      <c r="E262" s="54">
        <f t="shared" si="143"/>
        <v>1147262.67</v>
      </c>
      <c r="F262" s="27">
        <f>+'DFIT Computations'!G265</f>
        <v>0</v>
      </c>
      <c r="G262" s="27">
        <f t="shared" si="144"/>
        <v>1147262.67</v>
      </c>
      <c r="H262" s="27">
        <f>+'DFIT Computations'!I265</f>
        <v>0</v>
      </c>
      <c r="I262" s="27">
        <f t="shared" si="145"/>
        <v>1147262.67</v>
      </c>
      <c r="J262" s="51">
        <f t="shared" si="146"/>
        <v>0.98599999999999999</v>
      </c>
      <c r="K262" s="42">
        <f t="shared" si="147"/>
        <v>1131201</v>
      </c>
      <c r="L262" s="18" t="str">
        <f>'DFIT Computations'!M265</f>
        <v>ENERGY</v>
      </c>
    </row>
    <row r="263" spans="1:12" x14ac:dyDescent="0.2">
      <c r="A263" s="144">
        <f t="shared" si="123"/>
        <v>243</v>
      </c>
      <c r="B263" s="75" t="s">
        <v>103</v>
      </c>
      <c r="C263" s="78">
        <f t="shared" ref="C263:I263" si="148">SUM(C252:C262)</f>
        <v>-20721.330000000075</v>
      </c>
      <c r="D263" s="78">
        <f t="shared" si="148"/>
        <v>-20721</v>
      </c>
      <c r="E263" s="78">
        <f t="shared" si="148"/>
        <v>-0.33000000007450581</v>
      </c>
      <c r="F263" s="78">
        <f t="shared" ref="F263" si="149">SUM(F252:F262)</f>
        <v>0</v>
      </c>
      <c r="G263" s="78">
        <f t="shared" si="148"/>
        <v>-0.33000000007450581</v>
      </c>
      <c r="H263" s="78">
        <f t="shared" si="148"/>
        <v>0</v>
      </c>
      <c r="I263" s="78">
        <f t="shared" si="148"/>
        <v>-0.33000000007450581</v>
      </c>
      <c r="J263" s="24"/>
      <c r="K263" s="78">
        <f>SUM(K252:K262)</f>
        <v>0</v>
      </c>
    </row>
    <row r="264" spans="1:12" x14ac:dyDescent="0.2">
      <c r="A264" s="144">
        <f t="shared" si="123"/>
        <v>244</v>
      </c>
      <c r="B264" s="17" t="s">
        <v>0</v>
      </c>
      <c r="C264" s="36"/>
      <c r="D264" s="38"/>
      <c r="E264" s="38"/>
      <c r="F264" s="38"/>
      <c r="G264" s="38"/>
      <c r="H264" s="38"/>
      <c r="I264" s="38"/>
      <c r="J264" s="81"/>
    </row>
    <row r="265" spans="1:12" x14ac:dyDescent="0.2">
      <c r="A265" s="144">
        <f t="shared" si="123"/>
        <v>245</v>
      </c>
      <c r="B265" s="75" t="s">
        <v>104</v>
      </c>
      <c r="C265" s="61"/>
      <c r="D265" s="38"/>
      <c r="E265" s="38"/>
      <c r="F265" s="38"/>
      <c r="G265" s="38"/>
      <c r="H265" s="38"/>
      <c r="I265" s="38"/>
      <c r="J265" s="81"/>
    </row>
    <row r="266" spans="1:12" x14ac:dyDescent="0.2">
      <c r="A266" s="144">
        <f t="shared" si="123"/>
        <v>246</v>
      </c>
      <c r="B266" s="17" t="s">
        <v>105</v>
      </c>
      <c r="C266" s="61">
        <f>0.21-53845.47</f>
        <v>-53845.26</v>
      </c>
      <c r="D266" s="61">
        <v>0</v>
      </c>
      <c r="E266" s="54">
        <f t="shared" ref="E266:E272" si="150">+C266-D266</f>
        <v>-53845.26</v>
      </c>
      <c r="F266" s="27">
        <f>+'DFIT Computations'!G269</f>
        <v>0</v>
      </c>
      <c r="G266" s="27">
        <f t="shared" ref="G266:G272" si="151">+E266+F266</f>
        <v>-53845.26</v>
      </c>
      <c r="H266" s="27">
        <f>+'DFIT Computations'!I269</f>
        <v>0</v>
      </c>
      <c r="I266" s="27">
        <f t="shared" ref="I266:I272" si="152">+G266+H266</f>
        <v>-53845.26</v>
      </c>
      <c r="J266" s="51">
        <f t="shared" ref="J266:J272" si="153">VLOOKUP(L266,$C$306:$D$320,2,FALSE)</f>
        <v>0.98599999999999999</v>
      </c>
      <c r="K266" s="42">
        <f t="shared" ref="K266:K272" si="154">IF(I266*J266=0,0, ROUND(I266*J266,0))</f>
        <v>-53091</v>
      </c>
      <c r="L266" s="18" t="str">
        <f>'DFIT Computations'!M269</f>
        <v>ENERGY</v>
      </c>
    </row>
    <row r="267" spans="1:12" x14ac:dyDescent="0.2">
      <c r="A267" s="144">
        <f t="shared" si="123"/>
        <v>247</v>
      </c>
      <c r="B267" s="17" t="s">
        <v>265</v>
      </c>
      <c r="C267" s="61">
        <v>0</v>
      </c>
      <c r="D267" s="61">
        <v>0</v>
      </c>
      <c r="E267" s="54">
        <f t="shared" si="150"/>
        <v>0</v>
      </c>
      <c r="F267" s="27">
        <f>+'DFIT Computations'!G270</f>
        <v>0</v>
      </c>
      <c r="G267" s="27">
        <f t="shared" si="151"/>
        <v>0</v>
      </c>
      <c r="H267" s="27">
        <f>+'DFIT Computations'!I270</f>
        <v>0</v>
      </c>
      <c r="I267" s="27">
        <f t="shared" si="152"/>
        <v>0</v>
      </c>
      <c r="J267" s="51">
        <f t="shared" si="153"/>
        <v>0.98599999999999999</v>
      </c>
      <c r="K267" s="42">
        <f t="shared" si="154"/>
        <v>0</v>
      </c>
      <c r="L267" s="18" t="str">
        <f>'DFIT Computations'!M270</f>
        <v>ENERGY</v>
      </c>
    </row>
    <row r="268" spans="1:12" x14ac:dyDescent="0.2">
      <c r="A268" s="144">
        <f t="shared" si="123"/>
        <v>248</v>
      </c>
      <c r="B268" s="17" t="s">
        <v>262</v>
      </c>
      <c r="C268" s="61">
        <v>0</v>
      </c>
      <c r="D268" s="61">
        <v>0</v>
      </c>
      <c r="E268" s="54">
        <f t="shared" si="150"/>
        <v>0</v>
      </c>
      <c r="F268" s="27">
        <f>+'DFIT Computations'!G271</f>
        <v>0</v>
      </c>
      <c r="G268" s="27">
        <f t="shared" si="151"/>
        <v>0</v>
      </c>
      <c r="H268" s="27">
        <f>+'DFIT Computations'!I271</f>
        <v>0</v>
      </c>
      <c r="I268" s="27">
        <f t="shared" si="152"/>
        <v>0</v>
      </c>
      <c r="J268" s="51">
        <f t="shared" si="153"/>
        <v>0</v>
      </c>
      <c r="K268" s="42">
        <f t="shared" si="154"/>
        <v>0</v>
      </c>
      <c r="L268" s="18" t="str">
        <f>'DFIT Computations'!M271</f>
        <v>NON-UTILITY</v>
      </c>
    </row>
    <row r="269" spans="1:12" x14ac:dyDescent="0.2">
      <c r="A269" s="144">
        <f t="shared" si="123"/>
        <v>249</v>
      </c>
      <c r="B269" s="17" t="s">
        <v>106</v>
      </c>
      <c r="C269" s="61">
        <v>0</v>
      </c>
      <c r="D269" s="61">
        <v>0</v>
      </c>
      <c r="E269" s="54">
        <f t="shared" si="150"/>
        <v>0</v>
      </c>
      <c r="F269" s="27">
        <f>+'DFIT Computations'!G272</f>
        <v>0</v>
      </c>
      <c r="G269" s="27">
        <f t="shared" si="151"/>
        <v>0</v>
      </c>
      <c r="H269" s="27">
        <f>+'DFIT Computations'!I272</f>
        <v>0</v>
      </c>
      <c r="I269" s="27">
        <f t="shared" si="152"/>
        <v>0</v>
      </c>
      <c r="J269" s="51">
        <f t="shared" si="153"/>
        <v>0</v>
      </c>
      <c r="K269" s="42">
        <f t="shared" si="154"/>
        <v>0</v>
      </c>
      <c r="L269" s="18" t="str">
        <f>'DFIT Computations'!M272</f>
        <v>NON-UTILITY</v>
      </c>
    </row>
    <row r="270" spans="1:12" x14ac:dyDescent="0.2">
      <c r="A270" s="144">
        <f t="shared" si="123"/>
        <v>250</v>
      </c>
      <c r="B270" s="17" t="s">
        <v>266</v>
      </c>
      <c r="C270" s="61">
        <v>0</v>
      </c>
      <c r="D270" s="61">
        <v>0</v>
      </c>
      <c r="E270" s="54">
        <f t="shared" si="150"/>
        <v>0</v>
      </c>
      <c r="F270" s="27">
        <f>+'DFIT Computations'!G273</f>
        <v>0</v>
      </c>
      <c r="G270" s="27">
        <f t="shared" si="151"/>
        <v>0</v>
      </c>
      <c r="H270" s="27">
        <f>+'DFIT Computations'!I273</f>
        <v>0</v>
      </c>
      <c r="I270" s="27">
        <f t="shared" si="152"/>
        <v>0</v>
      </c>
      <c r="J270" s="51">
        <f t="shared" si="153"/>
        <v>0.98599999999999999</v>
      </c>
      <c r="K270" s="42">
        <f t="shared" si="154"/>
        <v>0</v>
      </c>
      <c r="L270" s="18" t="str">
        <f>'DFIT Computations'!M273</f>
        <v>ENERGY</v>
      </c>
    </row>
    <row r="271" spans="1:12" x14ac:dyDescent="0.2">
      <c r="A271" s="144">
        <f t="shared" si="123"/>
        <v>251</v>
      </c>
      <c r="B271" s="17" t="s">
        <v>267</v>
      </c>
      <c r="C271" s="61">
        <v>0</v>
      </c>
      <c r="D271" s="61">
        <v>0</v>
      </c>
      <c r="E271" s="54">
        <f t="shared" si="150"/>
        <v>0</v>
      </c>
      <c r="F271" s="27">
        <f>+'DFIT Computations'!G274</f>
        <v>0</v>
      </c>
      <c r="G271" s="27">
        <f t="shared" si="151"/>
        <v>0</v>
      </c>
      <c r="H271" s="27">
        <f>+'DFIT Computations'!I274</f>
        <v>0</v>
      </c>
      <c r="I271" s="27">
        <f t="shared" si="152"/>
        <v>0</v>
      </c>
      <c r="J271" s="51">
        <f t="shared" si="153"/>
        <v>0.98599999999999999</v>
      </c>
      <c r="K271" s="42">
        <f t="shared" si="154"/>
        <v>0</v>
      </c>
      <c r="L271" s="18" t="str">
        <f>'DFIT Computations'!M274</f>
        <v>ENERGY</v>
      </c>
    </row>
    <row r="272" spans="1:12" x14ac:dyDescent="0.2">
      <c r="A272" s="144">
        <f t="shared" si="123"/>
        <v>252</v>
      </c>
      <c r="B272" s="17" t="s">
        <v>107</v>
      </c>
      <c r="C272" s="61">
        <v>0</v>
      </c>
      <c r="D272" s="61">
        <v>0</v>
      </c>
      <c r="E272" s="54">
        <f t="shared" si="150"/>
        <v>0</v>
      </c>
      <c r="F272" s="27">
        <f>+'DFIT Computations'!G275</f>
        <v>0</v>
      </c>
      <c r="G272" s="27">
        <f t="shared" si="151"/>
        <v>0</v>
      </c>
      <c r="H272" s="27">
        <f>+'DFIT Computations'!I275</f>
        <v>0</v>
      </c>
      <c r="I272" s="27">
        <f t="shared" si="152"/>
        <v>0</v>
      </c>
      <c r="J272" s="51">
        <f t="shared" si="153"/>
        <v>0.98599999999999999</v>
      </c>
      <c r="K272" s="42">
        <f t="shared" si="154"/>
        <v>0</v>
      </c>
      <c r="L272" s="18" t="str">
        <f>'DFIT Computations'!M275</f>
        <v>ENERGY</v>
      </c>
    </row>
    <row r="273" spans="1:12" x14ac:dyDescent="0.2">
      <c r="A273" s="144">
        <f t="shared" si="123"/>
        <v>253</v>
      </c>
      <c r="B273" s="75" t="s">
        <v>108</v>
      </c>
      <c r="C273" s="78">
        <f t="shared" ref="C273:I273" si="155">SUM(C266:C272)</f>
        <v>-53845.26</v>
      </c>
      <c r="D273" s="78">
        <f t="shared" si="155"/>
        <v>0</v>
      </c>
      <c r="E273" s="78">
        <f t="shared" si="155"/>
        <v>-53845.26</v>
      </c>
      <c r="F273" s="78">
        <f t="shared" ref="F273" si="156">SUM(F266:F272)</f>
        <v>0</v>
      </c>
      <c r="G273" s="78">
        <f t="shared" si="155"/>
        <v>-53845.26</v>
      </c>
      <c r="H273" s="78">
        <f t="shared" si="155"/>
        <v>0</v>
      </c>
      <c r="I273" s="78">
        <f t="shared" si="155"/>
        <v>-53845.26</v>
      </c>
      <c r="J273" s="24"/>
      <c r="K273" s="99">
        <f>SUM(K266:K272)</f>
        <v>-53091</v>
      </c>
    </row>
    <row r="274" spans="1:12" x14ac:dyDescent="0.2">
      <c r="A274" s="144">
        <f t="shared" si="123"/>
        <v>254</v>
      </c>
      <c r="B274" s="17" t="s">
        <v>0</v>
      </c>
      <c r="C274" s="36"/>
      <c r="D274" s="36"/>
      <c r="E274" s="36"/>
      <c r="F274" s="36"/>
      <c r="G274" s="36"/>
      <c r="H274" s="36"/>
      <c r="I274" s="36"/>
      <c r="J274" s="81"/>
    </row>
    <row r="275" spans="1:12" x14ac:dyDescent="0.2">
      <c r="A275" s="144">
        <f t="shared" si="123"/>
        <v>255</v>
      </c>
      <c r="B275" s="75" t="s">
        <v>158</v>
      </c>
      <c r="C275" s="85">
        <f t="shared" ref="C275:I275" si="157">+C42+C54+C61+C70+C75+C79+C83+C89+C94+C98+C125+C172+C176+C223+C236+C241+C245+C249+C263+C273</f>
        <v>460940.0000000007</v>
      </c>
      <c r="D275" s="85">
        <f t="shared" si="157"/>
        <v>-1053328</v>
      </c>
      <c r="E275" s="85">
        <f t="shared" si="157"/>
        <v>1514267.9999999988</v>
      </c>
      <c r="F275" s="85">
        <f t="shared" si="157"/>
        <v>0</v>
      </c>
      <c r="G275" s="85">
        <f t="shared" si="157"/>
        <v>1514267.9999999988</v>
      </c>
      <c r="H275" s="85">
        <f t="shared" si="157"/>
        <v>0</v>
      </c>
      <c r="I275" s="85">
        <f t="shared" si="157"/>
        <v>1514267.9999999988</v>
      </c>
      <c r="J275" s="24"/>
      <c r="K275" s="85">
        <f>+K42+K54+K61+K70+K75+K79+K83+K89+K94+K98+K125+K172+K176+K223+K236+K241+K245+K249+K263+K273</f>
        <v>2384575</v>
      </c>
    </row>
    <row r="276" spans="1:12" x14ac:dyDescent="0.2">
      <c r="A276" s="144">
        <f t="shared" si="123"/>
        <v>256</v>
      </c>
      <c r="B276" s="17" t="s">
        <v>0</v>
      </c>
      <c r="C276" s="36"/>
      <c r="D276" s="38"/>
      <c r="E276" s="41"/>
      <c r="F276" s="38"/>
      <c r="G276" s="38"/>
      <c r="H276" s="38"/>
      <c r="I276" s="38"/>
      <c r="J276" s="81"/>
    </row>
    <row r="277" spans="1:12" x14ac:dyDescent="0.2">
      <c r="A277" s="144">
        <f t="shared" si="123"/>
        <v>257</v>
      </c>
      <c r="C277" s="36"/>
      <c r="E277" s="54"/>
      <c r="F277" s="54"/>
      <c r="G277" s="54"/>
      <c r="H277" s="54"/>
      <c r="I277" s="54"/>
      <c r="J277" s="81"/>
      <c r="K277" s="36"/>
    </row>
    <row r="278" spans="1:12" x14ac:dyDescent="0.2">
      <c r="A278" s="144">
        <f t="shared" si="123"/>
        <v>258</v>
      </c>
      <c r="C278" s="36"/>
      <c r="E278" s="54"/>
      <c r="F278" s="54"/>
      <c r="G278" s="54"/>
      <c r="H278" s="54"/>
      <c r="I278" s="54"/>
      <c r="J278" s="81"/>
      <c r="K278" s="36"/>
    </row>
    <row r="279" spans="1:12" x14ac:dyDescent="0.2">
      <c r="A279" s="144">
        <f t="shared" si="123"/>
        <v>259</v>
      </c>
      <c r="B279" s="75" t="s">
        <v>159</v>
      </c>
      <c r="C279" s="36"/>
      <c r="D279" s="36"/>
      <c r="F279" s="54"/>
      <c r="G279" s="54"/>
      <c r="H279" s="54"/>
      <c r="I279" s="54"/>
      <c r="J279" s="81"/>
      <c r="K279" s="36"/>
    </row>
    <row r="280" spans="1:12" x14ac:dyDescent="0.2">
      <c r="A280" s="144">
        <f t="shared" si="123"/>
        <v>260</v>
      </c>
      <c r="B280" s="17" t="s">
        <v>160</v>
      </c>
      <c r="C280" s="61">
        <v>-60.58</v>
      </c>
      <c r="D280" s="61">
        <v>0</v>
      </c>
      <c r="E280" s="54">
        <f t="shared" ref="E280:E285" si="158">+C280-D280</f>
        <v>-60.58</v>
      </c>
      <c r="F280" s="27">
        <f>+'DFIT Computations'!G283</f>
        <v>0</v>
      </c>
      <c r="G280" s="27">
        <f t="shared" ref="G280:G285" si="159">+E280+F280</f>
        <v>-60.58</v>
      </c>
      <c r="H280" s="27">
        <f>+'DFIT Computations'!I283</f>
        <v>0</v>
      </c>
      <c r="I280" s="27">
        <f t="shared" ref="I280:I285" si="160">+G280+H280</f>
        <v>-60.58</v>
      </c>
      <c r="J280" s="51">
        <f t="shared" ref="J280:J285" si="161">VLOOKUP(L280,$C$306:$D$320,2,FALSE)</f>
        <v>0.98499999999999999</v>
      </c>
      <c r="K280" s="42">
        <f t="shared" ref="K280:K285" si="162">IF(I280*J280=0,0, ROUND(I280*J280,0))</f>
        <v>-60</v>
      </c>
      <c r="L280" s="18" t="str">
        <f>'DFIT Computations'!M283</f>
        <v>GROSS PLT</v>
      </c>
    </row>
    <row r="281" spans="1:12" x14ac:dyDescent="0.2">
      <c r="A281" s="144">
        <f t="shared" si="123"/>
        <v>261</v>
      </c>
      <c r="B281" s="17" t="s">
        <v>161</v>
      </c>
      <c r="C281" s="61">
        <v>0</v>
      </c>
      <c r="D281" s="61">
        <v>0</v>
      </c>
      <c r="E281" s="54">
        <f t="shared" si="158"/>
        <v>0</v>
      </c>
      <c r="F281" s="27">
        <f>+'DFIT Computations'!G284</f>
        <v>0</v>
      </c>
      <c r="G281" s="27">
        <f t="shared" si="159"/>
        <v>0</v>
      </c>
      <c r="H281" s="27">
        <f>+'DFIT Computations'!I284</f>
        <v>0</v>
      </c>
      <c r="I281" s="27">
        <f t="shared" si="160"/>
        <v>0</v>
      </c>
      <c r="J281" s="51">
        <f t="shared" si="161"/>
        <v>0.98499999999999999</v>
      </c>
      <c r="K281" s="42">
        <f t="shared" si="162"/>
        <v>0</v>
      </c>
      <c r="L281" s="18" t="str">
        <f>'DFIT Computations'!M284</f>
        <v>GROSS PLT</v>
      </c>
    </row>
    <row r="282" spans="1:12" x14ac:dyDescent="0.2">
      <c r="A282" s="144">
        <f t="shared" si="123"/>
        <v>262</v>
      </c>
      <c r="B282" s="17" t="s">
        <v>347</v>
      </c>
      <c r="C282" s="61">
        <v>0</v>
      </c>
      <c r="D282" s="61">
        <v>0</v>
      </c>
      <c r="E282" s="54">
        <f t="shared" si="158"/>
        <v>0</v>
      </c>
      <c r="F282" s="27">
        <f>+'DFIT Computations'!G285</f>
        <v>0</v>
      </c>
      <c r="G282" s="27">
        <f t="shared" si="159"/>
        <v>0</v>
      </c>
      <c r="H282" s="27">
        <f>+'DFIT Computations'!I285</f>
        <v>0</v>
      </c>
      <c r="I282" s="27">
        <f t="shared" si="160"/>
        <v>0</v>
      </c>
      <c r="J282" s="51">
        <f t="shared" si="161"/>
        <v>0.98499999999999999</v>
      </c>
      <c r="K282" s="42">
        <f t="shared" si="162"/>
        <v>0</v>
      </c>
      <c r="L282" s="18" t="str">
        <f>'DFIT Computations'!M285</f>
        <v>GROSS PLT</v>
      </c>
    </row>
    <row r="283" spans="1:12" x14ac:dyDescent="0.2">
      <c r="A283" s="144">
        <f t="shared" si="123"/>
        <v>263</v>
      </c>
      <c r="B283" s="17" t="s">
        <v>348</v>
      </c>
      <c r="C283" s="61">
        <v>0</v>
      </c>
      <c r="D283" s="61">
        <v>0</v>
      </c>
      <c r="E283" s="54">
        <f t="shared" si="158"/>
        <v>0</v>
      </c>
      <c r="F283" s="27">
        <f>+'DFIT Computations'!G286</f>
        <v>0</v>
      </c>
      <c r="G283" s="27">
        <f t="shared" si="159"/>
        <v>0</v>
      </c>
      <c r="H283" s="27">
        <f>+'DFIT Computations'!I286</f>
        <v>0</v>
      </c>
      <c r="I283" s="27">
        <f t="shared" si="160"/>
        <v>0</v>
      </c>
      <c r="J283" s="51">
        <f t="shared" si="161"/>
        <v>0.98499999999999999</v>
      </c>
      <c r="K283" s="42">
        <f t="shared" si="162"/>
        <v>0</v>
      </c>
      <c r="L283" s="18" t="str">
        <f>'DFIT Computations'!M286</f>
        <v>GROSS PLT</v>
      </c>
    </row>
    <row r="284" spans="1:12" x14ac:dyDescent="0.2">
      <c r="A284" s="144">
        <f t="shared" si="123"/>
        <v>264</v>
      </c>
      <c r="B284" s="17" t="s">
        <v>349</v>
      </c>
      <c r="C284" s="61">
        <v>0</v>
      </c>
      <c r="D284" s="61">
        <v>0</v>
      </c>
      <c r="E284" s="54">
        <f t="shared" ref="E284" si="163">+C284-D284</f>
        <v>0</v>
      </c>
      <c r="F284" s="27">
        <f>+'DFIT Computations'!G287</f>
        <v>0</v>
      </c>
      <c r="G284" s="27">
        <f t="shared" ref="G284" si="164">+E284+F284</f>
        <v>0</v>
      </c>
      <c r="H284" s="27">
        <f>+'DFIT Computations'!I287</f>
        <v>0</v>
      </c>
      <c r="I284" s="27">
        <f t="shared" ref="I284" si="165">+G284+H284</f>
        <v>0</v>
      </c>
      <c r="J284" s="51">
        <f t="shared" si="161"/>
        <v>0.98499999999999999</v>
      </c>
      <c r="K284" s="42">
        <f t="shared" ref="K284" si="166">IF(I284*J284=0,0, ROUND(I284*J284,0))</f>
        <v>0</v>
      </c>
      <c r="L284" s="18" t="str">
        <f>'DFIT Computations'!M287</f>
        <v>GROSS PLT</v>
      </c>
    </row>
    <row r="285" spans="1:12" x14ac:dyDescent="0.2">
      <c r="A285" s="144">
        <f t="shared" si="123"/>
        <v>265</v>
      </c>
      <c r="B285" s="17" t="s">
        <v>296</v>
      </c>
      <c r="C285" s="61">
        <v>0</v>
      </c>
      <c r="D285" s="61">
        <v>0</v>
      </c>
      <c r="E285" s="54">
        <f t="shared" si="158"/>
        <v>0</v>
      </c>
      <c r="F285" s="27">
        <f>+'DFIT Computations'!G288</f>
        <v>0</v>
      </c>
      <c r="G285" s="27">
        <f t="shared" si="159"/>
        <v>0</v>
      </c>
      <c r="H285" s="27">
        <f>+'DFIT Computations'!I288</f>
        <v>0</v>
      </c>
      <c r="I285" s="27">
        <f t="shared" si="160"/>
        <v>0</v>
      </c>
      <c r="J285" s="51">
        <f t="shared" si="161"/>
        <v>0.98499999999999999</v>
      </c>
      <c r="K285" s="42">
        <f t="shared" si="162"/>
        <v>0</v>
      </c>
      <c r="L285" s="18" t="str">
        <f>'DFIT Computations'!M288</f>
        <v>GROSS PLT</v>
      </c>
    </row>
    <row r="286" spans="1:12" x14ac:dyDescent="0.2">
      <c r="A286" s="144">
        <f t="shared" si="123"/>
        <v>266</v>
      </c>
      <c r="B286" s="75" t="s">
        <v>216</v>
      </c>
      <c r="C286" s="78">
        <f t="shared" ref="C286:I286" si="167">SUM(C280:C285)</f>
        <v>-60.58</v>
      </c>
      <c r="D286" s="78">
        <f t="shared" si="167"/>
        <v>0</v>
      </c>
      <c r="E286" s="78">
        <f t="shared" si="167"/>
        <v>-60.58</v>
      </c>
      <c r="F286" s="78">
        <f t="shared" ref="F286" si="168">SUM(F280:F285)</f>
        <v>0</v>
      </c>
      <c r="G286" s="78">
        <f t="shared" si="167"/>
        <v>-60.58</v>
      </c>
      <c r="H286" s="78">
        <f t="shared" si="167"/>
        <v>0</v>
      </c>
      <c r="I286" s="78">
        <f t="shared" si="167"/>
        <v>-60.58</v>
      </c>
      <c r="J286" s="24"/>
      <c r="K286" s="78">
        <f>SUM(K280:K285)</f>
        <v>-60</v>
      </c>
      <c r="L286" s="36"/>
    </row>
    <row r="287" spans="1:12" x14ac:dyDescent="0.2">
      <c r="A287" s="144">
        <f t="shared" ref="A287:A291" si="169">A286+1</f>
        <v>267</v>
      </c>
      <c r="J287" s="81"/>
    </row>
    <row r="288" spans="1:12" x14ac:dyDescent="0.2">
      <c r="A288" s="144">
        <f t="shared" si="169"/>
        <v>268</v>
      </c>
    </row>
    <row r="289" spans="1:11" x14ac:dyDescent="0.2">
      <c r="A289" s="144">
        <f t="shared" si="169"/>
        <v>269</v>
      </c>
    </row>
    <row r="290" spans="1:11" ht="13.5" thickBot="1" x14ac:dyDescent="0.25">
      <c r="A290" s="144">
        <f t="shared" si="169"/>
        <v>270</v>
      </c>
      <c r="B290" s="75" t="s">
        <v>162</v>
      </c>
      <c r="C290" s="100">
        <f t="shared" ref="C290:I290" si="170">+C275+C286</f>
        <v>460879.42000000068</v>
      </c>
      <c r="D290" s="100">
        <f t="shared" si="170"/>
        <v>-1053328</v>
      </c>
      <c r="E290" s="100">
        <f t="shared" si="170"/>
        <v>1514207.4199999988</v>
      </c>
      <c r="F290" s="100">
        <f t="shared" ref="F290" si="171">+F275+F286</f>
        <v>0</v>
      </c>
      <c r="G290" s="100">
        <f t="shared" si="170"/>
        <v>1514207.4199999988</v>
      </c>
      <c r="H290" s="100">
        <f t="shared" si="170"/>
        <v>0</v>
      </c>
      <c r="I290" s="100">
        <f t="shared" si="170"/>
        <v>1514207.4199999988</v>
      </c>
      <c r="K290" s="100">
        <f>+K275+K286</f>
        <v>2384515</v>
      </c>
    </row>
    <row r="291" spans="1:11" ht="13.5" thickTop="1" x14ac:dyDescent="0.2">
      <c r="A291" s="144">
        <f t="shared" si="169"/>
        <v>271</v>
      </c>
      <c r="C291" s="36"/>
      <c r="E291" s="36">
        <f>'DFIT Computations'!F293</f>
        <v>1609278.4300000034</v>
      </c>
      <c r="F291" s="54"/>
      <c r="G291" s="54"/>
      <c r="H291" s="54"/>
      <c r="I291" s="54"/>
    </row>
    <row r="292" spans="1:11" x14ac:dyDescent="0.2">
      <c r="B292" s="146"/>
      <c r="C292" s="147"/>
      <c r="D292" s="132"/>
      <c r="E292" s="101"/>
    </row>
    <row r="293" spans="1:11" x14ac:dyDescent="0.2">
      <c r="B293" s="148"/>
      <c r="C293" s="139"/>
      <c r="D293" s="132"/>
      <c r="E293" s="101"/>
      <c r="J293" s="27"/>
    </row>
    <row r="294" spans="1:11" x14ac:dyDescent="0.2">
      <c r="B294" s="38"/>
      <c r="C294" s="140"/>
      <c r="D294" s="132"/>
      <c r="E294" s="101"/>
      <c r="F294" s="65"/>
    </row>
    <row r="295" spans="1:11" x14ac:dyDescent="0.2">
      <c r="B295" s="38"/>
      <c r="C295" s="140"/>
      <c r="D295" s="132"/>
      <c r="E295" s="101"/>
      <c r="F295" s="65"/>
    </row>
    <row r="296" spans="1:11" x14ac:dyDescent="0.2">
      <c r="B296" s="38"/>
      <c r="C296" s="140"/>
      <c r="D296" s="132"/>
      <c r="E296" s="101"/>
    </row>
    <row r="297" spans="1:11" x14ac:dyDescent="0.2">
      <c r="B297" s="38"/>
      <c r="C297" s="140"/>
    </row>
    <row r="298" spans="1:11" x14ac:dyDescent="0.2">
      <c r="B298" s="38"/>
      <c r="C298" s="140"/>
    </row>
    <row r="299" spans="1:11" x14ac:dyDescent="0.2">
      <c r="B299" s="38"/>
      <c r="C299" s="149"/>
    </row>
    <row r="300" spans="1:11" x14ac:dyDescent="0.2">
      <c r="B300" s="38"/>
      <c r="C300" s="149"/>
    </row>
    <row r="305" spans="3:4" x14ac:dyDescent="0.2">
      <c r="C305" s="93" t="s">
        <v>226</v>
      </c>
      <c r="D305" s="94"/>
    </row>
    <row r="306" spans="3:4" x14ac:dyDescent="0.2">
      <c r="C306" s="47" t="str">
        <f>'CFIT Schedules'!C308</f>
        <v>GROSS PLT</v>
      </c>
      <c r="D306" s="44">
        <f>'CFIT Schedules'!D308</f>
        <v>0.98499999999999999</v>
      </c>
    </row>
    <row r="307" spans="3:4" x14ac:dyDescent="0.2">
      <c r="C307" s="47" t="str">
        <f>'CFIT Schedules'!C309</f>
        <v>NET PLANT</v>
      </c>
      <c r="D307" s="44">
        <f>'CFIT Schedules'!D309</f>
        <v>0.98499999999999999</v>
      </c>
    </row>
    <row r="308" spans="3:4" x14ac:dyDescent="0.2">
      <c r="C308" s="47" t="str">
        <f>'CFIT Schedules'!C310</f>
        <v>PROD PLT</v>
      </c>
      <c r="D308" s="44">
        <f>'CFIT Schedules'!D310</f>
        <v>0.98499999999999999</v>
      </c>
    </row>
    <row r="309" spans="3:4" x14ac:dyDescent="0.2">
      <c r="C309" s="47" t="str">
        <f>'CFIT Schedules'!C311</f>
        <v>TRAN PLT</v>
      </c>
      <c r="D309" s="44">
        <f>'CFIT Schedules'!D311</f>
        <v>0.98499999999999999</v>
      </c>
    </row>
    <row r="310" spans="3:4" x14ac:dyDescent="0.2">
      <c r="C310" s="47" t="str">
        <f>'CFIT Schedules'!C312</f>
        <v>DIST PLT</v>
      </c>
      <c r="D310" s="44">
        <f>'CFIT Schedules'!D312</f>
        <v>0.999</v>
      </c>
    </row>
    <row r="311" spans="3:4" x14ac:dyDescent="0.2">
      <c r="C311" s="47" t="str">
        <f>'CFIT Schedules'!C313</f>
        <v>T&amp;D PLT</v>
      </c>
      <c r="D311" s="44">
        <f>'CFIT Schedules'!D313</f>
        <v>0.99299999999999999</v>
      </c>
    </row>
    <row r="312" spans="3:4" x14ac:dyDescent="0.2">
      <c r="C312" s="47" t="str">
        <f>'CFIT Schedules'!C314</f>
        <v>ENERGY</v>
      </c>
      <c r="D312" s="44">
        <f>'CFIT Schedules'!D314</f>
        <v>0.98599999999999999</v>
      </c>
    </row>
    <row r="313" spans="3:4" x14ac:dyDescent="0.2">
      <c r="C313" s="47" t="str">
        <f>'CFIT Schedules'!C315</f>
        <v>LABOR</v>
      </c>
      <c r="D313" s="44">
        <f>'CFIT Schedules'!D315</f>
        <v>0.99</v>
      </c>
    </row>
    <row r="314" spans="3:4" x14ac:dyDescent="0.2">
      <c r="C314" s="47" t="str">
        <f>'CFIT Schedules'!C316</f>
        <v>O&amp;M EXP</v>
      </c>
      <c r="D314" s="44">
        <f>'CFIT Schedules'!D316</f>
        <v>0.97899999999999998</v>
      </c>
    </row>
    <row r="315" spans="3:4" x14ac:dyDescent="0.2">
      <c r="C315" s="47" t="str">
        <f>'CFIT Schedules'!C317</f>
        <v>REVENUE</v>
      </c>
      <c r="D315" s="44">
        <f>'CFIT Schedules'!D317</f>
        <v>0.99299999999999999</v>
      </c>
    </row>
    <row r="316" spans="3:4" x14ac:dyDescent="0.2">
      <c r="C316" s="47" t="str">
        <f>'CFIT Schedules'!C318</f>
        <v>REVENUE-OTH</v>
      </c>
      <c r="D316" s="44">
        <f>'CFIT Schedules'!D318</f>
        <v>0</v>
      </c>
    </row>
    <row r="317" spans="3:4" x14ac:dyDescent="0.2">
      <c r="C317" s="47" t="str">
        <f>'CFIT Schedules'!C319</f>
        <v>DEMAND</v>
      </c>
      <c r="D317" s="44">
        <f>'CFIT Schedules'!D319</f>
        <v>0.98499999999999999</v>
      </c>
    </row>
    <row r="318" spans="3:4" x14ac:dyDescent="0.2">
      <c r="C318" s="47" t="str">
        <f>'CFIT Schedules'!C320</f>
        <v>SPECIFIC</v>
      </c>
      <c r="D318" s="44">
        <f>'CFIT Schedules'!D320</f>
        <v>1</v>
      </c>
    </row>
    <row r="319" spans="3:4" x14ac:dyDescent="0.2">
      <c r="C319" s="47" t="str">
        <f>'CFIT Schedules'!C321</f>
        <v>NON-APPLIC</v>
      </c>
      <c r="D319" s="44">
        <f>'CFIT Schedules'!D321</f>
        <v>0</v>
      </c>
    </row>
    <row r="320" spans="3:4" x14ac:dyDescent="0.2">
      <c r="C320" s="47" t="str">
        <f>'CFIT Schedules'!C322</f>
        <v>NON-UTILITY</v>
      </c>
      <c r="D320" s="44">
        <f>'CFIT Schedules'!D322</f>
        <v>0</v>
      </c>
    </row>
  </sheetData>
  <mergeCells count="4">
    <mergeCell ref="A1:J1"/>
    <mergeCell ref="A2:J2"/>
    <mergeCell ref="A3:J3"/>
    <mergeCell ref="A4:J4"/>
  </mergeCells>
  <phoneticPr fontId="3" type="noConversion"/>
  <pageMargins left="0.25" right="0.25" top="1" bottom="0.5" header="0.5" footer="0.5"/>
  <pageSetup scale="52" orientation="landscape" r:id="rId1"/>
  <headerFooter alignWithMargins="0"/>
  <rowBreaks count="5" manualBreakCount="5">
    <brk id="76" max="13" man="1"/>
    <brk id="126" max="13" man="1"/>
    <brk id="177" max="13" man="1"/>
    <brk id="250" max="13" man="1"/>
    <brk id="299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zoomScaleNormal="100" workbookViewId="0">
      <selection activeCell="E18" sqref="E18"/>
    </sheetView>
  </sheetViews>
  <sheetFormatPr defaultColWidth="9.140625" defaultRowHeight="12.75" x14ac:dyDescent="0.2"/>
  <cols>
    <col min="1" max="1" width="9.140625" style="17"/>
    <col min="2" max="2" width="60.7109375" style="17" customWidth="1"/>
    <col min="3" max="4" width="15.7109375" style="17" customWidth="1"/>
    <col min="5" max="5" width="19.85546875" style="17" customWidth="1"/>
    <col min="6" max="13" width="15.7109375" style="17" customWidth="1"/>
    <col min="14" max="16384" width="9.140625" style="17"/>
  </cols>
  <sheetData>
    <row r="1" spans="1:13" x14ac:dyDescent="0.2">
      <c r="A1" s="167" t="s">
        <v>285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3" x14ac:dyDescent="0.2">
      <c r="A2" s="167" t="s">
        <v>116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3" x14ac:dyDescent="0.2">
      <c r="A3" s="167" t="s">
        <v>156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3" x14ac:dyDescent="0.2">
      <c r="A4" s="167" t="s">
        <v>118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3" x14ac:dyDescent="0.2">
      <c r="A5" s="167" t="str">
        <f>Summary!A4</f>
        <v>Twelve Months Ended December 31, 2019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9" spans="1:13" x14ac:dyDescent="0.2">
      <c r="C9" s="73" t="s">
        <v>131</v>
      </c>
      <c r="D9" s="73" t="s">
        <v>132</v>
      </c>
      <c r="E9" s="73" t="s">
        <v>133</v>
      </c>
      <c r="F9" s="73" t="s">
        <v>134</v>
      </c>
      <c r="G9" s="73" t="s">
        <v>135</v>
      </c>
      <c r="H9" s="73" t="s">
        <v>136</v>
      </c>
      <c r="I9" s="73" t="s">
        <v>137</v>
      </c>
      <c r="J9" s="73" t="s">
        <v>138</v>
      </c>
      <c r="K9" s="73" t="s">
        <v>139</v>
      </c>
      <c r="L9" s="73" t="s">
        <v>145</v>
      </c>
      <c r="M9" s="73" t="s">
        <v>164</v>
      </c>
    </row>
    <row r="10" spans="1:13" x14ac:dyDescent="0.2">
      <c r="C10" s="18" t="s">
        <v>114</v>
      </c>
      <c r="E10" s="18" t="s">
        <v>399</v>
      </c>
      <c r="F10" s="18" t="s">
        <v>114</v>
      </c>
      <c r="G10" s="18"/>
      <c r="H10" s="18" t="s">
        <v>114</v>
      </c>
      <c r="J10" s="18" t="s">
        <v>212</v>
      </c>
    </row>
    <row r="11" spans="1:13" x14ac:dyDescent="0.2">
      <c r="C11" s="18" t="s">
        <v>122</v>
      </c>
      <c r="D11" s="18" t="s">
        <v>168</v>
      </c>
      <c r="E11" s="18" t="s">
        <v>166</v>
      </c>
      <c r="F11" s="18" t="s">
        <v>122</v>
      </c>
      <c r="G11" s="18"/>
      <c r="H11" s="18" t="s">
        <v>122</v>
      </c>
      <c r="I11" s="18"/>
      <c r="J11" s="18" t="s">
        <v>303</v>
      </c>
      <c r="K11" s="18" t="s">
        <v>293</v>
      </c>
      <c r="L11" s="18" t="s">
        <v>293</v>
      </c>
    </row>
    <row r="12" spans="1:13" x14ac:dyDescent="0.2">
      <c r="C12" s="18" t="s">
        <v>167</v>
      </c>
      <c r="D12" s="18" t="s">
        <v>169</v>
      </c>
      <c r="E12" s="18" t="s">
        <v>165</v>
      </c>
      <c r="F12" s="18" t="s">
        <v>163</v>
      </c>
      <c r="G12" s="18" t="s">
        <v>306</v>
      </c>
      <c r="H12" s="18" t="s">
        <v>127</v>
      </c>
      <c r="I12" s="18" t="s">
        <v>129</v>
      </c>
      <c r="J12" s="18" t="s">
        <v>130</v>
      </c>
      <c r="K12" s="18" t="s">
        <v>140</v>
      </c>
      <c r="L12" s="18" t="s">
        <v>142</v>
      </c>
      <c r="M12" s="18" t="s">
        <v>140</v>
      </c>
    </row>
    <row r="13" spans="1:13" x14ac:dyDescent="0.2">
      <c r="A13" s="74" t="s">
        <v>119</v>
      </c>
      <c r="B13" s="97" t="s">
        <v>157</v>
      </c>
      <c r="C13" s="74" t="str">
        <f>Summary!C13</f>
        <v>12 Mo. 12/31/19</v>
      </c>
      <c r="D13" s="102" t="s">
        <v>397</v>
      </c>
      <c r="E13" s="74" t="str">
        <f>C13</f>
        <v>12 Mo. 12/31/19</v>
      </c>
      <c r="F13" s="74" t="s">
        <v>123</v>
      </c>
      <c r="G13" s="74" t="s">
        <v>130</v>
      </c>
      <c r="H13" s="74" t="s">
        <v>128</v>
      </c>
      <c r="I13" s="74" t="s">
        <v>130</v>
      </c>
      <c r="J13" s="74" t="str">
        <f>C13</f>
        <v>12 Mo. 12/31/19</v>
      </c>
      <c r="K13" s="74" t="s">
        <v>141</v>
      </c>
      <c r="L13" s="74" t="s">
        <v>143</v>
      </c>
      <c r="M13" s="74" t="s">
        <v>144</v>
      </c>
    </row>
    <row r="14" spans="1:13" x14ac:dyDescent="0.2">
      <c r="A14" s="6"/>
      <c r="B14" s="79"/>
      <c r="C14" s="6"/>
      <c r="D14" s="103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6"/>
      <c r="B15" s="79"/>
      <c r="C15" s="6"/>
      <c r="D15" s="103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6"/>
      <c r="B16" s="79"/>
      <c r="C16" s="6"/>
      <c r="D16" s="103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6"/>
      <c r="B17" s="79"/>
      <c r="C17" s="6"/>
      <c r="D17" s="103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6"/>
      <c r="B18" s="79"/>
      <c r="C18" s="6"/>
      <c r="D18" s="103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6"/>
      <c r="B19" s="79"/>
      <c r="C19" s="6"/>
      <c r="D19" s="103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/>
      <c r="B20" s="79"/>
      <c r="C20" s="6"/>
      <c r="D20" s="103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6"/>
      <c r="B21" s="79"/>
      <c r="C21" s="6"/>
      <c r="D21" s="103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18">
        <v>1</v>
      </c>
      <c r="B22" s="75" t="s">
        <v>1</v>
      </c>
      <c r="C22" s="6"/>
      <c r="D22" s="103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18">
        <f>A22+1</f>
        <v>2</v>
      </c>
      <c r="B23" s="17" t="s">
        <v>2</v>
      </c>
      <c r="C23" s="36">
        <f>+'CFIT Schedules'!E22</f>
        <v>0</v>
      </c>
      <c r="D23" s="42">
        <f>IF(C23*0.21=0,0,ROUND(C23*-0.21,0))</f>
        <v>0</v>
      </c>
      <c r="E23" s="36">
        <v>0</v>
      </c>
      <c r="F23" s="36">
        <f>SUM(D23:E23)</f>
        <v>0</v>
      </c>
      <c r="G23" s="27">
        <f>ROUND('CFIT Schedules'!F22*-0.35,0)</f>
        <v>0</v>
      </c>
      <c r="H23" s="27">
        <f>+F23+G23</f>
        <v>0</v>
      </c>
      <c r="I23" s="27">
        <f>ROUND('CFIT Schedules'!H22*-0.21,0)</f>
        <v>0</v>
      </c>
      <c r="J23" s="27">
        <f>+H23+I23</f>
        <v>0</v>
      </c>
      <c r="K23" s="51">
        <f t="shared" ref="K23:K42" si="0">VLOOKUP(M23,$C$300:$D$314,2,FALSE)</f>
        <v>0.98499999999999999</v>
      </c>
      <c r="L23" s="42">
        <f t="shared" ref="L23:L42" si="1">IF(J23*K23=0,0, ROUND(J23*K23,0))</f>
        <v>0</v>
      </c>
      <c r="M23" s="18" t="str">
        <f>'CFIT Schedules'!L22</f>
        <v>GROSS PLT</v>
      </c>
    </row>
    <row r="24" spans="1:13" x14ac:dyDescent="0.2">
      <c r="A24" s="18">
        <f t="shared" ref="A24:A95" si="2">A23+1</f>
        <v>3</v>
      </c>
      <c r="B24" s="17" t="s">
        <v>170</v>
      </c>
      <c r="C24" s="36">
        <v>0</v>
      </c>
      <c r="D24" s="36">
        <v>0</v>
      </c>
      <c r="E24" s="36">
        <v>0</v>
      </c>
      <c r="F24" s="36">
        <f>SUM(D24:E24)</f>
        <v>0</v>
      </c>
      <c r="G24" s="36">
        <v>0</v>
      </c>
      <c r="H24" s="27">
        <f t="shared" ref="H24:H42" si="3">+F24+G24</f>
        <v>0</v>
      </c>
      <c r="I24" s="36">
        <v>0</v>
      </c>
      <c r="J24" s="27">
        <f t="shared" ref="J24:J42" si="4">+H24+I24</f>
        <v>0</v>
      </c>
      <c r="K24" s="51">
        <f t="shared" si="0"/>
        <v>0.98499999999999999</v>
      </c>
      <c r="L24" s="42">
        <f t="shared" si="1"/>
        <v>0</v>
      </c>
      <c r="M24" s="18" t="str">
        <f>'CFIT Schedules'!L23</f>
        <v>GROSS PLT</v>
      </c>
    </row>
    <row r="25" spans="1:13" x14ac:dyDescent="0.2">
      <c r="A25" s="18">
        <f t="shared" si="2"/>
        <v>4</v>
      </c>
      <c r="B25" s="17" t="s">
        <v>3</v>
      </c>
      <c r="C25" s="36">
        <f>+'CFIT Schedules'!E24</f>
        <v>509504</v>
      </c>
      <c r="D25" s="42">
        <f>IF(C25*0.21=0,0,ROUND(C25*-0.21,0))</f>
        <v>-106996</v>
      </c>
      <c r="E25" s="36">
        <v>0</v>
      </c>
      <c r="F25" s="36">
        <f t="shared" ref="F25:F42" si="5">SUM(D25:E25)</f>
        <v>-106996</v>
      </c>
      <c r="G25" s="27">
        <f>ROUND('CFIT Schedules'!F24*-0.35,0)</f>
        <v>0</v>
      </c>
      <c r="H25" s="27">
        <f t="shared" si="3"/>
        <v>-106996</v>
      </c>
      <c r="I25" s="27">
        <f>ROUND('CFIT Schedules'!H24*-0.21,0)</f>
        <v>0</v>
      </c>
      <c r="J25" s="27">
        <f t="shared" si="4"/>
        <v>-106996</v>
      </c>
      <c r="K25" s="51">
        <f t="shared" si="0"/>
        <v>0.98499999999999999</v>
      </c>
      <c r="L25" s="42">
        <f t="shared" si="1"/>
        <v>-105391</v>
      </c>
      <c r="M25" s="18" t="str">
        <f>'CFIT Schedules'!L24</f>
        <v>GROSS PLT</v>
      </c>
    </row>
    <row r="26" spans="1:13" x14ac:dyDescent="0.2">
      <c r="A26" s="18">
        <f t="shared" si="2"/>
        <v>5</v>
      </c>
      <c r="B26" s="17" t="s">
        <v>171</v>
      </c>
      <c r="C26" s="36">
        <v>0</v>
      </c>
      <c r="D26" s="36">
        <v>0</v>
      </c>
      <c r="E26" s="36">
        <v>0</v>
      </c>
      <c r="F26" s="36">
        <f>SUM(D26:E26)</f>
        <v>0</v>
      </c>
      <c r="G26" s="36">
        <v>0</v>
      </c>
      <c r="H26" s="27">
        <f t="shared" si="3"/>
        <v>0</v>
      </c>
      <c r="I26" s="36">
        <v>0</v>
      </c>
      <c r="J26" s="27">
        <f t="shared" si="4"/>
        <v>0</v>
      </c>
      <c r="K26" s="51">
        <f t="shared" si="0"/>
        <v>0.98499999999999999</v>
      </c>
      <c r="L26" s="42">
        <f t="shared" si="1"/>
        <v>0</v>
      </c>
      <c r="M26" s="18" t="str">
        <f>'CFIT Schedules'!L25</f>
        <v>GROSS PLT</v>
      </c>
    </row>
    <row r="27" spans="1:13" x14ac:dyDescent="0.2">
      <c r="A27" s="144">
        <f t="shared" si="2"/>
        <v>6</v>
      </c>
      <c r="B27" s="121" t="s">
        <v>363</v>
      </c>
      <c r="C27" s="36">
        <f>'CFIT Schedules'!E26</f>
        <v>1956540</v>
      </c>
      <c r="D27" s="42">
        <f t="shared" ref="D27:D32" si="6">IF(C27*0.21=0,0,ROUND(C27*-0.21,0))</f>
        <v>-410873</v>
      </c>
      <c r="E27" s="36">
        <v>0</v>
      </c>
      <c r="F27" s="36">
        <f>SUM(D27:E27)</f>
        <v>-410873</v>
      </c>
      <c r="G27" s="36">
        <v>0</v>
      </c>
      <c r="H27" s="27">
        <f t="shared" ref="H27" si="7">+F27+G27</f>
        <v>-410873</v>
      </c>
      <c r="I27" s="36">
        <v>0</v>
      </c>
      <c r="J27" s="27">
        <f t="shared" ref="J27" si="8">+H27+I27</f>
        <v>-410873</v>
      </c>
      <c r="K27" s="51">
        <f t="shared" si="0"/>
        <v>0.98499999999999999</v>
      </c>
      <c r="L27" s="42">
        <f t="shared" ref="L27" si="9">IF(J27*K27=0,0, ROUND(J27*K27,0))</f>
        <v>-404710</v>
      </c>
      <c r="M27" s="138" t="str">
        <f>'CFIT Schedules'!L26</f>
        <v>GROSS PLT</v>
      </c>
    </row>
    <row r="28" spans="1:13" x14ac:dyDescent="0.2">
      <c r="A28" s="144">
        <f t="shared" si="2"/>
        <v>7</v>
      </c>
      <c r="B28" s="17" t="s">
        <v>4</v>
      </c>
      <c r="C28" s="36">
        <f>+'CFIT Schedules'!E27</f>
        <v>0</v>
      </c>
      <c r="D28" s="42">
        <f t="shared" si="6"/>
        <v>0</v>
      </c>
      <c r="E28" s="36">
        <v>0</v>
      </c>
      <c r="F28" s="36">
        <f t="shared" si="5"/>
        <v>0</v>
      </c>
      <c r="G28" s="27">
        <f>ROUND('CFIT Schedules'!F27*-0.35,0)</f>
        <v>0</v>
      </c>
      <c r="H28" s="27">
        <f t="shared" si="3"/>
        <v>0</v>
      </c>
      <c r="I28" s="27">
        <f>ROUND('CFIT Schedules'!H27*-0.21,0)</f>
        <v>0</v>
      </c>
      <c r="J28" s="27">
        <f t="shared" si="4"/>
        <v>0</v>
      </c>
      <c r="K28" s="51">
        <f t="shared" si="0"/>
        <v>0.98499999999999999</v>
      </c>
      <c r="L28" s="42">
        <f t="shared" si="1"/>
        <v>0</v>
      </c>
      <c r="M28" s="18" t="str">
        <f>'CFIT Schedules'!L27</f>
        <v>GROSS PLT</v>
      </c>
    </row>
    <row r="29" spans="1:13" x14ac:dyDescent="0.2">
      <c r="A29" s="144">
        <f t="shared" si="2"/>
        <v>8</v>
      </c>
      <c r="B29" s="17" t="s">
        <v>5</v>
      </c>
      <c r="C29" s="36">
        <f>+'CFIT Schedules'!E28</f>
        <v>0</v>
      </c>
      <c r="D29" s="42">
        <f t="shared" si="6"/>
        <v>0</v>
      </c>
      <c r="E29" s="36">
        <v>0</v>
      </c>
      <c r="F29" s="36">
        <f t="shared" si="5"/>
        <v>0</v>
      </c>
      <c r="G29" s="27">
        <f>ROUND('CFIT Schedules'!F28*-0.35,0)</f>
        <v>0</v>
      </c>
      <c r="H29" s="27">
        <f t="shared" si="3"/>
        <v>0</v>
      </c>
      <c r="I29" s="27">
        <f>ROUND('CFIT Schedules'!H28*-0.21,0)</f>
        <v>0</v>
      </c>
      <c r="J29" s="27">
        <f t="shared" si="4"/>
        <v>0</v>
      </c>
      <c r="K29" s="51">
        <f t="shared" si="0"/>
        <v>0.98499999999999999</v>
      </c>
      <c r="L29" s="42">
        <f t="shared" si="1"/>
        <v>0</v>
      </c>
      <c r="M29" s="18" t="str">
        <f>'CFIT Schedules'!L28</f>
        <v>GROSS PLT</v>
      </c>
    </row>
    <row r="30" spans="1:13" x14ac:dyDescent="0.2">
      <c r="A30" s="144">
        <f t="shared" si="2"/>
        <v>9</v>
      </c>
      <c r="B30" s="17" t="s">
        <v>6</v>
      </c>
      <c r="C30" s="36">
        <f>+'CFIT Schedules'!E29</f>
        <v>46835.89</v>
      </c>
      <c r="D30" s="42">
        <f t="shared" si="6"/>
        <v>-9836</v>
      </c>
      <c r="E30" s="36">
        <v>0</v>
      </c>
      <c r="F30" s="36">
        <f t="shared" si="5"/>
        <v>-9836</v>
      </c>
      <c r="G30" s="27">
        <f>ROUND('CFIT Schedules'!F29*-0.35,0)</f>
        <v>0</v>
      </c>
      <c r="H30" s="27">
        <f t="shared" si="3"/>
        <v>-9836</v>
      </c>
      <c r="I30" s="27">
        <f>ROUND('CFIT Schedules'!H29*-0.21,0)</f>
        <v>0</v>
      </c>
      <c r="J30" s="27">
        <f t="shared" si="4"/>
        <v>-9836</v>
      </c>
      <c r="K30" s="51">
        <f t="shared" si="0"/>
        <v>0.98499999999999999</v>
      </c>
      <c r="L30" s="42">
        <f t="shared" si="1"/>
        <v>-9688</v>
      </c>
      <c r="M30" s="18" t="str">
        <f>'CFIT Schedules'!L29</f>
        <v>TRAN PLT</v>
      </c>
    </row>
    <row r="31" spans="1:13" x14ac:dyDescent="0.2">
      <c r="A31" s="144">
        <f t="shared" si="2"/>
        <v>10</v>
      </c>
      <c r="B31" s="56" t="s">
        <v>239</v>
      </c>
      <c r="C31" s="36">
        <f>+'CFIT Schedules'!E30</f>
        <v>0</v>
      </c>
      <c r="D31" s="42">
        <f t="shared" si="6"/>
        <v>0</v>
      </c>
      <c r="E31" s="36">
        <v>0</v>
      </c>
      <c r="F31" s="36">
        <f>SUM(D31:E31)</f>
        <v>0</v>
      </c>
      <c r="G31" s="27">
        <f>ROUND('CFIT Schedules'!F30*-0.35,0)</f>
        <v>0</v>
      </c>
      <c r="H31" s="27">
        <f t="shared" si="3"/>
        <v>0</v>
      </c>
      <c r="I31" s="27">
        <f>ROUND('CFIT Schedules'!H30*-0.21,0)</f>
        <v>0</v>
      </c>
      <c r="J31" s="27">
        <f>+H31+I31</f>
        <v>0</v>
      </c>
      <c r="K31" s="51">
        <f t="shared" si="0"/>
        <v>0.98499999999999999</v>
      </c>
      <c r="L31" s="42">
        <f>IF(J31*K31=0,0, ROUND(J31*K31,0))</f>
        <v>0</v>
      </c>
      <c r="M31" s="18" t="str">
        <f>'CFIT Schedules'!L30</f>
        <v>PROD PLT</v>
      </c>
    </row>
    <row r="32" spans="1:13" x14ac:dyDescent="0.2">
      <c r="A32" s="144">
        <f t="shared" si="2"/>
        <v>11</v>
      </c>
      <c r="B32" s="56" t="s">
        <v>287</v>
      </c>
      <c r="C32" s="36">
        <f>+'CFIT Schedules'!E31</f>
        <v>0</v>
      </c>
      <c r="D32" s="42">
        <f t="shared" si="6"/>
        <v>0</v>
      </c>
      <c r="E32" s="36">
        <v>0</v>
      </c>
      <c r="F32" s="36">
        <f>SUM(D32:E32)</f>
        <v>0</v>
      </c>
      <c r="G32" s="27">
        <f>ROUND('CFIT Schedules'!F31*-0.35,0)</f>
        <v>0</v>
      </c>
      <c r="H32" s="27">
        <f t="shared" si="3"/>
        <v>0</v>
      </c>
      <c r="I32" s="27">
        <f>ROUND('CFIT Schedules'!H31*-0.21,0)</f>
        <v>0</v>
      </c>
      <c r="J32" s="27">
        <f>+H32+I32</f>
        <v>0</v>
      </c>
      <c r="K32" s="51">
        <f t="shared" si="0"/>
        <v>0.98499999999999999</v>
      </c>
      <c r="L32" s="42">
        <f>IF(J32*K32=0,0, ROUND(J32*K32,0))</f>
        <v>0</v>
      </c>
      <c r="M32" s="18" t="str">
        <f>'CFIT Schedules'!L31</f>
        <v>TRAN PLT</v>
      </c>
    </row>
    <row r="33" spans="1:13" x14ac:dyDescent="0.2">
      <c r="A33" s="144">
        <f t="shared" si="2"/>
        <v>12</v>
      </c>
      <c r="B33" s="56" t="s">
        <v>295</v>
      </c>
      <c r="C33" s="36">
        <v>0</v>
      </c>
      <c r="D33" s="36">
        <v>0</v>
      </c>
      <c r="E33" s="36">
        <v>0</v>
      </c>
      <c r="F33" s="36">
        <f>SUM(D33:E33)</f>
        <v>0</v>
      </c>
      <c r="G33" s="36">
        <v>0</v>
      </c>
      <c r="H33" s="27">
        <f t="shared" si="3"/>
        <v>0</v>
      </c>
      <c r="I33" s="36">
        <v>0</v>
      </c>
      <c r="J33" s="27">
        <f t="shared" ref="J33" si="10">+H33+I33</f>
        <v>0</v>
      </c>
      <c r="K33" s="51">
        <f t="shared" si="0"/>
        <v>0.98499999999999999</v>
      </c>
      <c r="L33" s="42">
        <f t="shared" ref="L33" si="11">IF(J33*K33=0,0, ROUND(J33*K33,0))</f>
        <v>0</v>
      </c>
      <c r="M33" s="18" t="str">
        <f>'CFIT Schedules'!L32</f>
        <v>TRAN PLT</v>
      </c>
    </row>
    <row r="34" spans="1:13" x14ac:dyDescent="0.2">
      <c r="A34" s="144">
        <f t="shared" si="2"/>
        <v>13</v>
      </c>
      <c r="B34" s="17" t="s">
        <v>7</v>
      </c>
      <c r="C34" s="36">
        <f>+'CFIT Schedules'!E33</f>
        <v>12638168</v>
      </c>
      <c r="D34" s="42">
        <v>0</v>
      </c>
      <c r="E34" s="36">
        <v>0</v>
      </c>
      <c r="F34" s="36">
        <f t="shared" si="5"/>
        <v>0</v>
      </c>
      <c r="G34" s="36">
        <v>0</v>
      </c>
      <c r="H34" s="27">
        <f t="shared" si="3"/>
        <v>0</v>
      </c>
      <c r="I34" s="36">
        <v>0</v>
      </c>
      <c r="J34" s="27">
        <f t="shared" si="4"/>
        <v>0</v>
      </c>
      <c r="K34" s="51">
        <f t="shared" si="0"/>
        <v>0.98499999999999999</v>
      </c>
      <c r="L34" s="42">
        <f t="shared" si="1"/>
        <v>0</v>
      </c>
      <c r="M34" s="18" t="str">
        <f>'CFIT Schedules'!L33</f>
        <v>GROSS PLT</v>
      </c>
    </row>
    <row r="35" spans="1:13" x14ac:dyDescent="0.2">
      <c r="A35" s="144">
        <f t="shared" si="2"/>
        <v>14</v>
      </c>
      <c r="B35" s="17" t="s">
        <v>8</v>
      </c>
      <c r="C35" s="36">
        <f>+'CFIT Schedules'!E34</f>
        <v>1623761</v>
      </c>
      <c r="D35" s="42">
        <f>IF(C35*0.21=0,0,ROUND(C35*-0.21,0))</f>
        <v>-340990</v>
      </c>
      <c r="E35" s="36">
        <v>0</v>
      </c>
      <c r="F35" s="36">
        <f t="shared" si="5"/>
        <v>-340990</v>
      </c>
      <c r="G35" s="27">
        <f>ROUND('CFIT Schedules'!F34*-0.35,0)</f>
        <v>0</v>
      </c>
      <c r="H35" s="27">
        <f t="shared" si="3"/>
        <v>-340990</v>
      </c>
      <c r="I35" s="27">
        <f>ROUND('CFIT Schedules'!H34*-0.21,0)</f>
        <v>0</v>
      </c>
      <c r="J35" s="27">
        <f t="shared" si="4"/>
        <v>-340990</v>
      </c>
      <c r="K35" s="51">
        <f t="shared" si="0"/>
        <v>0.98499999999999999</v>
      </c>
      <c r="L35" s="42">
        <f t="shared" ref="L35:L41" si="12">IF(J35*K35=0,0, ROUND(J35*K35,0))</f>
        <v>-335875</v>
      </c>
      <c r="M35" s="18" t="str">
        <f>'CFIT Schedules'!L34</f>
        <v>PROD PLT</v>
      </c>
    </row>
    <row r="36" spans="1:13" x14ac:dyDescent="0.2">
      <c r="A36" s="144">
        <f t="shared" si="2"/>
        <v>15</v>
      </c>
      <c r="B36" s="122" t="s">
        <v>364</v>
      </c>
      <c r="C36" s="36">
        <f>'CFIT Schedules'!E35</f>
        <v>4138781</v>
      </c>
      <c r="D36" s="42">
        <f>IF(C36*0.21=0,0,ROUND(C36*-0.21,0))</f>
        <v>-869144</v>
      </c>
      <c r="E36" s="36">
        <v>0</v>
      </c>
      <c r="F36" s="36">
        <f t="shared" ref="F36" si="13">SUM(D36:E36)</f>
        <v>-869144</v>
      </c>
      <c r="G36" s="27">
        <f>ROUND('CFIT Schedules'!F35*-0.35,0)</f>
        <v>0</v>
      </c>
      <c r="H36" s="27">
        <f t="shared" ref="H36" si="14">+F36+G36</f>
        <v>-869144</v>
      </c>
      <c r="I36" s="27">
        <f>ROUND('CFIT Schedules'!H35*-0.21,0)</f>
        <v>0</v>
      </c>
      <c r="J36" s="27">
        <f t="shared" ref="J36" si="15">+H36+I36</f>
        <v>-869144</v>
      </c>
      <c r="K36" s="51">
        <f t="shared" si="0"/>
        <v>0.98499999999999999</v>
      </c>
      <c r="L36" s="42">
        <f t="shared" ref="L36" si="16">IF(J36*K36=0,0, ROUND(J36*K36,0))</f>
        <v>-856107</v>
      </c>
      <c r="M36" s="138" t="str">
        <f>'CFIT Schedules'!L35</f>
        <v>GROSS PLT</v>
      </c>
    </row>
    <row r="37" spans="1:13" x14ac:dyDescent="0.2">
      <c r="A37" s="144">
        <f t="shared" si="2"/>
        <v>16</v>
      </c>
      <c r="B37" s="17" t="s">
        <v>320</v>
      </c>
      <c r="C37" s="36">
        <f>+'CFIT Schedules'!E36</f>
        <v>0</v>
      </c>
      <c r="D37" s="42">
        <f t="shared" ref="D37:D42" si="17">IF(C37*0.21=0,0,ROUND(C37*-0.21,0))</f>
        <v>0</v>
      </c>
      <c r="E37" s="36">
        <v>0</v>
      </c>
      <c r="F37" s="36">
        <f t="shared" ref="F37" si="18">SUM(D37:E37)</f>
        <v>0</v>
      </c>
      <c r="G37" s="27">
        <f>ROUND('CFIT Schedules'!F36*-0.35,0)</f>
        <v>0</v>
      </c>
      <c r="H37" s="27">
        <f t="shared" ref="H37:H38" si="19">+F37+G37</f>
        <v>0</v>
      </c>
      <c r="I37" s="27">
        <f>ROUND('CFIT Schedules'!H36*-0.21,0)</f>
        <v>0</v>
      </c>
      <c r="J37" s="27">
        <f t="shared" ref="J37:J38" si="20">+H37+I37</f>
        <v>0</v>
      </c>
      <c r="K37" s="51">
        <f t="shared" si="0"/>
        <v>0.98499999999999999</v>
      </c>
      <c r="L37" s="42">
        <f t="shared" si="12"/>
        <v>0</v>
      </c>
      <c r="M37" s="18" t="str">
        <f>'CFIT Schedules'!L36</f>
        <v>PROD PLT</v>
      </c>
    </row>
    <row r="38" spans="1:13" x14ac:dyDescent="0.2">
      <c r="A38" s="144">
        <f t="shared" si="2"/>
        <v>17</v>
      </c>
      <c r="B38" s="17" t="s">
        <v>352</v>
      </c>
      <c r="C38" s="36">
        <f>+'CFIT Schedules'!E37</f>
        <v>0</v>
      </c>
      <c r="D38" s="42">
        <f t="shared" si="17"/>
        <v>0</v>
      </c>
      <c r="E38" s="36">
        <v>0</v>
      </c>
      <c r="F38" s="36">
        <f t="shared" ref="F38" si="21">SUM(D38:E38)</f>
        <v>0</v>
      </c>
      <c r="G38" s="36">
        <v>0</v>
      </c>
      <c r="H38" s="27">
        <f t="shared" si="19"/>
        <v>0</v>
      </c>
      <c r="I38" s="36">
        <v>0</v>
      </c>
      <c r="J38" s="27">
        <f t="shared" si="20"/>
        <v>0</v>
      </c>
      <c r="K38" s="51">
        <f t="shared" si="0"/>
        <v>0.98499999999999999</v>
      </c>
      <c r="L38" s="42">
        <f t="shared" si="12"/>
        <v>0</v>
      </c>
      <c r="M38" s="18" t="str">
        <f>'CFIT Schedules'!L37</f>
        <v>GROSS PLT</v>
      </c>
    </row>
    <row r="39" spans="1:13" x14ac:dyDescent="0.2">
      <c r="A39" s="144">
        <f t="shared" si="2"/>
        <v>18</v>
      </c>
      <c r="B39" s="17" t="s">
        <v>9</v>
      </c>
      <c r="C39" s="36">
        <f>+'CFIT Schedules'!E38</f>
        <v>0</v>
      </c>
      <c r="D39" s="42">
        <f t="shared" si="17"/>
        <v>0</v>
      </c>
      <c r="E39" s="36">
        <v>0</v>
      </c>
      <c r="F39" s="36">
        <f t="shared" si="5"/>
        <v>0</v>
      </c>
      <c r="G39" s="36">
        <v>0</v>
      </c>
      <c r="H39" s="27">
        <f t="shared" si="3"/>
        <v>0</v>
      </c>
      <c r="I39" s="36">
        <v>0</v>
      </c>
      <c r="J39" s="27">
        <f t="shared" si="4"/>
        <v>0</v>
      </c>
      <c r="K39" s="51">
        <f t="shared" si="0"/>
        <v>0.98499999999999999</v>
      </c>
      <c r="L39" s="42">
        <f t="shared" si="12"/>
        <v>0</v>
      </c>
      <c r="M39" s="18" t="str">
        <f>'CFIT Schedules'!L38</f>
        <v>GROSS PLT</v>
      </c>
    </row>
    <row r="40" spans="1:13" x14ac:dyDescent="0.2">
      <c r="A40" s="144">
        <f t="shared" si="2"/>
        <v>19</v>
      </c>
      <c r="B40" s="17" t="s">
        <v>236</v>
      </c>
      <c r="C40" s="36">
        <f>+'CFIT Schedules'!E39</f>
        <v>0</v>
      </c>
      <c r="D40" s="42">
        <f t="shared" si="17"/>
        <v>0</v>
      </c>
      <c r="E40" s="36">
        <v>-1062170</v>
      </c>
      <c r="F40" s="36">
        <f t="shared" ref="F40" si="22">SUM(D40:E40)</f>
        <v>-1062170</v>
      </c>
      <c r="G40" s="27">
        <v>0</v>
      </c>
      <c r="H40" s="27">
        <f t="shared" si="3"/>
        <v>-1062170</v>
      </c>
      <c r="I40" s="27">
        <v>0</v>
      </c>
      <c r="J40" s="27">
        <f t="shared" ref="J40" si="23">+H40+I40</f>
        <v>-1062170</v>
      </c>
      <c r="K40" s="51">
        <f t="shared" si="0"/>
        <v>0.98499999999999999</v>
      </c>
      <c r="L40" s="42">
        <f t="shared" si="12"/>
        <v>-1046237</v>
      </c>
      <c r="M40" s="18" t="str">
        <f>'CFIT Schedules'!L39</f>
        <v>GROSS PLT</v>
      </c>
    </row>
    <row r="41" spans="1:13" x14ac:dyDescent="0.2">
      <c r="A41" s="144">
        <f t="shared" si="2"/>
        <v>20</v>
      </c>
      <c r="B41" s="56" t="s">
        <v>240</v>
      </c>
      <c r="C41" s="36">
        <f>+'CFIT Schedules'!E40</f>
        <v>0</v>
      </c>
      <c r="D41" s="42">
        <f t="shared" si="17"/>
        <v>0</v>
      </c>
      <c r="E41" s="36">
        <v>0</v>
      </c>
      <c r="F41" s="36">
        <f>SUM(D41:E41)</f>
        <v>0</v>
      </c>
      <c r="G41" s="36">
        <v>0</v>
      </c>
      <c r="H41" s="27">
        <f t="shared" si="3"/>
        <v>0</v>
      </c>
      <c r="I41" s="36">
        <v>0</v>
      </c>
      <c r="J41" s="27">
        <f>+H41+I41</f>
        <v>0</v>
      </c>
      <c r="K41" s="51">
        <f t="shared" si="0"/>
        <v>0.98499999999999999</v>
      </c>
      <c r="L41" s="42">
        <f t="shared" si="12"/>
        <v>0</v>
      </c>
      <c r="M41" s="18" t="str">
        <f>'CFIT Schedules'!L40</f>
        <v>PROD PLT</v>
      </c>
    </row>
    <row r="42" spans="1:13" x14ac:dyDescent="0.2">
      <c r="A42" s="144">
        <f t="shared" si="2"/>
        <v>21</v>
      </c>
      <c r="B42" s="17" t="s">
        <v>10</v>
      </c>
      <c r="C42" s="36">
        <f>+'CFIT Schedules'!E41</f>
        <v>311135</v>
      </c>
      <c r="D42" s="42">
        <f t="shared" si="17"/>
        <v>-65338</v>
      </c>
      <c r="E42" s="36">
        <v>0</v>
      </c>
      <c r="F42" s="36">
        <f t="shared" si="5"/>
        <v>-65338</v>
      </c>
      <c r="G42" s="36">
        <v>0</v>
      </c>
      <c r="H42" s="27">
        <f t="shared" si="3"/>
        <v>-65338</v>
      </c>
      <c r="I42" s="36">
        <v>0</v>
      </c>
      <c r="J42" s="27">
        <f t="shared" si="4"/>
        <v>-65338</v>
      </c>
      <c r="K42" s="51">
        <f t="shared" si="0"/>
        <v>0.999</v>
      </c>
      <c r="L42" s="42">
        <f t="shared" si="1"/>
        <v>-65273</v>
      </c>
      <c r="M42" s="18" t="str">
        <f>'CFIT Schedules'!L41</f>
        <v>DIST PLT</v>
      </c>
    </row>
    <row r="43" spans="1:13" x14ac:dyDescent="0.2">
      <c r="A43" s="144">
        <f t="shared" si="2"/>
        <v>22</v>
      </c>
      <c r="B43" s="75" t="s">
        <v>11</v>
      </c>
      <c r="C43" s="78">
        <f t="shared" ref="C43:J43" si="24">SUM(C23:C42)</f>
        <v>21224724.890000001</v>
      </c>
      <c r="D43" s="78">
        <f t="shared" si="24"/>
        <v>-1803177</v>
      </c>
      <c r="E43" s="78">
        <f t="shared" si="24"/>
        <v>-1062170</v>
      </c>
      <c r="F43" s="78">
        <f t="shared" si="24"/>
        <v>-2865347</v>
      </c>
      <c r="G43" s="78">
        <f t="shared" ref="G43" si="25">SUM(G23:G42)</f>
        <v>0</v>
      </c>
      <c r="H43" s="78">
        <f t="shared" si="24"/>
        <v>-2865347</v>
      </c>
      <c r="I43" s="78">
        <f t="shared" si="24"/>
        <v>0</v>
      </c>
      <c r="J43" s="78">
        <f t="shared" si="24"/>
        <v>-2865347</v>
      </c>
      <c r="K43" s="24"/>
      <c r="L43" s="78">
        <f>SUM(L23:L42)</f>
        <v>-2823281</v>
      </c>
    </row>
    <row r="44" spans="1:13" x14ac:dyDescent="0.2">
      <c r="A44" s="144">
        <f t="shared" si="2"/>
        <v>23</v>
      </c>
      <c r="B44" s="17" t="s">
        <v>0</v>
      </c>
      <c r="C44" s="36"/>
      <c r="D44" s="36"/>
      <c r="K44" s="81"/>
    </row>
    <row r="45" spans="1:13" x14ac:dyDescent="0.2">
      <c r="A45" s="144">
        <f t="shared" si="2"/>
        <v>24</v>
      </c>
      <c r="B45" s="75" t="s">
        <v>12</v>
      </c>
      <c r="C45" s="36"/>
      <c r="D45" s="36"/>
      <c r="K45" s="81"/>
    </row>
    <row r="46" spans="1:13" x14ac:dyDescent="0.2">
      <c r="A46" s="144">
        <f t="shared" si="2"/>
        <v>25</v>
      </c>
      <c r="B46" s="17" t="s">
        <v>13</v>
      </c>
      <c r="C46" s="36">
        <f>+'CFIT Schedules'!E45</f>
        <v>0</v>
      </c>
      <c r="D46" s="42">
        <f>IF(C46*0.21=0,0,ROUND(C46*-0.21,0))</f>
        <v>0</v>
      </c>
      <c r="E46" s="36">
        <v>0</v>
      </c>
      <c r="F46" s="36">
        <f t="shared" ref="F46:F53" si="26">SUM(D46:E46)</f>
        <v>0</v>
      </c>
      <c r="G46" s="36">
        <v>0</v>
      </c>
      <c r="H46" s="27">
        <f t="shared" ref="H46:H54" si="27">+F46+G46</f>
        <v>0</v>
      </c>
      <c r="I46" s="36">
        <v>0</v>
      </c>
      <c r="J46" s="27">
        <f t="shared" ref="J46:J53" si="28">+H46+I46</f>
        <v>0</v>
      </c>
      <c r="K46" s="51">
        <f t="shared" ref="K46:K54" si="29">VLOOKUP(M46,$C$300:$D$314,2,FALSE)</f>
        <v>0</v>
      </c>
      <c r="L46" s="42">
        <f t="shared" ref="L46:L54" si="30">IF(J46*K46=0,0, ROUND(J46*K46,0))</f>
        <v>0</v>
      </c>
      <c r="M46" s="18" t="str">
        <f>'CFIT Schedules'!L45</f>
        <v>NON-APPLIC</v>
      </c>
    </row>
    <row r="47" spans="1:13" x14ac:dyDescent="0.2">
      <c r="A47" s="144">
        <f t="shared" si="2"/>
        <v>26</v>
      </c>
      <c r="B47" s="17" t="s">
        <v>288</v>
      </c>
      <c r="C47" s="36">
        <f>+'CFIT Schedules'!E46</f>
        <v>0</v>
      </c>
      <c r="D47" s="42">
        <v>0</v>
      </c>
      <c r="E47" s="36">
        <v>0</v>
      </c>
      <c r="F47" s="36">
        <f t="shared" ref="F47" si="31">SUM(D47:E47)</f>
        <v>0</v>
      </c>
      <c r="G47" s="27">
        <f>ROUND('CFIT Schedules'!F46*-0.35,0)</f>
        <v>0</v>
      </c>
      <c r="H47" s="27">
        <f t="shared" si="27"/>
        <v>0</v>
      </c>
      <c r="I47" s="27">
        <f>ROUND('CFIT Schedules'!H46*-0.21,0)</f>
        <v>0</v>
      </c>
      <c r="J47" s="27">
        <f t="shared" ref="J47" si="32">+H47+I47</f>
        <v>0</v>
      </c>
      <c r="K47" s="51">
        <f t="shared" si="29"/>
        <v>1</v>
      </c>
      <c r="L47" s="42">
        <f t="shared" ref="L47" si="33">IF(J47*K47=0,0, ROUND(J47*K47,0))</f>
        <v>0</v>
      </c>
      <c r="M47" s="18" t="str">
        <f>'CFIT Schedules'!L46</f>
        <v>SPECIFIC</v>
      </c>
    </row>
    <row r="48" spans="1:13" x14ac:dyDescent="0.2">
      <c r="A48" s="144">
        <f t="shared" si="2"/>
        <v>27</v>
      </c>
      <c r="B48" s="17" t="s">
        <v>14</v>
      </c>
      <c r="C48" s="36">
        <f>+'CFIT Schedules'!E47</f>
        <v>-2266338</v>
      </c>
      <c r="D48" s="42">
        <f>IF(C48*0.21=0,0,ROUND(C48*-0.21,0))</f>
        <v>475931</v>
      </c>
      <c r="E48" s="36">
        <v>0</v>
      </c>
      <c r="F48" s="36">
        <f t="shared" si="26"/>
        <v>475931</v>
      </c>
      <c r="G48" s="27">
        <f>ROUND('CFIT Schedules'!F47*-0.35,0)</f>
        <v>0</v>
      </c>
      <c r="H48" s="27">
        <f t="shared" si="27"/>
        <v>475931</v>
      </c>
      <c r="I48" s="27">
        <f>ROUND('CFIT Schedules'!H47*-0.21,0)</f>
        <v>0</v>
      </c>
      <c r="J48" s="27">
        <f t="shared" si="28"/>
        <v>475931</v>
      </c>
      <c r="K48" s="51">
        <f t="shared" si="29"/>
        <v>0.98499999999999999</v>
      </c>
      <c r="L48" s="42">
        <f t="shared" si="30"/>
        <v>468792</v>
      </c>
      <c r="M48" s="18" t="str">
        <f>'CFIT Schedules'!L47</f>
        <v>GROSS PLT</v>
      </c>
    </row>
    <row r="49" spans="1:13" x14ac:dyDescent="0.2">
      <c r="A49" s="144">
        <f t="shared" si="2"/>
        <v>28</v>
      </c>
      <c r="B49" s="17" t="s">
        <v>228</v>
      </c>
      <c r="C49" s="36">
        <v>0</v>
      </c>
      <c r="D49" s="42">
        <f>IF(C49*0.21=0,0,ROUND(C49*-0.21,0))</f>
        <v>0</v>
      </c>
      <c r="E49" s="36">
        <v>-165904</v>
      </c>
      <c r="F49" s="36">
        <f>SUM(D49:E49)</f>
        <v>-165904</v>
      </c>
      <c r="G49" s="27">
        <v>0</v>
      </c>
      <c r="H49" s="27">
        <f t="shared" si="27"/>
        <v>-165904</v>
      </c>
      <c r="I49" s="27">
        <v>0</v>
      </c>
      <c r="J49" s="27">
        <f>+H49+I49</f>
        <v>-165904</v>
      </c>
      <c r="K49" s="51">
        <f t="shared" si="29"/>
        <v>0.98499999999999999</v>
      </c>
      <c r="L49" s="42">
        <f t="shared" ref="L49:L52" si="34">IF(J49*K49=0,0, ROUND(J49*K49,0))</f>
        <v>-163415</v>
      </c>
      <c r="M49" s="18" t="str">
        <f>'CFIT Schedules'!L48</f>
        <v>GROSS PLT</v>
      </c>
    </row>
    <row r="50" spans="1:13" x14ac:dyDescent="0.2">
      <c r="A50" s="144">
        <f t="shared" si="2"/>
        <v>29</v>
      </c>
      <c r="B50" s="17" t="s">
        <v>297</v>
      </c>
      <c r="C50" s="36">
        <v>0</v>
      </c>
      <c r="D50" s="42">
        <f>IF(C50*0.21=0,0,ROUND(C50*-0.21,0))</f>
        <v>0</v>
      </c>
      <c r="E50" s="36">
        <v>0</v>
      </c>
      <c r="F50" s="36">
        <f>SUM(D50:E50)</f>
        <v>0</v>
      </c>
      <c r="G50" s="27">
        <v>0</v>
      </c>
      <c r="H50" s="27">
        <f t="shared" si="27"/>
        <v>0</v>
      </c>
      <c r="I50" s="27">
        <v>0</v>
      </c>
      <c r="J50" s="27">
        <f>+H50+I50</f>
        <v>0</v>
      </c>
      <c r="K50" s="51">
        <f t="shared" si="29"/>
        <v>0.98499999999999999</v>
      </c>
      <c r="L50" s="42">
        <f t="shared" si="34"/>
        <v>0</v>
      </c>
      <c r="M50" s="18" t="str">
        <f>'CFIT Schedules'!L49</f>
        <v>TRAN PLT</v>
      </c>
    </row>
    <row r="51" spans="1:13" x14ac:dyDescent="0.2">
      <c r="A51" s="144">
        <f t="shared" si="2"/>
        <v>30</v>
      </c>
      <c r="B51" s="17" t="s">
        <v>290</v>
      </c>
      <c r="C51" s="36">
        <f>+'CFIT Schedules'!E50</f>
        <v>0</v>
      </c>
      <c r="D51" s="42">
        <v>0</v>
      </c>
      <c r="E51" s="36">
        <v>0</v>
      </c>
      <c r="F51" s="36">
        <f t="shared" si="26"/>
        <v>0</v>
      </c>
      <c r="G51" s="27">
        <f>ROUND('CFIT Schedules'!F50*-0.35,0)</f>
        <v>0</v>
      </c>
      <c r="H51" s="27">
        <f t="shared" si="27"/>
        <v>0</v>
      </c>
      <c r="I51" s="27">
        <f>ROUND('CFIT Schedules'!H50*-0.21,0)</f>
        <v>0</v>
      </c>
      <c r="J51" s="27">
        <f t="shared" si="28"/>
        <v>0</v>
      </c>
      <c r="K51" s="51">
        <f t="shared" si="29"/>
        <v>0.98499999999999999</v>
      </c>
      <c r="L51" s="42">
        <f t="shared" si="34"/>
        <v>0</v>
      </c>
      <c r="M51" s="18" t="str">
        <f>'CFIT Schedules'!L50</f>
        <v>TRAN PLT</v>
      </c>
    </row>
    <row r="52" spans="1:13" x14ac:dyDescent="0.2">
      <c r="A52" s="144">
        <f t="shared" si="2"/>
        <v>31</v>
      </c>
      <c r="B52" s="17" t="s">
        <v>289</v>
      </c>
      <c r="C52" s="36">
        <v>0</v>
      </c>
      <c r="D52" s="42">
        <f>IF(C52*0.21=0,0,ROUND(C52*-0.21,0))</f>
        <v>0</v>
      </c>
      <c r="E52" s="36">
        <v>-4468</v>
      </c>
      <c r="F52" s="36">
        <f>SUM(D52:E52)</f>
        <v>-4468</v>
      </c>
      <c r="G52" s="27">
        <v>0</v>
      </c>
      <c r="H52" s="27">
        <f t="shared" si="27"/>
        <v>-4468</v>
      </c>
      <c r="I52" s="27">
        <v>0</v>
      </c>
      <c r="J52" s="27">
        <f>+H52+I52</f>
        <v>-4468</v>
      </c>
      <c r="K52" s="51">
        <f t="shared" si="29"/>
        <v>0.98499999999999999</v>
      </c>
      <c r="L52" s="42">
        <f t="shared" si="34"/>
        <v>-4401</v>
      </c>
      <c r="M52" s="18" t="str">
        <f>'CFIT Schedules'!L51</f>
        <v>TRAN PLT</v>
      </c>
    </row>
    <row r="53" spans="1:13" x14ac:dyDescent="0.2">
      <c r="A53" s="144">
        <f t="shared" si="2"/>
        <v>32</v>
      </c>
      <c r="B53" s="17" t="s">
        <v>15</v>
      </c>
      <c r="C53" s="36">
        <f>+'CFIT Schedules'!E52</f>
        <v>2698975</v>
      </c>
      <c r="D53" s="42">
        <f>IF(C53*0.21=0,0,ROUND(C53*-0.21,0))</f>
        <v>-566785</v>
      </c>
      <c r="E53" s="36">
        <v>0</v>
      </c>
      <c r="F53" s="36">
        <f t="shared" si="26"/>
        <v>-566785</v>
      </c>
      <c r="G53" s="27">
        <f>ROUND('CFIT Schedules'!F52*-0.35,0)</f>
        <v>0</v>
      </c>
      <c r="H53" s="27">
        <f t="shared" si="27"/>
        <v>-566785</v>
      </c>
      <c r="I53" s="27">
        <f>ROUND('CFIT Schedules'!H52*-0.21,0)</f>
        <v>0</v>
      </c>
      <c r="J53" s="27">
        <f t="shared" si="28"/>
        <v>-566785</v>
      </c>
      <c r="K53" s="51">
        <f t="shared" si="29"/>
        <v>0.98499999999999999</v>
      </c>
      <c r="L53" s="42">
        <f t="shared" si="30"/>
        <v>-558283</v>
      </c>
      <c r="M53" s="18" t="str">
        <f>'CFIT Schedules'!L52</f>
        <v>GROSS PLT</v>
      </c>
    </row>
    <row r="54" spans="1:13" x14ac:dyDescent="0.2">
      <c r="A54" s="144">
        <f t="shared" si="2"/>
        <v>33</v>
      </c>
      <c r="B54" s="17" t="s">
        <v>229</v>
      </c>
      <c r="C54" s="36">
        <v>0</v>
      </c>
      <c r="D54" s="42">
        <f>IF(C54*0.21=0,0,ROUND(C54*-0.21,0))</f>
        <v>0</v>
      </c>
      <c r="E54" s="36">
        <v>287147</v>
      </c>
      <c r="F54" s="36">
        <f>SUM(D54:E54)</f>
        <v>287147</v>
      </c>
      <c r="G54" s="27">
        <v>0</v>
      </c>
      <c r="H54" s="27">
        <f t="shared" si="27"/>
        <v>287147</v>
      </c>
      <c r="I54" s="27">
        <v>0</v>
      </c>
      <c r="J54" s="27">
        <f>+H54+I54</f>
        <v>287147</v>
      </c>
      <c r="K54" s="51">
        <f t="shared" si="29"/>
        <v>0.98499999999999999</v>
      </c>
      <c r="L54" s="42">
        <f t="shared" si="30"/>
        <v>282840</v>
      </c>
      <c r="M54" s="18" t="str">
        <f>'CFIT Schedules'!L53</f>
        <v>GROSS PLT</v>
      </c>
    </row>
    <row r="55" spans="1:13" x14ac:dyDescent="0.2">
      <c r="A55" s="144">
        <f t="shared" si="2"/>
        <v>34</v>
      </c>
      <c r="B55" s="75" t="s">
        <v>16</v>
      </c>
      <c r="C55" s="78">
        <f t="shared" ref="C55:J55" si="35">SUM(C46:C54)</f>
        <v>432637</v>
      </c>
      <c r="D55" s="78">
        <f t="shared" si="35"/>
        <v>-90854</v>
      </c>
      <c r="E55" s="78">
        <f t="shared" si="35"/>
        <v>116775</v>
      </c>
      <c r="F55" s="78">
        <f t="shared" si="35"/>
        <v>25921</v>
      </c>
      <c r="G55" s="78">
        <f t="shared" ref="G55" si="36">SUM(G46:G54)</f>
        <v>0</v>
      </c>
      <c r="H55" s="78">
        <f t="shared" si="35"/>
        <v>25921</v>
      </c>
      <c r="I55" s="78">
        <f t="shared" si="35"/>
        <v>0</v>
      </c>
      <c r="J55" s="78">
        <f t="shared" si="35"/>
        <v>25921</v>
      </c>
      <c r="K55" s="24"/>
      <c r="L55" s="78">
        <f>SUM(L46:L54)</f>
        <v>25533</v>
      </c>
    </row>
    <row r="56" spans="1:13" x14ac:dyDescent="0.2">
      <c r="A56" s="144">
        <f t="shared" si="2"/>
        <v>35</v>
      </c>
      <c r="B56" s="17" t="s">
        <v>0</v>
      </c>
      <c r="C56" s="36"/>
      <c r="D56" s="36"/>
      <c r="K56" s="81"/>
    </row>
    <row r="57" spans="1:13" x14ac:dyDescent="0.2">
      <c r="A57" s="144">
        <f t="shared" si="2"/>
        <v>36</v>
      </c>
      <c r="B57" s="75" t="s">
        <v>17</v>
      </c>
      <c r="C57" s="36"/>
      <c r="D57" s="36"/>
      <c r="K57" s="81"/>
    </row>
    <row r="58" spans="1:13" x14ac:dyDescent="0.2">
      <c r="A58" s="144">
        <f t="shared" si="2"/>
        <v>37</v>
      </c>
      <c r="B58" s="17" t="s">
        <v>230</v>
      </c>
      <c r="C58" s="36">
        <f>+'CFIT Schedules'!E57</f>
        <v>0</v>
      </c>
      <c r="D58" s="42">
        <f>IF(C58*0.21=0,0,ROUND(C58*-0.21,0))</f>
        <v>0</v>
      </c>
      <c r="E58" s="36">
        <v>0</v>
      </c>
      <c r="F58" s="36">
        <f t="shared" ref="F58:F61" si="37">SUM(D58:E58)</f>
        <v>0</v>
      </c>
      <c r="G58" s="27">
        <v>0</v>
      </c>
      <c r="H58" s="27">
        <f t="shared" ref="H58:H61" si="38">+F58+G58</f>
        <v>0</v>
      </c>
      <c r="I58" s="27">
        <v>0</v>
      </c>
      <c r="J58" s="27">
        <f t="shared" ref="J58:J61" si="39">+H58+I58</f>
        <v>0</v>
      </c>
      <c r="K58" s="51">
        <f>VLOOKUP(M58,$C$300:$D$314,2,FALSE)</f>
        <v>0.98499999999999999</v>
      </c>
      <c r="L58" s="42">
        <f t="shared" ref="L58:L61" si="40">IF(J58*K58=0,0, ROUND(J58*K58,0))</f>
        <v>0</v>
      </c>
      <c r="M58" s="18" t="str">
        <f>'CFIT Schedules'!L57</f>
        <v>GROSS PLT</v>
      </c>
    </row>
    <row r="59" spans="1:13" x14ac:dyDescent="0.2">
      <c r="A59" s="144">
        <f t="shared" si="2"/>
        <v>38</v>
      </c>
      <c r="B59" s="17" t="s">
        <v>231</v>
      </c>
      <c r="C59" s="36">
        <f>+'CFIT Schedules'!E58</f>
        <v>0</v>
      </c>
      <c r="D59" s="42">
        <f>IF(C59*0.21=0,0,ROUND(C59*-0.21,0))</f>
        <v>0</v>
      </c>
      <c r="E59" s="36">
        <v>0</v>
      </c>
      <c r="F59" s="36">
        <f t="shared" si="37"/>
        <v>0</v>
      </c>
      <c r="G59" s="27">
        <v>0</v>
      </c>
      <c r="H59" s="27">
        <f t="shared" si="38"/>
        <v>0</v>
      </c>
      <c r="I59" s="27">
        <v>0</v>
      </c>
      <c r="J59" s="27">
        <f t="shared" si="39"/>
        <v>0</v>
      </c>
      <c r="K59" s="51">
        <f>VLOOKUP(M59,$C$300:$D$314,2,FALSE)</f>
        <v>0.98499999999999999</v>
      </c>
      <c r="L59" s="42">
        <f t="shared" si="40"/>
        <v>0</v>
      </c>
      <c r="M59" s="18" t="str">
        <f>'CFIT Schedules'!L58</f>
        <v>GROSS PLT</v>
      </c>
    </row>
    <row r="60" spans="1:13" x14ac:dyDescent="0.2">
      <c r="A60" s="144">
        <f t="shared" si="2"/>
        <v>39</v>
      </c>
      <c r="B60" s="17" t="s">
        <v>20</v>
      </c>
      <c r="C60" s="36">
        <f>+'CFIT Schedules'!E59</f>
        <v>0</v>
      </c>
      <c r="D60" s="42">
        <f>IF(C60*0.21=0,0,ROUND(C60*-0.21,0))</f>
        <v>0</v>
      </c>
      <c r="E60" s="36">
        <v>0</v>
      </c>
      <c r="F60" s="36">
        <f t="shared" si="37"/>
        <v>0</v>
      </c>
      <c r="G60" s="27">
        <f>ROUND('CFIT Schedules'!F59*-0.35,0)</f>
        <v>0</v>
      </c>
      <c r="H60" s="27">
        <f t="shared" si="38"/>
        <v>0</v>
      </c>
      <c r="I60" s="27">
        <f>ROUND('CFIT Schedules'!H59*-0.21,0)</f>
        <v>0</v>
      </c>
      <c r="J60" s="27">
        <f t="shared" si="39"/>
        <v>0</v>
      </c>
      <c r="K60" s="51">
        <f>VLOOKUP(M60,$C$300:$D$314,2,FALSE)</f>
        <v>0.99</v>
      </c>
      <c r="L60" s="42">
        <f t="shared" si="40"/>
        <v>0</v>
      </c>
      <c r="M60" s="18" t="str">
        <f>'CFIT Schedules'!L59</f>
        <v>LABOR</v>
      </c>
    </row>
    <row r="61" spans="1:13" x14ac:dyDescent="0.2">
      <c r="A61" s="144">
        <f t="shared" si="2"/>
        <v>40</v>
      </c>
      <c r="B61" s="17" t="s">
        <v>232</v>
      </c>
      <c r="C61" s="36">
        <f>+'CFIT Schedules'!E60</f>
        <v>0</v>
      </c>
      <c r="D61" s="42">
        <f>IF(C61*0.21=0,0,ROUND(C61*-0.21,0))</f>
        <v>0</v>
      </c>
      <c r="E61" s="36">
        <v>0</v>
      </c>
      <c r="F61" s="36">
        <f t="shared" si="37"/>
        <v>0</v>
      </c>
      <c r="G61" s="27">
        <v>0</v>
      </c>
      <c r="H61" s="27">
        <f t="shared" si="38"/>
        <v>0</v>
      </c>
      <c r="I61" s="27">
        <v>0</v>
      </c>
      <c r="J61" s="27">
        <f t="shared" si="39"/>
        <v>0</v>
      </c>
      <c r="K61" s="51">
        <f>VLOOKUP(M61,$C$300:$D$314,2,FALSE)</f>
        <v>0.98499999999999999</v>
      </c>
      <c r="L61" s="42">
        <f t="shared" si="40"/>
        <v>0</v>
      </c>
      <c r="M61" s="18" t="str">
        <f>'CFIT Schedules'!L60</f>
        <v>GROSS PLT</v>
      </c>
    </row>
    <row r="62" spans="1:13" x14ac:dyDescent="0.2">
      <c r="A62" s="144">
        <f t="shared" si="2"/>
        <v>41</v>
      </c>
      <c r="B62" s="75" t="s">
        <v>22</v>
      </c>
      <c r="C62" s="78">
        <f t="shared" ref="C62:J62" si="41">SUM(C58:C61)</f>
        <v>0</v>
      </c>
      <c r="D62" s="78">
        <f t="shared" si="41"/>
        <v>0</v>
      </c>
      <c r="E62" s="78">
        <f t="shared" si="41"/>
        <v>0</v>
      </c>
      <c r="F62" s="78">
        <f t="shared" si="41"/>
        <v>0</v>
      </c>
      <c r="G62" s="78">
        <f t="shared" ref="G62" si="42">SUM(G58:G61)</f>
        <v>0</v>
      </c>
      <c r="H62" s="78">
        <f t="shared" si="41"/>
        <v>0</v>
      </c>
      <c r="I62" s="78">
        <f t="shared" si="41"/>
        <v>0</v>
      </c>
      <c r="J62" s="78">
        <f t="shared" si="41"/>
        <v>0</v>
      </c>
      <c r="K62" s="24"/>
      <c r="L62" s="78">
        <f>SUM(L58:L61)</f>
        <v>0</v>
      </c>
    </row>
    <row r="63" spans="1:13" x14ac:dyDescent="0.2">
      <c r="A63" s="144">
        <f t="shared" si="2"/>
        <v>42</v>
      </c>
      <c r="B63" s="17" t="s">
        <v>0</v>
      </c>
      <c r="C63" s="36"/>
      <c r="D63" s="36"/>
      <c r="K63" s="81"/>
    </row>
    <row r="64" spans="1:13" x14ac:dyDescent="0.2">
      <c r="A64" s="144">
        <f t="shared" si="2"/>
        <v>43</v>
      </c>
      <c r="B64" s="75" t="s">
        <v>23</v>
      </c>
      <c r="C64" s="36"/>
      <c r="D64" s="36"/>
      <c r="K64" s="81"/>
    </row>
    <row r="65" spans="1:13" x14ac:dyDescent="0.2">
      <c r="A65" s="144">
        <f t="shared" si="2"/>
        <v>44</v>
      </c>
      <c r="B65" s="17" t="s">
        <v>24</v>
      </c>
      <c r="C65" s="36">
        <f>+'CFIT Schedules'!E64</f>
        <v>0</v>
      </c>
      <c r="D65" s="42">
        <f t="shared" ref="D65:D70" si="43">IF(C65*0.21=0,0,ROUND(C65*-0.21,0))</f>
        <v>0</v>
      </c>
      <c r="E65" s="36">
        <v>0</v>
      </c>
      <c r="F65" s="36">
        <f t="shared" ref="F65:F70" si="44">SUM(D65:E65)</f>
        <v>0</v>
      </c>
      <c r="G65" s="27">
        <f>ROUND('CFIT Schedules'!F64*-0.35,0)</f>
        <v>0</v>
      </c>
      <c r="H65" s="27">
        <f t="shared" ref="H65:H70" si="45">+F65+G65</f>
        <v>0</v>
      </c>
      <c r="I65" s="27">
        <f>ROUND('CFIT Schedules'!H64*-0.21,0)</f>
        <v>0</v>
      </c>
      <c r="J65" s="27">
        <f t="shared" ref="J65:J70" si="46">+H65+I65</f>
        <v>0</v>
      </c>
      <c r="K65" s="51">
        <f t="shared" ref="K65:K70" si="47">VLOOKUP(M65,$C$300:$D$314,2,FALSE)</f>
        <v>0.98499999999999999</v>
      </c>
      <c r="L65" s="42">
        <f t="shared" ref="L65:L70" si="48">IF(J65*K65=0,0, ROUND(J65*K65,0))</f>
        <v>0</v>
      </c>
      <c r="M65" s="18" t="str">
        <f>'CFIT Schedules'!L64</f>
        <v>GROSS PLT</v>
      </c>
    </row>
    <row r="66" spans="1:13" x14ac:dyDescent="0.2">
      <c r="A66" s="144">
        <f t="shared" si="2"/>
        <v>45</v>
      </c>
      <c r="B66" s="17" t="s">
        <v>233</v>
      </c>
      <c r="C66" s="36">
        <v>0</v>
      </c>
      <c r="D66" s="42">
        <f t="shared" si="43"/>
        <v>0</v>
      </c>
      <c r="E66" s="36">
        <v>-216912</v>
      </c>
      <c r="F66" s="36">
        <f t="shared" si="44"/>
        <v>-216912</v>
      </c>
      <c r="G66" s="27">
        <v>0</v>
      </c>
      <c r="H66" s="27">
        <f t="shared" si="45"/>
        <v>-216912</v>
      </c>
      <c r="I66" s="27">
        <v>0</v>
      </c>
      <c r="J66" s="27">
        <f t="shared" si="46"/>
        <v>-216912</v>
      </c>
      <c r="K66" s="51">
        <f t="shared" si="47"/>
        <v>0.98499999999999999</v>
      </c>
      <c r="L66" s="42">
        <f t="shared" si="48"/>
        <v>-213658</v>
      </c>
      <c r="M66" s="18" t="str">
        <f>'CFIT Schedules'!L65</f>
        <v>GROSS PLT</v>
      </c>
    </row>
    <row r="67" spans="1:13" x14ac:dyDescent="0.2">
      <c r="A67" s="144">
        <f t="shared" si="2"/>
        <v>46</v>
      </c>
      <c r="B67" s="56" t="s">
        <v>241</v>
      </c>
      <c r="C67" s="37">
        <f>+'CFIT Schedules'!E66</f>
        <v>-46238735</v>
      </c>
      <c r="D67" s="42">
        <f t="shared" si="43"/>
        <v>9710134</v>
      </c>
      <c r="E67" s="37">
        <v>0</v>
      </c>
      <c r="F67" s="37">
        <f t="shared" si="44"/>
        <v>9710134</v>
      </c>
      <c r="G67" s="27">
        <f>ROUND('CFIT Schedules'!F66*-0.35,0)</f>
        <v>0</v>
      </c>
      <c r="H67" s="27">
        <f t="shared" si="45"/>
        <v>9710134</v>
      </c>
      <c r="I67" s="27">
        <f>ROUND('CFIT Schedules'!H66*-0.21,0)</f>
        <v>0</v>
      </c>
      <c r="J67" s="37">
        <f t="shared" si="46"/>
        <v>9710134</v>
      </c>
      <c r="K67" s="51">
        <f t="shared" si="47"/>
        <v>0.98499999999999999</v>
      </c>
      <c r="L67" s="42">
        <f t="shared" si="48"/>
        <v>9564482</v>
      </c>
      <c r="M67" s="18" t="str">
        <f>'CFIT Schedules'!L66</f>
        <v>PROD PLT</v>
      </c>
    </row>
    <row r="68" spans="1:13" x14ac:dyDescent="0.2">
      <c r="A68" s="144">
        <f t="shared" si="2"/>
        <v>47</v>
      </c>
      <c r="B68" s="56" t="s">
        <v>242</v>
      </c>
      <c r="C68" s="37">
        <f>+'CFIT Schedules'!E67</f>
        <v>0</v>
      </c>
      <c r="D68" s="42">
        <f t="shared" si="43"/>
        <v>0</v>
      </c>
      <c r="E68" s="37">
        <v>0</v>
      </c>
      <c r="F68" s="37">
        <f t="shared" si="44"/>
        <v>0</v>
      </c>
      <c r="G68" s="27">
        <f>ROUND('CFIT Schedules'!F67*-0.35,0)</f>
        <v>0</v>
      </c>
      <c r="H68" s="27">
        <f t="shared" si="45"/>
        <v>0</v>
      </c>
      <c r="I68" s="27">
        <f>ROUND('CFIT Schedules'!H67*-0.21,0)</f>
        <v>0</v>
      </c>
      <c r="J68" s="37">
        <f t="shared" si="46"/>
        <v>0</v>
      </c>
      <c r="K68" s="51">
        <f t="shared" si="47"/>
        <v>0.98499999999999999</v>
      </c>
      <c r="L68" s="42">
        <f t="shared" si="48"/>
        <v>0</v>
      </c>
      <c r="M68" s="18" t="str">
        <f>'CFIT Schedules'!L67</f>
        <v>PROD PLT</v>
      </c>
    </row>
    <row r="69" spans="1:13" x14ac:dyDescent="0.2">
      <c r="A69" s="144">
        <f t="shared" si="2"/>
        <v>48</v>
      </c>
      <c r="B69" s="17" t="s">
        <v>25</v>
      </c>
      <c r="C69" s="37">
        <f>+'CFIT Schedules'!E68</f>
        <v>0</v>
      </c>
      <c r="D69" s="42">
        <f t="shared" si="43"/>
        <v>0</v>
      </c>
      <c r="E69" s="37">
        <v>0</v>
      </c>
      <c r="F69" s="37">
        <f t="shared" si="44"/>
        <v>0</v>
      </c>
      <c r="G69" s="27">
        <f>ROUND('CFIT Schedules'!F68*-0.35,0)</f>
        <v>0</v>
      </c>
      <c r="H69" s="27">
        <f t="shared" si="45"/>
        <v>0</v>
      </c>
      <c r="I69" s="27">
        <f>ROUND('CFIT Schedules'!H68*-0.21,0)</f>
        <v>0</v>
      </c>
      <c r="J69" s="37">
        <f t="shared" si="46"/>
        <v>0</v>
      </c>
      <c r="K69" s="51">
        <f t="shared" si="47"/>
        <v>0.98499999999999999</v>
      </c>
      <c r="L69" s="42">
        <f t="shared" si="48"/>
        <v>0</v>
      </c>
      <c r="M69" s="18" t="str">
        <f>'CFIT Schedules'!L68</f>
        <v>GROSS PLT</v>
      </c>
    </row>
    <row r="70" spans="1:13" x14ac:dyDescent="0.2">
      <c r="A70" s="144">
        <f t="shared" si="2"/>
        <v>49</v>
      </c>
      <c r="B70" s="17" t="s">
        <v>234</v>
      </c>
      <c r="C70" s="37">
        <v>0</v>
      </c>
      <c r="D70" s="42">
        <f t="shared" si="43"/>
        <v>0</v>
      </c>
      <c r="E70" s="37">
        <f>2611-23226</f>
        <v>-20615</v>
      </c>
      <c r="F70" s="37">
        <f t="shared" si="44"/>
        <v>-20615</v>
      </c>
      <c r="G70" s="27">
        <v>0</v>
      </c>
      <c r="H70" s="27">
        <f t="shared" si="45"/>
        <v>-20615</v>
      </c>
      <c r="I70" s="27">
        <v>0</v>
      </c>
      <c r="J70" s="37">
        <f t="shared" si="46"/>
        <v>-20615</v>
      </c>
      <c r="K70" s="51">
        <f t="shared" si="47"/>
        <v>0.98499999999999999</v>
      </c>
      <c r="L70" s="42">
        <f t="shared" si="48"/>
        <v>-20306</v>
      </c>
      <c r="M70" s="18" t="str">
        <f>'CFIT Schedules'!L69</f>
        <v>GROSS PLT</v>
      </c>
    </row>
    <row r="71" spans="1:13" x14ac:dyDescent="0.2">
      <c r="A71" s="144">
        <f t="shared" si="2"/>
        <v>50</v>
      </c>
      <c r="B71" s="75" t="s">
        <v>26</v>
      </c>
      <c r="C71" s="78">
        <f t="shared" ref="C71:J71" si="49">SUM(C65:C70)</f>
        <v>-46238735</v>
      </c>
      <c r="D71" s="78">
        <f t="shared" si="49"/>
        <v>9710134</v>
      </c>
      <c r="E71" s="78">
        <f t="shared" si="49"/>
        <v>-237527</v>
      </c>
      <c r="F71" s="78">
        <f t="shared" si="49"/>
        <v>9472607</v>
      </c>
      <c r="G71" s="78">
        <f t="shared" ref="G71" si="50">SUM(G65:G70)</f>
        <v>0</v>
      </c>
      <c r="H71" s="78">
        <f t="shared" si="49"/>
        <v>9472607</v>
      </c>
      <c r="I71" s="78">
        <f t="shared" si="49"/>
        <v>0</v>
      </c>
      <c r="J71" s="78">
        <f t="shared" si="49"/>
        <v>9472607</v>
      </c>
      <c r="K71" s="24"/>
      <c r="L71" s="78">
        <f>SUM(L65:L70)</f>
        <v>9330518</v>
      </c>
    </row>
    <row r="72" spans="1:13" x14ac:dyDescent="0.2">
      <c r="A72" s="144">
        <f t="shared" si="2"/>
        <v>51</v>
      </c>
      <c r="B72" s="17" t="s">
        <v>0</v>
      </c>
      <c r="C72" s="36"/>
      <c r="D72" s="36"/>
      <c r="K72" s="81"/>
    </row>
    <row r="73" spans="1:13" x14ac:dyDescent="0.2">
      <c r="A73" s="144">
        <f t="shared" si="2"/>
        <v>52</v>
      </c>
      <c r="B73" s="75" t="s">
        <v>27</v>
      </c>
      <c r="C73" s="36"/>
      <c r="D73" s="36"/>
      <c r="K73" s="81"/>
    </row>
    <row r="74" spans="1:13" x14ac:dyDescent="0.2">
      <c r="A74" s="144">
        <f t="shared" si="2"/>
        <v>53</v>
      </c>
      <c r="B74" s="17" t="s">
        <v>28</v>
      </c>
      <c r="C74" s="36">
        <f>+'CFIT Schedules'!E73</f>
        <v>-6863000</v>
      </c>
      <c r="D74" s="42">
        <v>0</v>
      </c>
      <c r="E74" s="36">
        <v>0</v>
      </c>
      <c r="F74" s="36">
        <f>SUM(D74:E74)</f>
        <v>0</v>
      </c>
      <c r="G74" s="27">
        <v>0</v>
      </c>
      <c r="H74" s="27">
        <f>+F74+G74</f>
        <v>0</v>
      </c>
      <c r="I74" s="27">
        <v>0</v>
      </c>
      <c r="J74" s="27">
        <f>+H74+I74</f>
        <v>0</v>
      </c>
      <c r="K74" s="51">
        <f>VLOOKUP(M74,$C$300:$D$314,2,FALSE)</f>
        <v>0.98499999999999999</v>
      </c>
      <c r="L74" s="42">
        <f>IF(J74*K74=0,0, ROUND(J74*K74,0))</f>
        <v>0</v>
      </c>
      <c r="M74" s="18" t="str">
        <f>'CFIT Schedules'!L73</f>
        <v>GROSS PLT</v>
      </c>
    </row>
    <row r="75" spans="1:13" x14ac:dyDescent="0.2">
      <c r="A75" s="144">
        <f t="shared" si="2"/>
        <v>54</v>
      </c>
      <c r="B75" s="17" t="s">
        <v>321</v>
      </c>
      <c r="C75" s="36">
        <f>+'CFIT Schedules'!E74</f>
        <v>-4470000</v>
      </c>
      <c r="D75" s="42">
        <f>IF(C75*0.21=0,0,ROUND(C75*-0.21,0))</f>
        <v>938700</v>
      </c>
      <c r="E75" s="36">
        <v>0</v>
      </c>
      <c r="F75" s="36">
        <f>SUM(D75:E75)</f>
        <v>938700</v>
      </c>
      <c r="G75" s="27">
        <v>0</v>
      </c>
      <c r="H75" s="27">
        <f>+F75+G75</f>
        <v>938700</v>
      </c>
      <c r="I75" s="27">
        <v>0</v>
      </c>
      <c r="J75" s="27">
        <f>+H75+I75</f>
        <v>938700</v>
      </c>
      <c r="K75" s="51">
        <f>VLOOKUP(M75,$C$300:$D$314,2,FALSE)</f>
        <v>0.98499999999999999</v>
      </c>
      <c r="L75" s="42">
        <f>IF(J75*K75=0,0, ROUND(J75*K75,0))</f>
        <v>924620</v>
      </c>
      <c r="M75" s="18" t="str">
        <f>'CFIT Schedules'!L74</f>
        <v>GROSS PLT</v>
      </c>
    </row>
    <row r="76" spans="1:13" x14ac:dyDescent="0.2">
      <c r="A76" s="144">
        <f t="shared" si="2"/>
        <v>55</v>
      </c>
      <c r="B76" s="75" t="s">
        <v>29</v>
      </c>
      <c r="C76" s="78">
        <f t="shared" ref="C76:J76" si="51">SUM(C74:C75)</f>
        <v>-11333000</v>
      </c>
      <c r="D76" s="78">
        <f t="shared" si="51"/>
        <v>938700</v>
      </c>
      <c r="E76" s="78">
        <f t="shared" si="51"/>
        <v>0</v>
      </c>
      <c r="F76" s="78">
        <f t="shared" si="51"/>
        <v>938700</v>
      </c>
      <c r="G76" s="78">
        <f t="shared" si="51"/>
        <v>0</v>
      </c>
      <c r="H76" s="78">
        <f t="shared" si="51"/>
        <v>938700</v>
      </c>
      <c r="I76" s="78">
        <f t="shared" si="51"/>
        <v>0</v>
      </c>
      <c r="J76" s="78">
        <f t="shared" si="51"/>
        <v>938700</v>
      </c>
      <c r="K76" s="24"/>
      <c r="L76" s="78">
        <f>SUM(L74:L75)</f>
        <v>924620</v>
      </c>
    </row>
    <row r="77" spans="1:13" x14ac:dyDescent="0.2">
      <c r="A77" s="144">
        <f t="shared" si="2"/>
        <v>56</v>
      </c>
      <c r="B77" s="17" t="s">
        <v>0</v>
      </c>
      <c r="C77" s="36"/>
      <c r="D77" s="36"/>
      <c r="K77" s="81"/>
    </row>
    <row r="78" spans="1:13" x14ac:dyDescent="0.2">
      <c r="A78" s="144">
        <f t="shared" si="2"/>
        <v>57</v>
      </c>
      <c r="B78" s="75" t="s">
        <v>30</v>
      </c>
      <c r="C78" s="36"/>
      <c r="D78" s="36"/>
      <c r="K78" s="81"/>
    </row>
    <row r="79" spans="1:13" x14ac:dyDescent="0.2">
      <c r="A79" s="144">
        <f t="shared" si="2"/>
        <v>58</v>
      </c>
      <c r="B79" s="17" t="s">
        <v>31</v>
      </c>
      <c r="C79" s="37">
        <f>+'CFIT Schedules'!E78</f>
        <v>7610222</v>
      </c>
      <c r="D79" s="42">
        <f>IF(C79*0.21=0,0,ROUND(C79*-0.21,0))</f>
        <v>-1598147</v>
      </c>
      <c r="E79" s="37">
        <v>0</v>
      </c>
      <c r="F79" s="37">
        <f>SUM(D79:E79)</f>
        <v>-1598147</v>
      </c>
      <c r="G79" s="27">
        <f>ROUND('CFIT Schedules'!F78*-0.35,0)</f>
        <v>0</v>
      </c>
      <c r="H79" s="27">
        <f>+F79+G79</f>
        <v>-1598147</v>
      </c>
      <c r="I79" s="27">
        <f>ROUND('CFIT Schedules'!H78*-0.21,0)</f>
        <v>0</v>
      </c>
      <c r="J79" s="37">
        <f>+H79+I79</f>
        <v>-1598147</v>
      </c>
      <c r="K79" s="51">
        <f>VLOOKUP(M79,$C$300:$D$314,2,FALSE)</f>
        <v>0.98499999999999999</v>
      </c>
      <c r="L79" s="42">
        <f>IF(J79*K79=0,0, ROUND(J79*K79,0))</f>
        <v>-1574175</v>
      </c>
      <c r="M79" s="18" t="str">
        <f>'CFIT Schedules'!L78</f>
        <v>PROD PLT</v>
      </c>
    </row>
    <row r="80" spans="1:13" x14ac:dyDescent="0.2">
      <c r="A80" s="144">
        <f t="shared" si="2"/>
        <v>59</v>
      </c>
      <c r="B80" s="75" t="s">
        <v>32</v>
      </c>
      <c r="C80" s="78">
        <f>+C79</f>
        <v>7610222</v>
      </c>
      <c r="D80" s="78">
        <f>+D79</f>
        <v>-1598147</v>
      </c>
      <c r="E80" s="78">
        <f t="shared" ref="E80:L80" si="52">+E79</f>
        <v>0</v>
      </c>
      <c r="F80" s="78">
        <f t="shared" si="52"/>
        <v>-1598147</v>
      </c>
      <c r="G80" s="78">
        <f t="shared" ref="G80" si="53">+G79</f>
        <v>0</v>
      </c>
      <c r="H80" s="78">
        <f t="shared" si="52"/>
        <v>-1598147</v>
      </c>
      <c r="I80" s="78">
        <f t="shared" si="52"/>
        <v>0</v>
      </c>
      <c r="J80" s="78">
        <f t="shared" si="52"/>
        <v>-1598147</v>
      </c>
      <c r="K80" s="24"/>
      <c r="L80" s="78">
        <f t="shared" si="52"/>
        <v>-1574175</v>
      </c>
    </row>
    <row r="81" spans="1:13" x14ac:dyDescent="0.2">
      <c r="A81" s="144">
        <f t="shared" si="2"/>
        <v>60</v>
      </c>
      <c r="B81" s="17" t="s">
        <v>0</v>
      </c>
      <c r="C81" s="36"/>
      <c r="D81" s="36"/>
      <c r="K81" s="81"/>
    </row>
    <row r="82" spans="1:13" x14ac:dyDescent="0.2">
      <c r="A82" s="144">
        <f t="shared" si="2"/>
        <v>61</v>
      </c>
      <c r="B82" s="75" t="s">
        <v>33</v>
      </c>
      <c r="C82" s="36"/>
      <c r="D82" s="36"/>
      <c r="K82" s="81"/>
    </row>
    <row r="83" spans="1:13" x14ac:dyDescent="0.2">
      <c r="A83" s="144">
        <f t="shared" si="2"/>
        <v>62</v>
      </c>
      <c r="B83" s="17" t="s">
        <v>354</v>
      </c>
      <c r="C83" s="36">
        <f>+'CFIT Schedules'!E82</f>
        <v>0</v>
      </c>
      <c r="D83" s="42">
        <f>IF(C83*0.21=0,0,ROUND(C83*-0.21,0))</f>
        <v>0</v>
      </c>
      <c r="E83" s="36">
        <v>0</v>
      </c>
      <c r="F83" s="36">
        <f>SUM(D83:E83)</f>
        <v>0</v>
      </c>
      <c r="G83" s="27">
        <f>ROUND('CFIT Schedules'!F82*-0.35,0)</f>
        <v>0</v>
      </c>
      <c r="H83" s="27">
        <f>+F83+G83</f>
        <v>0</v>
      </c>
      <c r="I83" s="27">
        <f>ROUND('CFIT Schedules'!H82*-0.21,0)</f>
        <v>0</v>
      </c>
      <c r="J83" s="27">
        <f>+H83+I83</f>
        <v>0</v>
      </c>
      <c r="K83" s="51">
        <f>VLOOKUP(M83,$C$300:$D$314,2,FALSE)</f>
        <v>0.98499999999999999</v>
      </c>
      <c r="L83" s="42">
        <f>IF(J83*K83=0,0, ROUND(J83*K83,0))</f>
        <v>0</v>
      </c>
      <c r="M83" s="18" t="str">
        <f>'CFIT Schedules'!L82</f>
        <v>NET PLANT</v>
      </c>
    </row>
    <row r="84" spans="1:13" x14ac:dyDescent="0.2">
      <c r="A84" s="144">
        <f t="shared" si="2"/>
        <v>63</v>
      </c>
      <c r="B84" s="75" t="s">
        <v>34</v>
      </c>
      <c r="C84" s="78">
        <f t="shared" ref="C84:J84" si="54">SUM(C83:C83)</f>
        <v>0</v>
      </c>
      <c r="D84" s="78">
        <f t="shared" si="54"/>
        <v>0</v>
      </c>
      <c r="E84" s="78">
        <f t="shared" si="54"/>
        <v>0</v>
      </c>
      <c r="F84" s="78">
        <f t="shared" si="54"/>
        <v>0</v>
      </c>
      <c r="G84" s="78">
        <f t="shared" ref="G84" si="55">SUM(G83:G83)</f>
        <v>0</v>
      </c>
      <c r="H84" s="78">
        <f t="shared" si="54"/>
        <v>0</v>
      </c>
      <c r="I84" s="78">
        <f t="shared" si="54"/>
        <v>0</v>
      </c>
      <c r="J84" s="78">
        <f t="shared" si="54"/>
        <v>0</v>
      </c>
      <c r="K84" s="24"/>
      <c r="L84" s="99">
        <f>SUM(L83:L83)</f>
        <v>0</v>
      </c>
    </row>
    <row r="85" spans="1:13" x14ac:dyDescent="0.2">
      <c r="A85" s="144">
        <f t="shared" si="2"/>
        <v>64</v>
      </c>
      <c r="B85" s="17" t="s">
        <v>0</v>
      </c>
      <c r="C85" s="36"/>
      <c r="D85" s="36"/>
      <c r="K85" s="81"/>
    </row>
    <row r="86" spans="1:13" x14ac:dyDescent="0.2">
      <c r="A86" s="144">
        <f t="shared" si="2"/>
        <v>65</v>
      </c>
      <c r="B86" s="75" t="s">
        <v>35</v>
      </c>
      <c r="C86" s="36"/>
      <c r="D86" s="36"/>
      <c r="K86" s="81"/>
    </row>
    <row r="87" spans="1:13" x14ac:dyDescent="0.2">
      <c r="A87" s="144">
        <f t="shared" si="2"/>
        <v>66</v>
      </c>
      <c r="B87" s="17" t="s">
        <v>36</v>
      </c>
      <c r="C87" s="36">
        <f>+'CFIT Schedules'!E86</f>
        <v>-2913</v>
      </c>
      <c r="D87" s="42">
        <f>IF(C87*0.21=0,0,ROUND(C87*-0.21,0))</f>
        <v>612</v>
      </c>
      <c r="E87" s="36">
        <v>0</v>
      </c>
      <c r="F87" s="36">
        <f>SUM(D87:E87)</f>
        <v>612</v>
      </c>
      <c r="G87" s="27">
        <f>ROUND('CFIT Schedules'!F86*-0.35,0)</f>
        <v>0</v>
      </c>
      <c r="H87" s="27">
        <f>+F87+G87</f>
        <v>612</v>
      </c>
      <c r="I87" s="27">
        <f>ROUND('CFIT Schedules'!H86*-0.21,0)</f>
        <v>0</v>
      </c>
      <c r="J87" s="27">
        <f>+H87+I87</f>
        <v>612</v>
      </c>
      <c r="K87" s="51">
        <f>VLOOKUP(M87,$C$300:$D$314,2,FALSE)</f>
        <v>1</v>
      </c>
      <c r="L87" s="42">
        <f>IF(J87*K87=0,0, ROUND(J87*K87,0))</f>
        <v>612</v>
      </c>
      <c r="M87" s="18" t="str">
        <f>'CFIT Schedules'!L86</f>
        <v>SPECIFIC</v>
      </c>
    </row>
    <row r="88" spans="1:13" x14ac:dyDescent="0.2">
      <c r="A88" s="144">
        <f t="shared" si="2"/>
        <v>67</v>
      </c>
      <c r="B88" s="121" t="s">
        <v>365</v>
      </c>
      <c r="C88" s="36">
        <f>'CFIT Schedules'!E87</f>
        <v>-143638</v>
      </c>
      <c r="D88" s="42">
        <f t="shared" ref="D88:D89" si="56">IF(C88*0.21=0,0,ROUND(C88*-0.21,0))</f>
        <v>30164</v>
      </c>
      <c r="E88" s="36">
        <v>0</v>
      </c>
      <c r="F88" s="36">
        <f t="shared" ref="F88:F89" si="57">SUM(D88:E88)</f>
        <v>30164</v>
      </c>
      <c r="G88" s="27">
        <f>ROUND('CFIT Schedules'!F87*-0.35,0)</f>
        <v>0</v>
      </c>
      <c r="H88" s="27">
        <f t="shared" ref="H88:H89" si="58">+F88+G88</f>
        <v>30164</v>
      </c>
      <c r="I88" s="27">
        <f>ROUND('CFIT Schedules'!H87*-0.21,0)</f>
        <v>0</v>
      </c>
      <c r="J88" s="27">
        <f t="shared" ref="J88:J89" si="59">+H88+I88</f>
        <v>30164</v>
      </c>
      <c r="K88" s="51">
        <f>VLOOKUP(M88,$C$300:$D$314,2,FALSE)</f>
        <v>1</v>
      </c>
      <c r="L88" s="42">
        <f t="shared" ref="L88:L89" si="60">IF(J88*K88=0,0, ROUND(J88*K88,0))</f>
        <v>30164</v>
      </c>
      <c r="M88" s="138" t="str">
        <f>'CFIT Schedules'!L87</f>
        <v>SPECIFIC</v>
      </c>
    </row>
    <row r="89" spans="1:13" x14ac:dyDescent="0.2">
      <c r="A89" s="144">
        <f t="shared" si="2"/>
        <v>68</v>
      </c>
      <c r="B89" s="121" t="s">
        <v>366</v>
      </c>
      <c r="C89" s="36">
        <f>'CFIT Schedules'!E88</f>
        <v>-52355</v>
      </c>
      <c r="D89" s="42">
        <f t="shared" si="56"/>
        <v>10995</v>
      </c>
      <c r="E89" s="36">
        <v>0</v>
      </c>
      <c r="F89" s="36">
        <f t="shared" si="57"/>
        <v>10995</v>
      </c>
      <c r="G89" s="27">
        <f>ROUND('CFIT Schedules'!F88*-0.35,0)</f>
        <v>0</v>
      </c>
      <c r="H89" s="27">
        <f t="shared" si="58"/>
        <v>10995</v>
      </c>
      <c r="I89" s="27">
        <f>ROUND('CFIT Schedules'!H88*-0.21,0)</f>
        <v>0</v>
      </c>
      <c r="J89" s="27">
        <f t="shared" si="59"/>
        <v>10995</v>
      </c>
      <c r="K89" s="51">
        <f>VLOOKUP(M89,$C$300:$D$314,2,FALSE)</f>
        <v>1</v>
      </c>
      <c r="L89" s="42">
        <f t="shared" si="60"/>
        <v>10995</v>
      </c>
      <c r="M89" s="138" t="str">
        <f>'CFIT Schedules'!L88</f>
        <v>SPECIFIC</v>
      </c>
    </row>
    <row r="90" spans="1:13" x14ac:dyDescent="0.2">
      <c r="A90" s="144">
        <f t="shared" si="2"/>
        <v>69</v>
      </c>
      <c r="B90" s="75" t="s">
        <v>37</v>
      </c>
      <c r="C90" s="78">
        <f>SUM(C87:C89)</f>
        <v>-198906</v>
      </c>
      <c r="D90" s="78">
        <f>SUM(D87:D89)</f>
        <v>41771</v>
      </c>
      <c r="E90" s="78">
        <f>SUM(E87:E89)</f>
        <v>0</v>
      </c>
      <c r="F90" s="78">
        <f t="shared" ref="F90:J90" si="61">SUM(F87:F89)</f>
        <v>41771</v>
      </c>
      <c r="G90" s="78">
        <f t="shared" si="61"/>
        <v>0</v>
      </c>
      <c r="H90" s="78">
        <f t="shared" si="61"/>
        <v>41771</v>
      </c>
      <c r="I90" s="78">
        <f t="shared" si="61"/>
        <v>0</v>
      </c>
      <c r="J90" s="78">
        <f t="shared" si="61"/>
        <v>41771</v>
      </c>
      <c r="K90" s="24"/>
      <c r="L90" s="78">
        <f>SUM(L87:L89)</f>
        <v>41771</v>
      </c>
    </row>
    <row r="91" spans="1:13" x14ac:dyDescent="0.2">
      <c r="A91" s="144">
        <f t="shared" si="2"/>
        <v>70</v>
      </c>
      <c r="B91" s="17" t="s">
        <v>0</v>
      </c>
      <c r="C91" s="36"/>
      <c r="D91" s="36"/>
      <c r="K91" s="81"/>
    </row>
    <row r="92" spans="1:13" x14ac:dyDescent="0.2">
      <c r="A92" s="144">
        <f t="shared" si="2"/>
        <v>71</v>
      </c>
      <c r="B92" s="75" t="s">
        <v>38</v>
      </c>
      <c r="C92" s="36"/>
      <c r="D92" s="36"/>
      <c r="K92" s="81"/>
    </row>
    <row r="93" spans="1:13" x14ac:dyDescent="0.2">
      <c r="A93" s="144">
        <f t="shared" si="2"/>
        <v>72</v>
      </c>
      <c r="B93" s="17" t="s">
        <v>323</v>
      </c>
      <c r="C93" s="36">
        <f>+'CFIT Schedules'!E92</f>
        <v>2379150</v>
      </c>
      <c r="D93" s="42">
        <f>IF(C93*0.21=0,0,ROUND(C93*-0.21,0))</f>
        <v>-499622</v>
      </c>
      <c r="E93" s="36">
        <v>0</v>
      </c>
      <c r="F93" s="36">
        <f t="shared" ref="F93:F94" si="62">SUM(D93:E93)</f>
        <v>-499622</v>
      </c>
      <c r="G93" s="27">
        <f>ROUND('CFIT Schedules'!F92*-0.35,0)</f>
        <v>0</v>
      </c>
      <c r="H93" s="27">
        <f t="shared" ref="H93:H94" si="63">+F93+G93</f>
        <v>-499622</v>
      </c>
      <c r="I93" s="27">
        <f>ROUND('CFIT Schedules'!H92*-0.21,0)</f>
        <v>0</v>
      </c>
      <c r="J93" s="27">
        <f t="shared" ref="J93:J94" si="64">+H93+I93</f>
        <v>-499622</v>
      </c>
      <c r="K93" s="51">
        <f>VLOOKUP(M93,$C$300:$D$314,2,FALSE)</f>
        <v>1</v>
      </c>
      <c r="L93" s="42">
        <f t="shared" ref="L93:L94" si="65">IF(J93*K93=0,0, ROUND(J93*K93,0))</f>
        <v>-499622</v>
      </c>
      <c r="M93" s="18" t="str">
        <f>'CFIT Schedules'!L92</f>
        <v>SPECIFIC</v>
      </c>
    </row>
    <row r="94" spans="1:13" x14ac:dyDescent="0.2">
      <c r="A94" s="144">
        <f t="shared" si="2"/>
        <v>73</v>
      </c>
      <c r="B94" s="17" t="s">
        <v>324</v>
      </c>
      <c r="C94" s="36">
        <f>+'CFIT Schedules'!E93</f>
        <v>0</v>
      </c>
      <c r="D94" s="42">
        <f>IF(C94*0.21=0,0,ROUND(C94*-0.21,0))</f>
        <v>0</v>
      </c>
      <c r="E94" s="36">
        <v>0</v>
      </c>
      <c r="F94" s="36">
        <f t="shared" si="62"/>
        <v>0</v>
      </c>
      <c r="G94" s="27">
        <f>ROUND('CFIT Schedules'!F93*-0.35,0)</f>
        <v>0</v>
      </c>
      <c r="H94" s="27">
        <f t="shared" si="63"/>
        <v>0</v>
      </c>
      <c r="I94" s="27">
        <f>ROUND('CFIT Schedules'!H93*-0.21,0)</f>
        <v>0</v>
      </c>
      <c r="J94" s="27">
        <f t="shared" si="64"/>
        <v>0</v>
      </c>
      <c r="K94" s="51">
        <f>VLOOKUP(M94,$C$300:$D$314,2,FALSE)</f>
        <v>1</v>
      </c>
      <c r="L94" s="42">
        <f t="shared" si="65"/>
        <v>0</v>
      </c>
      <c r="M94" s="18" t="str">
        <f>'CFIT Schedules'!L93</f>
        <v>SPECIFIC</v>
      </c>
    </row>
    <row r="95" spans="1:13" x14ac:dyDescent="0.2">
      <c r="A95" s="144">
        <f t="shared" si="2"/>
        <v>74</v>
      </c>
      <c r="B95" s="75" t="s">
        <v>39</v>
      </c>
      <c r="C95" s="78">
        <f t="shared" ref="C95:J95" si="66">SUM(C93:C94)</f>
        <v>2379150</v>
      </c>
      <c r="D95" s="78">
        <f t="shared" si="66"/>
        <v>-499622</v>
      </c>
      <c r="E95" s="78">
        <f t="shared" si="66"/>
        <v>0</v>
      </c>
      <c r="F95" s="78">
        <f t="shared" si="66"/>
        <v>-499622</v>
      </c>
      <c r="G95" s="78">
        <f t="shared" si="66"/>
        <v>0</v>
      </c>
      <c r="H95" s="78">
        <f t="shared" si="66"/>
        <v>-499622</v>
      </c>
      <c r="I95" s="78">
        <f t="shared" si="66"/>
        <v>0</v>
      </c>
      <c r="J95" s="78">
        <f t="shared" si="66"/>
        <v>-499622</v>
      </c>
      <c r="K95" s="24"/>
      <c r="L95" s="99">
        <f>SUM(L93:L94)</f>
        <v>-499622</v>
      </c>
    </row>
    <row r="96" spans="1:13" x14ac:dyDescent="0.2">
      <c r="A96" s="144">
        <f t="shared" ref="A96:A159" si="67">A95+1</f>
        <v>75</v>
      </c>
      <c r="B96" s="17" t="s">
        <v>0</v>
      </c>
      <c r="C96" s="36"/>
      <c r="D96" s="36"/>
      <c r="K96" s="81"/>
    </row>
    <row r="97" spans="1:13" x14ac:dyDescent="0.2">
      <c r="A97" s="144">
        <f t="shared" si="67"/>
        <v>76</v>
      </c>
      <c r="B97" s="75" t="s">
        <v>40</v>
      </c>
      <c r="C97" s="36"/>
      <c r="D97" s="36"/>
      <c r="K97" s="81"/>
    </row>
    <row r="98" spans="1:13" x14ac:dyDescent="0.2">
      <c r="A98" s="144">
        <f t="shared" si="67"/>
        <v>77</v>
      </c>
      <c r="B98" s="17" t="s">
        <v>41</v>
      </c>
      <c r="C98" s="37">
        <f>+'CFIT Schedules'!E97</f>
        <v>0</v>
      </c>
      <c r="D98" s="42">
        <f>IF(C98*0.21=0,0,ROUND(C98*-0.21,0))</f>
        <v>0</v>
      </c>
      <c r="E98" s="37">
        <v>0</v>
      </c>
      <c r="F98" s="37">
        <f>SUM(D98:E98)</f>
        <v>0</v>
      </c>
      <c r="G98" s="36">
        <v>0</v>
      </c>
      <c r="H98" s="27">
        <f>+F98+G98</f>
        <v>0</v>
      </c>
      <c r="I98" s="36">
        <v>0</v>
      </c>
      <c r="J98" s="37">
        <f>+H98+I98</f>
        <v>0</v>
      </c>
      <c r="K98" s="51">
        <f>VLOOKUP(M98,$C$300:$D$314,2,FALSE)</f>
        <v>0</v>
      </c>
      <c r="L98" s="42">
        <f>IF(J98*K98=0,0, ROUND(J98*K98,0))</f>
        <v>0</v>
      </c>
      <c r="M98" s="18" t="str">
        <f>'CFIT Schedules'!L97</f>
        <v>NON-UTILITY</v>
      </c>
    </row>
    <row r="99" spans="1:13" x14ac:dyDescent="0.2">
      <c r="A99" s="144">
        <f t="shared" si="67"/>
        <v>78</v>
      </c>
      <c r="B99" s="75" t="s">
        <v>42</v>
      </c>
      <c r="C99" s="78">
        <f>+C98</f>
        <v>0</v>
      </c>
      <c r="D99" s="99">
        <f>SUM(D98:D98)</f>
        <v>0</v>
      </c>
      <c r="E99" s="78">
        <f t="shared" ref="E99:J99" si="68">+E98</f>
        <v>0</v>
      </c>
      <c r="F99" s="78">
        <f t="shared" si="68"/>
        <v>0</v>
      </c>
      <c r="G99" s="78">
        <f t="shared" ref="G99" si="69">+G98</f>
        <v>0</v>
      </c>
      <c r="H99" s="78">
        <f t="shared" si="68"/>
        <v>0</v>
      </c>
      <c r="I99" s="78">
        <f t="shared" si="68"/>
        <v>0</v>
      </c>
      <c r="J99" s="78">
        <f t="shared" si="68"/>
        <v>0</v>
      </c>
      <c r="K99" s="24"/>
      <c r="L99" s="99">
        <f>SUM(L98)</f>
        <v>0</v>
      </c>
    </row>
    <row r="100" spans="1:13" x14ac:dyDescent="0.2">
      <c r="A100" s="144">
        <f t="shared" si="67"/>
        <v>79</v>
      </c>
      <c r="B100" s="17" t="s">
        <v>0</v>
      </c>
      <c r="C100" s="36"/>
      <c r="D100" s="36"/>
      <c r="K100" s="81"/>
    </row>
    <row r="101" spans="1:13" x14ac:dyDescent="0.2">
      <c r="A101" s="144">
        <f t="shared" si="67"/>
        <v>80</v>
      </c>
      <c r="B101" s="75" t="s">
        <v>43</v>
      </c>
      <c r="C101" s="36"/>
      <c r="D101" s="36"/>
      <c r="K101" s="81"/>
    </row>
    <row r="102" spans="1:13" x14ac:dyDescent="0.2">
      <c r="A102" s="144">
        <f t="shared" si="67"/>
        <v>81</v>
      </c>
      <c r="B102" s="17" t="s">
        <v>44</v>
      </c>
      <c r="C102" s="36">
        <f>+'CFIT Schedules'!E101</f>
        <v>-400367.05</v>
      </c>
      <c r="D102" s="42">
        <f t="shared" ref="D102:D125" si="70">IF(C102*0.21=0,0,ROUND(C102*-0.21,0))</f>
        <v>84077</v>
      </c>
      <c r="E102" s="36">
        <v>0</v>
      </c>
      <c r="F102" s="36">
        <f t="shared" ref="F102:F122" si="71">SUM(D102:E102)</f>
        <v>84077</v>
      </c>
      <c r="G102" s="27">
        <f>ROUND('CFIT Schedules'!F101*-0.35,0)</f>
        <v>0</v>
      </c>
      <c r="H102" s="27">
        <f t="shared" ref="H102:H125" si="72">+F102+G102</f>
        <v>84077</v>
      </c>
      <c r="I102" s="27">
        <f>ROUND('CFIT Schedules'!H101*-0.21,0)</f>
        <v>0</v>
      </c>
      <c r="J102" s="27">
        <f t="shared" ref="J102:J124" si="73">+H102+I102</f>
        <v>84077</v>
      </c>
      <c r="K102" s="51">
        <f t="shared" ref="K102:K125" si="74">VLOOKUP(M102,$C$300:$D$314,2,FALSE)</f>
        <v>0.99</v>
      </c>
      <c r="L102" s="42">
        <f t="shared" ref="L102:L125" si="75">IF(J102*K102=0,0, ROUND(J102*K102,0))</f>
        <v>83236</v>
      </c>
      <c r="M102" s="18" t="str">
        <f>'CFIT Schedules'!L101</f>
        <v>LABOR</v>
      </c>
    </row>
    <row r="103" spans="1:13" x14ac:dyDescent="0.2">
      <c r="A103" s="144">
        <f t="shared" si="67"/>
        <v>82</v>
      </c>
      <c r="B103" s="17" t="s">
        <v>45</v>
      </c>
      <c r="C103" s="36">
        <f>+'CFIT Schedules'!E102</f>
        <v>806005.24</v>
      </c>
      <c r="D103" s="42">
        <f t="shared" si="70"/>
        <v>-169261</v>
      </c>
      <c r="E103" s="36">
        <v>0</v>
      </c>
      <c r="F103" s="36">
        <f t="shared" si="71"/>
        <v>-169261</v>
      </c>
      <c r="G103" s="27">
        <f>ROUND('CFIT Schedules'!F102*-0.35,0)</f>
        <v>0</v>
      </c>
      <c r="H103" s="27">
        <f t="shared" si="72"/>
        <v>-169261</v>
      </c>
      <c r="I103" s="27">
        <f>ROUND('CFIT Schedules'!H102*-0.21,0)</f>
        <v>0</v>
      </c>
      <c r="J103" s="27">
        <f t="shared" si="73"/>
        <v>-169261</v>
      </c>
      <c r="K103" s="51">
        <f t="shared" si="74"/>
        <v>0.99</v>
      </c>
      <c r="L103" s="42">
        <f t="shared" si="75"/>
        <v>-167568</v>
      </c>
      <c r="M103" s="18" t="str">
        <f>'CFIT Schedules'!L102</f>
        <v>LABOR</v>
      </c>
    </row>
    <row r="104" spans="1:13" x14ac:dyDescent="0.2">
      <c r="A104" s="144">
        <f t="shared" si="67"/>
        <v>83</v>
      </c>
      <c r="B104" s="56" t="s">
        <v>243</v>
      </c>
      <c r="C104" s="36">
        <f>+'CFIT Schedules'!E103</f>
        <v>846893</v>
      </c>
      <c r="D104" s="42">
        <f t="shared" si="70"/>
        <v>-177848</v>
      </c>
      <c r="E104" s="36">
        <v>0</v>
      </c>
      <c r="F104" s="36">
        <f>SUM(D104:E104)</f>
        <v>-177848</v>
      </c>
      <c r="G104" s="27">
        <f>ROUND('CFIT Schedules'!F103*-0.35,0)</f>
        <v>0</v>
      </c>
      <c r="H104" s="27">
        <f t="shared" si="72"/>
        <v>-177848</v>
      </c>
      <c r="I104" s="27">
        <f>ROUND('CFIT Schedules'!H103*-0.21,0)</f>
        <v>0</v>
      </c>
      <c r="J104" s="27">
        <f>+H104+I104</f>
        <v>-177848</v>
      </c>
      <c r="K104" s="51">
        <f t="shared" si="74"/>
        <v>0.99</v>
      </c>
      <c r="L104" s="42">
        <f>IF(J104*K104=0,0, ROUND(J104*K104,0))</f>
        <v>-176070</v>
      </c>
      <c r="M104" s="18" t="str">
        <f>'CFIT Schedules'!L103</f>
        <v>LABOR</v>
      </c>
    </row>
    <row r="105" spans="1:13" x14ac:dyDescent="0.2">
      <c r="A105" s="144">
        <f t="shared" si="67"/>
        <v>84</v>
      </c>
      <c r="B105" s="17" t="s">
        <v>46</v>
      </c>
      <c r="C105" s="36">
        <f>+'CFIT Schedules'!E104</f>
        <v>5178.97</v>
      </c>
      <c r="D105" s="42">
        <f t="shared" si="70"/>
        <v>-1088</v>
      </c>
      <c r="E105" s="36">
        <v>0</v>
      </c>
      <c r="F105" s="36">
        <f t="shared" si="71"/>
        <v>-1088</v>
      </c>
      <c r="G105" s="27">
        <f>ROUND('CFIT Schedules'!F104*-0.35,0)</f>
        <v>0</v>
      </c>
      <c r="H105" s="27">
        <f t="shared" si="72"/>
        <v>-1088</v>
      </c>
      <c r="I105" s="27">
        <f>ROUND('CFIT Schedules'!H104*-0.21,0)</f>
        <v>0</v>
      </c>
      <c r="J105" s="27">
        <f t="shared" si="73"/>
        <v>-1088</v>
      </c>
      <c r="K105" s="51">
        <f t="shared" si="74"/>
        <v>0.99</v>
      </c>
      <c r="L105" s="42">
        <f t="shared" si="75"/>
        <v>-1077</v>
      </c>
      <c r="M105" s="18" t="str">
        <f>'CFIT Schedules'!L104</f>
        <v>LABOR</v>
      </c>
    </row>
    <row r="106" spans="1:13" x14ac:dyDescent="0.2">
      <c r="A106" s="144">
        <f t="shared" si="67"/>
        <v>85</v>
      </c>
      <c r="B106" s="56" t="s">
        <v>244</v>
      </c>
      <c r="C106" s="36">
        <f>+'CFIT Schedules'!E105</f>
        <v>-78</v>
      </c>
      <c r="D106" s="42">
        <f t="shared" si="70"/>
        <v>16</v>
      </c>
      <c r="E106" s="36">
        <v>0</v>
      </c>
      <c r="F106" s="36">
        <f>SUM(D106:E106)</f>
        <v>16</v>
      </c>
      <c r="G106" s="27">
        <f>ROUND('CFIT Schedules'!F105*-0.35,0)</f>
        <v>0</v>
      </c>
      <c r="H106" s="27">
        <f t="shared" si="72"/>
        <v>16</v>
      </c>
      <c r="I106" s="27">
        <f>ROUND('CFIT Schedules'!H105*-0.21,0)</f>
        <v>0</v>
      </c>
      <c r="J106" s="27">
        <f>+H106+I106</f>
        <v>16</v>
      </c>
      <c r="K106" s="51">
        <f t="shared" si="74"/>
        <v>0.99</v>
      </c>
      <c r="L106" s="42">
        <f>IF(J106*K106=0,0, ROUND(J106*K106,0))</f>
        <v>16</v>
      </c>
      <c r="M106" s="18" t="str">
        <f>'CFIT Schedules'!L105</f>
        <v>LABOR</v>
      </c>
    </row>
    <row r="107" spans="1:13" x14ac:dyDescent="0.2">
      <c r="A107" s="144">
        <f t="shared" si="67"/>
        <v>86</v>
      </c>
      <c r="B107" s="17" t="s">
        <v>47</v>
      </c>
      <c r="C107" s="36">
        <f>+'CFIT Schedules'!E106</f>
        <v>2727.93</v>
      </c>
      <c r="D107" s="42">
        <f t="shared" si="70"/>
        <v>-573</v>
      </c>
      <c r="E107" s="36">
        <v>0</v>
      </c>
      <c r="F107" s="36">
        <f t="shared" si="71"/>
        <v>-573</v>
      </c>
      <c r="G107" s="27">
        <f>ROUND('CFIT Schedules'!F106*-0.35,0)</f>
        <v>0</v>
      </c>
      <c r="H107" s="27">
        <f t="shared" si="72"/>
        <v>-573</v>
      </c>
      <c r="I107" s="27">
        <f>ROUND('CFIT Schedules'!H106*-0.21,0)</f>
        <v>0</v>
      </c>
      <c r="J107" s="27">
        <f t="shared" si="73"/>
        <v>-573</v>
      </c>
      <c r="K107" s="51">
        <f t="shared" si="74"/>
        <v>0.99</v>
      </c>
      <c r="L107" s="42">
        <f t="shared" si="75"/>
        <v>-567</v>
      </c>
      <c r="M107" s="18" t="str">
        <f>'CFIT Schedules'!L106</f>
        <v>LABOR</v>
      </c>
    </row>
    <row r="108" spans="1:13" x14ac:dyDescent="0.2">
      <c r="A108" s="144">
        <f t="shared" si="67"/>
        <v>87</v>
      </c>
      <c r="B108" s="17" t="s">
        <v>48</v>
      </c>
      <c r="C108" s="36">
        <f>+'CFIT Schedules'!E107</f>
        <v>-388580.12</v>
      </c>
      <c r="D108" s="42">
        <f t="shared" si="70"/>
        <v>81602</v>
      </c>
      <c r="E108" s="36">
        <v>0</v>
      </c>
      <c r="F108" s="36">
        <f t="shared" si="71"/>
        <v>81602</v>
      </c>
      <c r="G108" s="27">
        <f>ROUND('CFIT Schedules'!F107*-0.35,0)</f>
        <v>0</v>
      </c>
      <c r="H108" s="27">
        <f t="shared" si="72"/>
        <v>81602</v>
      </c>
      <c r="I108" s="27">
        <f>ROUND('CFIT Schedules'!H107*-0.21,0)</f>
        <v>0</v>
      </c>
      <c r="J108" s="27">
        <f t="shared" si="73"/>
        <v>81602</v>
      </c>
      <c r="K108" s="51">
        <f t="shared" si="74"/>
        <v>0.99</v>
      </c>
      <c r="L108" s="42">
        <f t="shared" si="75"/>
        <v>80786</v>
      </c>
      <c r="M108" s="18" t="str">
        <f>'CFIT Schedules'!L107</f>
        <v>LABOR</v>
      </c>
    </row>
    <row r="109" spans="1:13" x14ac:dyDescent="0.2">
      <c r="A109" s="144">
        <f t="shared" si="67"/>
        <v>88</v>
      </c>
      <c r="B109" s="122" t="s">
        <v>367</v>
      </c>
      <c r="C109" s="36">
        <f>'CFIT Schedules'!E108</f>
        <v>0</v>
      </c>
      <c r="D109" s="42">
        <f t="shared" si="70"/>
        <v>0</v>
      </c>
      <c r="E109" s="36">
        <v>0</v>
      </c>
      <c r="F109" s="36">
        <f t="shared" ref="F109" si="76">SUM(D109:E109)</f>
        <v>0</v>
      </c>
      <c r="G109" s="27">
        <f>ROUND('CFIT Schedules'!F108*-0.35,0)</f>
        <v>0</v>
      </c>
      <c r="H109" s="27">
        <f t="shared" ref="H109" si="77">+F109+G109</f>
        <v>0</v>
      </c>
      <c r="I109" s="27">
        <f>ROUND('CFIT Schedules'!H108*-0.21,0)</f>
        <v>0</v>
      </c>
      <c r="J109" s="27">
        <f t="shared" ref="J109" si="78">+H109+I109</f>
        <v>0</v>
      </c>
      <c r="K109" s="51">
        <f t="shared" si="74"/>
        <v>0.99</v>
      </c>
      <c r="L109" s="42">
        <f t="shared" ref="L109" si="79">IF(J109*K109=0,0, ROUND(J109*K109,0))</f>
        <v>0</v>
      </c>
      <c r="M109" s="138" t="str">
        <f>'CFIT Schedules'!L108</f>
        <v>LABOR</v>
      </c>
    </row>
    <row r="110" spans="1:13" x14ac:dyDescent="0.2">
      <c r="A110" s="144">
        <f t="shared" si="67"/>
        <v>89</v>
      </c>
      <c r="B110" s="17" t="s">
        <v>49</v>
      </c>
      <c r="C110" s="36">
        <f>+'CFIT Schedules'!E109</f>
        <v>260029.39</v>
      </c>
      <c r="D110" s="42">
        <f t="shared" si="70"/>
        <v>-54606</v>
      </c>
      <c r="E110" s="36">
        <v>0</v>
      </c>
      <c r="F110" s="36">
        <f t="shared" si="71"/>
        <v>-54606</v>
      </c>
      <c r="G110" s="27">
        <f>ROUND('CFIT Schedules'!F109*-0.35,0)</f>
        <v>0</v>
      </c>
      <c r="H110" s="27">
        <f t="shared" si="72"/>
        <v>-54606</v>
      </c>
      <c r="I110" s="27">
        <f>ROUND('CFIT Schedules'!H109*-0.21,0)</f>
        <v>0</v>
      </c>
      <c r="J110" s="27">
        <f t="shared" si="73"/>
        <v>-54606</v>
      </c>
      <c r="K110" s="51">
        <f t="shared" si="74"/>
        <v>1</v>
      </c>
      <c r="L110" s="42">
        <f t="shared" si="75"/>
        <v>-54606</v>
      </c>
      <c r="M110" s="18" t="str">
        <f>'CFIT Schedules'!L109</f>
        <v>SPECIFIC</v>
      </c>
    </row>
    <row r="111" spans="1:13" x14ac:dyDescent="0.2">
      <c r="A111" s="144">
        <f t="shared" si="67"/>
        <v>90</v>
      </c>
      <c r="B111" s="17" t="s">
        <v>307</v>
      </c>
      <c r="C111" s="36">
        <f>+'CFIT Schedules'!E110</f>
        <v>0</v>
      </c>
      <c r="D111" s="42">
        <f t="shared" si="70"/>
        <v>0</v>
      </c>
      <c r="E111" s="36">
        <v>0</v>
      </c>
      <c r="F111" s="36">
        <f>SUM(D111:E111)</f>
        <v>0</v>
      </c>
      <c r="G111" s="27">
        <f>ROUND('CFIT Schedules'!F110*-0.35,0)</f>
        <v>0</v>
      </c>
      <c r="H111" s="27">
        <f t="shared" si="72"/>
        <v>0</v>
      </c>
      <c r="I111" s="27">
        <f>ROUND('CFIT Schedules'!H110*-0.21,0)</f>
        <v>0</v>
      </c>
      <c r="J111" s="27">
        <f>+H111+I111</f>
        <v>0</v>
      </c>
      <c r="K111" s="51">
        <f t="shared" si="74"/>
        <v>0.99</v>
      </c>
      <c r="L111" s="42">
        <f>IF(J111*K111=0,0, ROUND(J111*K111,0))</f>
        <v>0</v>
      </c>
      <c r="M111" s="18" t="str">
        <f>'CFIT Schedules'!L110</f>
        <v>LABOR</v>
      </c>
    </row>
    <row r="112" spans="1:13" x14ac:dyDescent="0.2">
      <c r="A112" s="144">
        <f t="shared" si="67"/>
        <v>91</v>
      </c>
      <c r="B112" s="56" t="s">
        <v>245</v>
      </c>
      <c r="C112" s="36">
        <f>+'CFIT Schedules'!E111</f>
        <v>1192571.3999999999</v>
      </c>
      <c r="D112" s="42">
        <f t="shared" si="70"/>
        <v>-250440</v>
      </c>
      <c r="E112" s="36">
        <v>0</v>
      </c>
      <c r="F112" s="36">
        <f>SUM(D112:E112)</f>
        <v>-250440</v>
      </c>
      <c r="G112" s="27">
        <f>ROUND('CFIT Schedules'!F111*-0.35,0)</f>
        <v>0</v>
      </c>
      <c r="H112" s="27">
        <f t="shared" si="72"/>
        <v>-250440</v>
      </c>
      <c r="I112" s="27">
        <f>ROUND('CFIT Schedules'!H111*-0.21,0)</f>
        <v>0</v>
      </c>
      <c r="J112" s="27">
        <f>+H112+I112</f>
        <v>-250440</v>
      </c>
      <c r="K112" s="51">
        <f t="shared" si="74"/>
        <v>0.99</v>
      </c>
      <c r="L112" s="42">
        <f>IF(J112*K112=0,0, ROUND(J112*K112,0))</f>
        <v>-247936</v>
      </c>
      <c r="M112" s="18" t="str">
        <f>'CFIT Schedules'!L111</f>
        <v>LABOR</v>
      </c>
    </row>
    <row r="113" spans="1:13" x14ac:dyDescent="0.2">
      <c r="A113" s="144">
        <f t="shared" si="67"/>
        <v>92</v>
      </c>
      <c r="B113" s="17" t="s">
        <v>50</v>
      </c>
      <c r="C113" s="36">
        <f>+'CFIT Schedules'!E112</f>
        <v>6282.92</v>
      </c>
      <c r="D113" s="42">
        <f t="shared" si="70"/>
        <v>-1319</v>
      </c>
      <c r="E113" s="36">
        <v>0</v>
      </c>
      <c r="F113" s="36">
        <f t="shared" si="71"/>
        <v>-1319</v>
      </c>
      <c r="G113" s="27">
        <f>ROUND('CFIT Schedules'!F112*-0.35,0)</f>
        <v>0</v>
      </c>
      <c r="H113" s="27">
        <f t="shared" si="72"/>
        <v>-1319</v>
      </c>
      <c r="I113" s="27">
        <f>ROUND('CFIT Schedules'!H112*-0.21,0)</f>
        <v>0</v>
      </c>
      <c r="J113" s="27">
        <f t="shared" si="73"/>
        <v>-1319</v>
      </c>
      <c r="K113" s="51">
        <f t="shared" si="74"/>
        <v>0.99</v>
      </c>
      <c r="L113" s="42">
        <f t="shared" si="75"/>
        <v>-1306</v>
      </c>
      <c r="M113" s="18" t="str">
        <f>'CFIT Schedules'!L112</f>
        <v>LABOR</v>
      </c>
    </row>
    <row r="114" spans="1:13" x14ac:dyDescent="0.2">
      <c r="A114" s="144">
        <f t="shared" si="67"/>
        <v>93</v>
      </c>
      <c r="B114" s="56" t="s">
        <v>277</v>
      </c>
      <c r="C114" s="36">
        <f>+'CFIT Schedules'!E113</f>
        <v>11095.73</v>
      </c>
      <c r="D114" s="42">
        <f t="shared" si="70"/>
        <v>-2330</v>
      </c>
      <c r="E114" s="36">
        <v>0</v>
      </c>
      <c r="F114" s="36">
        <f t="shared" ref="F114:F118" si="80">SUM(D114:E114)</f>
        <v>-2330</v>
      </c>
      <c r="G114" s="27">
        <f>ROUND('CFIT Schedules'!F113*-0.35,0)</f>
        <v>0</v>
      </c>
      <c r="H114" s="27">
        <f t="shared" si="72"/>
        <v>-2330</v>
      </c>
      <c r="I114" s="27">
        <f>ROUND('CFIT Schedules'!H113*-0.21,0)</f>
        <v>0</v>
      </c>
      <c r="J114" s="27">
        <f t="shared" ref="J114:J118" si="81">+H114+I114</f>
        <v>-2330</v>
      </c>
      <c r="K114" s="51">
        <f t="shared" si="74"/>
        <v>0.99</v>
      </c>
      <c r="L114" s="42">
        <f t="shared" ref="L114:L118" si="82">IF(J114*K114=0,0, ROUND(J114*K114,0))</f>
        <v>-2307</v>
      </c>
      <c r="M114" s="18" t="str">
        <f>'CFIT Schedules'!L113</f>
        <v>LABOR</v>
      </c>
    </row>
    <row r="115" spans="1:13" x14ac:dyDescent="0.2">
      <c r="A115" s="144">
        <f t="shared" si="67"/>
        <v>94</v>
      </c>
      <c r="B115" s="56" t="s">
        <v>246</v>
      </c>
      <c r="C115" s="36">
        <f>+'CFIT Schedules'!E114</f>
        <v>495300.58</v>
      </c>
      <c r="D115" s="42">
        <f t="shared" si="70"/>
        <v>-104013</v>
      </c>
      <c r="E115" s="36">
        <v>0</v>
      </c>
      <c r="F115" s="36">
        <f t="shared" si="80"/>
        <v>-104013</v>
      </c>
      <c r="G115" s="27">
        <f>ROUND('CFIT Schedules'!F114*-0.35,0)</f>
        <v>0</v>
      </c>
      <c r="H115" s="27">
        <f t="shared" si="72"/>
        <v>-104013</v>
      </c>
      <c r="I115" s="27">
        <f>ROUND('CFIT Schedules'!H114*-0.21,0)</f>
        <v>0</v>
      </c>
      <c r="J115" s="27">
        <f t="shared" si="81"/>
        <v>-104013</v>
      </c>
      <c r="K115" s="51">
        <f t="shared" si="74"/>
        <v>0.99</v>
      </c>
      <c r="L115" s="42">
        <f t="shared" si="82"/>
        <v>-102973</v>
      </c>
      <c r="M115" s="18" t="str">
        <f>'CFIT Schedules'!L114</f>
        <v>LABOR</v>
      </c>
    </row>
    <row r="116" spans="1:13" x14ac:dyDescent="0.2">
      <c r="A116" s="144">
        <f t="shared" si="67"/>
        <v>95</v>
      </c>
      <c r="B116" s="56" t="s">
        <v>308</v>
      </c>
      <c r="C116" s="36">
        <f>+'CFIT Schedules'!E115</f>
        <v>0</v>
      </c>
      <c r="D116" s="42">
        <f t="shared" si="70"/>
        <v>0</v>
      </c>
      <c r="E116" s="36">
        <v>0</v>
      </c>
      <c r="F116" s="36">
        <f t="shared" ref="F116:F117" si="83">SUM(D116:E116)</f>
        <v>0</v>
      </c>
      <c r="G116" s="27">
        <f>ROUND('CFIT Schedules'!F115*-0.35,0)</f>
        <v>0</v>
      </c>
      <c r="H116" s="27">
        <f t="shared" ref="H116:H117" si="84">+F116+G116</f>
        <v>0</v>
      </c>
      <c r="I116" s="27">
        <f>ROUND('CFIT Schedules'!H115*-0.21,0)</f>
        <v>0</v>
      </c>
      <c r="J116" s="27">
        <f t="shared" ref="J116:J117" si="85">+H116+I116</f>
        <v>0</v>
      </c>
      <c r="K116" s="51">
        <f t="shared" si="74"/>
        <v>0</v>
      </c>
      <c r="L116" s="42">
        <f t="shared" ref="L116:L117" si="86">IF(J116*K116=0,0, ROUND(J116*K116,0))</f>
        <v>0</v>
      </c>
      <c r="M116" s="18" t="str">
        <f>'CFIT Schedules'!L115</f>
        <v>NON-APPLIC</v>
      </c>
    </row>
    <row r="117" spans="1:13" x14ac:dyDescent="0.2">
      <c r="A117" s="144">
        <f t="shared" si="67"/>
        <v>96</v>
      </c>
      <c r="B117" s="56" t="s">
        <v>309</v>
      </c>
      <c r="C117" s="36">
        <f>+'CFIT Schedules'!E116</f>
        <v>0</v>
      </c>
      <c r="D117" s="42">
        <f t="shared" si="70"/>
        <v>0</v>
      </c>
      <c r="E117" s="36">
        <v>0</v>
      </c>
      <c r="F117" s="36">
        <f t="shared" si="83"/>
        <v>0</v>
      </c>
      <c r="G117" s="27">
        <f>ROUND('CFIT Schedules'!F116*-0.35,0)</f>
        <v>0</v>
      </c>
      <c r="H117" s="27">
        <f t="shared" si="84"/>
        <v>0</v>
      </c>
      <c r="I117" s="27">
        <f>ROUND('CFIT Schedules'!H116*-0.21,0)</f>
        <v>0</v>
      </c>
      <c r="J117" s="27">
        <f t="shared" si="85"/>
        <v>0</v>
      </c>
      <c r="K117" s="51">
        <f t="shared" si="74"/>
        <v>0</v>
      </c>
      <c r="L117" s="42">
        <f t="shared" si="86"/>
        <v>0</v>
      </c>
      <c r="M117" s="18" t="str">
        <f>'CFIT Schedules'!L116</f>
        <v>NON-APPLIC</v>
      </c>
    </row>
    <row r="118" spans="1:13" x14ac:dyDescent="0.2">
      <c r="A118" s="144">
        <f t="shared" si="67"/>
        <v>97</v>
      </c>
      <c r="B118" s="56" t="s">
        <v>264</v>
      </c>
      <c r="C118" s="36">
        <f>+'CFIT Schedules'!E117</f>
        <v>0</v>
      </c>
      <c r="D118" s="42">
        <f t="shared" si="70"/>
        <v>0</v>
      </c>
      <c r="E118" s="36">
        <v>0</v>
      </c>
      <c r="F118" s="36">
        <f t="shared" si="80"/>
        <v>0</v>
      </c>
      <c r="G118" s="27">
        <f>ROUND('CFIT Schedules'!F117*-0.35,0)</f>
        <v>0</v>
      </c>
      <c r="H118" s="27">
        <f t="shared" si="72"/>
        <v>0</v>
      </c>
      <c r="I118" s="27">
        <f>ROUND('CFIT Schedules'!H117*-0.21,0)</f>
        <v>0</v>
      </c>
      <c r="J118" s="27">
        <f t="shared" si="81"/>
        <v>0</v>
      </c>
      <c r="K118" s="51">
        <f t="shared" si="74"/>
        <v>0</v>
      </c>
      <c r="L118" s="42">
        <f t="shared" si="82"/>
        <v>0</v>
      </c>
      <c r="M118" s="18" t="str">
        <f>'CFIT Schedules'!L117</f>
        <v>NON-APPLIC</v>
      </c>
    </row>
    <row r="119" spans="1:13" x14ac:dyDescent="0.2">
      <c r="A119" s="144">
        <f t="shared" si="67"/>
        <v>98</v>
      </c>
      <c r="B119" s="17" t="s">
        <v>51</v>
      </c>
      <c r="C119" s="36">
        <f>+'CFIT Schedules'!E118</f>
        <v>0</v>
      </c>
      <c r="D119" s="42">
        <f t="shared" si="70"/>
        <v>0</v>
      </c>
      <c r="E119" s="36">
        <v>0</v>
      </c>
      <c r="F119" s="36">
        <f t="shared" si="71"/>
        <v>0</v>
      </c>
      <c r="G119" s="27">
        <f>ROUND('CFIT Schedules'!F118*-0.35,0)</f>
        <v>0</v>
      </c>
      <c r="H119" s="27">
        <f t="shared" si="72"/>
        <v>0</v>
      </c>
      <c r="I119" s="27">
        <f>ROUND('CFIT Schedules'!H118*-0.21,0)</f>
        <v>0</v>
      </c>
      <c r="J119" s="27">
        <f t="shared" si="73"/>
        <v>0</v>
      </c>
      <c r="K119" s="51">
        <f t="shared" si="74"/>
        <v>0.99299999999999999</v>
      </c>
      <c r="L119" s="42">
        <f t="shared" si="75"/>
        <v>0</v>
      </c>
      <c r="M119" s="18" t="str">
        <f>'CFIT Schedules'!L118</f>
        <v>REVENUE</v>
      </c>
    </row>
    <row r="120" spans="1:13" x14ac:dyDescent="0.2">
      <c r="A120" s="144">
        <f t="shared" si="67"/>
        <v>99</v>
      </c>
      <c r="B120" s="17" t="s">
        <v>52</v>
      </c>
      <c r="C120" s="36">
        <f>+'CFIT Schedules'!E119</f>
        <v>-21972</v>
      </c>
      <c r="D120" s="42">
        <f t="shared" si="70"/>
        <v>4614</v>
      </c>
      <c r="E120" s="36">
        <v>0</v>
      </c>
      <c r="F120" s="36">
        <f t="shared" si="71"/>
        <v>4614</v>
      </c>
      <c r="G120" s="27">
        <f>ROUND('CFIT Schedules'!F119*-0.35,0)</f>
        <v>0</v>
      </c>
      <c r="H120" s="27">
        <f t="shared" si="72"/>
        <v>4614</v>
      </c>
      <c r="I120" s="27">
        <f>ROUND('CFIT Schedules'!H119*-0.21,0)</f>
        <v>0</v>
      </c>
      <c r="J120" s="27">
        <f t="shared" si="73"/>
        <v>4614</v>
      </c>
      <c r="K120" s="51">
        <f t="shared" si="74"/>
        <v>0</v>
      </c>
      <c r="L120" s="42">
        <f t="shared" si="75"/>
        <v>0</v>
      </c>
      <c r="M120" s="18" t="str">
        <f>'CFIT Schedules'!L119</f>
        <v>NON-APPLIC</v>
      </c>
    </row>
    <row r="121" spans="1:13" x14ac:dyDescent="0.2">
      <c r="A121" s="144">
        <f t="shared" si="67"/>
        <v>100</v>
      </c>
      <c r="B121" s="17" t="s">
        <v>53</v>
      </c>
      <c r="C121" s="36">
        <f>+'CFIT Schedules'!E120</f>
        <v>-7441</v>
      </c>
      <c r="D121" s="42">
        <f t="shared" si="70"/>
        <v>1563</v>
      </c>
      <c r="E121" s="36">
        <v>0</v>
      </c>
      <c r="F121" s="36">
        <f t="shared" si="71"/>
        <v>1563</v>
      </c>
      <c r="G121" s="27">
        <f>ROUND('CFIT Schedules'!F120*-0.35,0)</f>
        <v>0</v>
      </c>
      <c r="H121" s="27">
        <f t="shared" si="72"/>
        <v>1563</v>
      </c>
      <c r="I121" s="27">
        <f>ROUND('CFIT Schedules'!H120*-0.21,0)</f>
        <v>0</v>
      </c>
      <c r="J121" s="27">
        <f t="shared" si="73"/>
        <v>1563</v>
      </c>
      <c r="K121" s="51">
        <f t="shared" si="74"/>
        <v>0</v>
      </c>
      <c r="L121" s="42">
        <f t="shared" si="75"/>
        <v>0</v>
      </c>
      <c r="M121" s="18" t="str">
        <f>'CFIT Schedules'!L120</f>
        <v>NON-APPLIC</v>
      </c>
    </row>
    <row r="122" spans="1:13" x14ac:dyDescent="0.2">
      <c r="A122" s="144">
        <f t="shared" si="67"/>
        <v>101</v>
      </c>
      <c r="B122" s="17" t="s">
        <v>54</v>
      </c>
      <c r="C122" s="36">
        <f>+'CFIT Schedules'!E121</f>
        <v>0</v>
      </c>
      <c r="D122" s="42">
        <f t="shared" si="70"/>
        <v>0</v>
      </c>
      <c r="E122" s="36">
        <v>0</v>
      </c>
      <c r="F122" s="36">
        <f t="shared" si="71"/>
        <v>0</v>
      </c>
      <c r="G122" s="27">
        <f>ROUND('CFIT Schedules'!F121*-0.35,0)</f>
        <v>0</v>
      </c>
      <c r="H122" s="27">
        <f t="shared" si="72"/>
        <v>0</v>
      </c>
      <c r="I122" s="27">
        <f>ROUND('CFIT Schedules'!H121*-0.21,0)</f>
        <v>0</v>
      </c>
      <c r="J122" s="27">
        <f t="shared" si="73"/>
        <v>0</v>
      </c>
      <c r="K122" s="51">
        <f t="shared" si="74"/>
        <v>0.99299999999999999</v>
      </c>
      <c r="L122" s="42">
        <f t="shared" si="75"/>
        <v>0</v>
      </c>
      <c r="M122" s="18" t="str">
        <f>'CFIT Schedules'!L121</f>
        <v>REVENUE</v>
      </c>
    </row>
    <row r="123" spans="1:13" x14ac:dyDescent="0.2">
      <c r="A123" s="144">
        <f t="shared" si="67"/>
        <v>102</v>
      </c>
      <c r="B123" s="17" t="s">
        <v>55</v>
      </c>
      <c r="C123" s="36">
        <f>+'CFIT Schedules'!E122</f>
        <v>96844.88</v>
      </c>
      <c r="D123" s="42">
        <f t="shared" si="70"/>
        <v>-20337</v>
      </c>
      <c r="E123" s="36">
        <v>0</v>
      </c>
      <c r="F123" s="36">
        <f>SUM(D123:E123)</f>
        <v>-20337</v>
      </c>
      <c r="G123" s="27">
        <f>ROUND('CFIT Schedules'!F122*-0.35,0)</f>
        <v>0</v>
      </c>
      <c r="H123" s="27">
        <f t="shared" si="72"/>
        <v>-20337</v>
      </c>
      <c r="I123" s="27">
        <f>ROUND('CFIT Schedules'!H122*-0.21,0)</f>
        <v>0</v>
      </c>
      <c r="J123" s="27">
        <f t="shared" si="73"/>
        <v>-20337</v>
      </c>
      <c r="K123" s="51">
        <f t="shared" si="74"/>
        <v>0.98499999999999999</v>
      </c>
      <c r="L123" s="42">
        <f t="shared" si="75"/>
        <v>-20032</v>
      </c>
      <c r="M123" s="18" t="str">
        <f>'CFIT Schedules'!L122</f>
        <v>TRAN PLT</v>
      </c>
    </row>
    <row r="124" spans="1:13" x14ac:dyDescent="0.2">
      <c r="A124" s="144">
        <f t="shared" si="67"/>
        <v>103</v>
      </c>
      <c r="B124" s="17" t="s">
        <v>178</v>
      </c>
      <c r="C124" s="36">
        <f>+'CFIT Schedules'!E123</f>
        <v>0</v>
      </c>
      <c r="D124" s="42">
        <f t="shared" si="70"/>
        <v>0</v>
      </c>
      <c r="E124" s="36">
        <v>0</v>
      </c>
      <c r="F124" s="36">
        <f>SUM(D124:E124)</f>
        <v>0</v>
      </c>
      <c r="G124" s="27">
        <f>ROUND('CFIT Schedules'!F123*-0.35,0)</f>
        <v>0</v>
      </c>
      <c r="H124" s="27">
        <f t="shared" si="72"/>
        <v>0</v>
      </c>
      <c r="I124" s="27">
        <f>ROUND('CFIT Schedules'!H123*-0.21,0)</f>
        <v>0</v>
      </c>
      <c r="J124" s="27">
        <f t="shared" si="73"/>
        <v>0</v>
      </c>
      <c r="K124" s="51">
        <f t="shared" si="74"/>
        <v>1</v>
      </c>
      <c r="L124" s="42">
        <f t="shared" si="75"/>
        <v>0</v>
      </c>
      <c r="M124" s="18" t="str">
        <f>'CFIT Schedules'!L123</f>
        <v>SPECIFIC</v>
      </c>
    </row>
    <row r="125" spans="1:13" x14ac:dyDescent="0.2">
      <c r="A125" s="144">
        <f t="shared" si="67"/>
        <v>104</v>
      </c>
      <c r="B125" s="17" t="s">
        <v>179</v>
      </c>
      <c r="C125" s="37">
        <f>+'CFIT Schedules'!E124</f>
        <v>0</v>
      </c>
      <c r="D125" s="42">
        <f t="shared" si="70"/>
        <v>0</v>
      </c>
      <c r="E125" s="37">
        <v>0</v>
      </c>
      <c r="F125" s="37">
        <f>SUM(D125:E125)</f>
        <v>0</v>
      </c>
      <c r="G125" s="27">
        <f>ROUND('CFIT Schedules'!F124*-0.35,0)</f>
        <v>0</v>
      </c>
      <c r="H125" s="27">
        <f t="shared" si="72"/>
        <v>0</v>
      </c>
      <c r="I125" s="27">
        <f>ROUND('CFIT Schedules'!H124*-0.21,0)</f>
        <v>0</v>
      </c>
      <c r="J125" s="37">
        <f>+H125+I125</f>
        <v>0</v>
      </c>
      <c r="K125" s="51">
        <f t="shared" si="74"/>
        <v>1</v>
      </c>
      <c r="L125" s="42">
        <f t="shared" si="75"/>
        <v>0</v>
      </c>
      <c r="M125" s="18" t="str">
        <f>'CFIT Schedules'!L124</f>
        <v>SPECIFIC</v>
      </c>
    </row>
    <row r="126" spans="1:13" x14ac:dyDescent="0.2">
      <c r="A126" s="144">
        <f t="shared" si="67"/>
        <v>105</v>
      </c>
      <c r="B126" s="75" t="s">
        <v>56</v>
      </c>
      <c r="C126" s="78">
        <f t="shared" ref="C126:J126" si="87">SUM(C102:C125)</f>
        <v>2904491.8699999996</v>
      </c>
      <c r="D126" s="78">
        <f t="shared" si="87"/>
        <v>-609943</v>
      </c>
      <c r="E126" s="78">
        <f t="shared" si="87"/>
        <v>0</v>
      </c>
      <c r="F126" s="78">
        <f t="shared" si="87"/>
        <v>-609943</v>
      </c>
      <c r="G126" s="78">
        <f t="shared" ref="G126" si="88">SUM(G102:G125)</f>
        <v>0</v>
      </c>
      <c r="H126" s="78">
        <f t="shared" si="87"/>
        <v>-609943</v>
      </c>
      <c r="I126" s="78">
        <f t="shared" si="87"/>
        <v>0</v>
      </c>
      <c r="J126" s="78">
        <f t="shared" si="87"/>
        <v>-609943</v>
      </c>
      <c r="K126" s="24"/>
      <c r="L126" s="78">
        <f>SUM(L102:L125)</f>
        <v>-610404</v>
      </c>
    </row>
    <row r="127" spans="1:13" x14ac:dyDescent="0.2">
      <c r="A127" s="144">
        <f t="shared" si="67"/>
        <v>106</v>
      </c>
      <c r="B127" s="17" t="s">
        <v>0</v>
      </c>
      <c r="C127" s="36"/>
      <c r="D127" s="36"/>
      <c r="K127" s="81"/>
    </row>
    <row r="128" spans="1:13" x14ac:dyDescent="0.2">
      <c r="A128" s="144">
        <f t="shared" si="67"/>
        <v>107</v>
      </c>
      <c r="B128" s="75" t="s">
        <v>57</v>
      </c>
      <c r="C128" s="36"/>
      <c r="D128" s="36"/>
      <c r="K128" s="81"/>
    </row>
    <row r="129" spans="1:13" x14ac:dyDescent="0.2">
      <c r="A129" s="144">
        <f t="shared" si="67"/>
        <v>108</v>
      </c>
      <c r="B129" s="17" t="s">
        <v>58</v>
      </c>
      <c r="C129" s="36">
        <f>+'CFIT Schedules'!E128</f>
        <v>2677.01</v>
      </c>
      <c r="D129" s="42">
        <f t="shared" ref="D129:D151" si="89">IF(C129*0.21=0,0,ROUND(C129*-0.21,0))</f>
        <v>-562</v>
      </c>
      <c r="E129" s="36">
        <v>0</v>
      </c>
      <c r="F129" s="36">
        <f t="shared" ref="F129:F140" si="90">SUM(D129:E129)</f>
        <v>-562</v>
      </c>
      <c r="G129" s="27">
        <f>ROUND('CFIT Schedules'!F128*-0.35,0)</f>
        <v>0</v>
      </c>
      <c r="H129" s="27">
        <f t="shared" ref="H129:H143" si="91">+F129+G129</f>
        <v>-562</v>
      </c>
      <c r="I129" s="27">
        <f>ROUND('CFIT Schedules'!H128*-0.21,0)</f>
        <v>0</v>
      </c>
      <c r="J129" s="27">
        <f t="shared" ref="J129:J140" si="92">+H129+I129</f>
        <v>-562</v>
      </c>
      <c r="K129" s="51">
        <f t="shared" ref="K129:K147" si="93">VLOOKUP(M129,$C$300:$D$314,2,FALSE)</f>
        <v>0.999</v>
      </c>
      <c r="L129" s="42">
        <f t="shared" ref="L129:L140" si="94">IF(J129*K129=0,0, ROUND(J129*K129,0))</f>
        <v>-561</v>
      </c>
      <c r="M129" s="18" t="str">
        <f>'CFIT Schedules'!L128</f>
        <v>DIST PLT</v>
      </c>
    </row>
    <row r="130" spans="1:13" x14ac:dyDescent="0.2">
      <c r="A130" s="144">
        <f t="shared" si="67"/>
        <v>109</v>
      </c>
      <c r="B130" s="17" t="s">
        <v>59</v>
      </c>
      <c r="C130" s="36">
        <f>+'CFIT Schedules'!E129</f>
        <v>530744.49</v>
      </c>
      <c r="D130" s="42">
        <f t="shared" si="89"/>
        <v>-111456</v>
      </c>
      <c r="E130" s="36">
        <v>0</v>
      </c>
      <c r="F130" s="36">
        <f t="shared" si="90"/>
        <v>-111456</v>
      </c>
      <c r="G130" s="27">
        <f>ROUND('CFIT Schedules'!F129*-0.35,0)</f>
        <v>0</v>
      </c>
      <c r="H130" s="27">
        <f t="shared" si="91"/>
        <v>-111456</v>
      </c>
      <c r="I130" s="27">
        <f>ROUND('CFIT Schedules'!H129*-0.21,0)</f>
        <v>0</v>
      </c>
      <c r="J130" s="27">
        <f t="shared" si="92"/>
        <v>-111456</v>
      </c>
      <c r="K130" s="51">
        <f t="shared" si="93"/>
        <v>0.99299999999999999</v>
      </c>
      <c r="L130" s="42">
        <f t="shared" si="94"/>
        <v>-110676</v>
      </c>
      <c r="M130" s="18" t="str">
        <f>'CFIT Schedules'!L129</f>
        <v>REVENUE</v>
      </c>
    </row>
    <row r="131" spans="1:13" x14ac:dyDescent="0.2">
      <c r="A131" s="144">
        <f t="shared" si="67"/>
        <v>110</v>
      </c>
      <c r="B131" s="56" t="s">
        <v>291</v>
      </c>
      <c r="C131" s="36">
        <f>+'CFIT Schedules'!E130</f>
        <v>2066558.88</v>
      </c>
      <c r="D131" s="42">
        <f t="shared" si="89"/>
        <v>-433977</v>
      </c>
      <c r="E131" s="36">
        <v>0</v>
      </c>
      <c r="F131" s="36">
        <f t="shared" si="90"/>
        <v>-433977</v>
      </c>
      <c r="G131" s="27">
        <f>ROUND('CFIT Schedules'!F130*-0.35,0)</f>
        <v>0</v>
      </c>
      <c r="H131" s="27">
        <f t="shared" si="91"/>
        <v>-433977</v>
      </c>
      <c r="I131" s="27">
        <f>ROUND('CFIT Schedules'!H130*-0.21,0)</f>
        <v>0</v>
      </c>
      <c r="J131" s="27">
        <f t="shared" si="92"/>
        <v>-433977</v>
      </c>
      <c r="K131" s="51">
        <f t="shared" si="93"/>
        <v>0.98499999999999999</v>
      </c>
      <c r="L131" s="42">
        <f t="shared" si="94"/>
        <v>-427467</v>
      </c>
      <c r="M131" s="18" t="str">
        <f>'CFIT Schedules'!L130</f>
        <v>DEMAND</v>
      </c>
    </row>
    <row r="132" spans="1:13" x14ac:dyDescent="0.2">
      <c r="A132" s="144">
        <f t="shared" si="67"/>
        <v>111</v>
      </c>
      <c r="B132" s="56" t="s">
        <v>263</v>
      </c>
      <c r="C132" s="36">
        <f>+'CFIT Schedules'!E131</f>
        <v>0</v>
      </c>
      <c r="D132" s="42">
        <f t="shared" si="89"/>
        <v>0</v>
      </c>
      <c r="E132" s="36">
        <v>0</v>
      </c>
      <c r="F132" s="36">
        <f>SUM(D132:E132)</f>
        <v>0</v>
      </c>
      <c r="G132" s="27">
        <f>ROUND('CFIT Schedules'!F131*-0.35,0)</f>
        <v>0</v>
      </c>
      <c r="H132" s="27">
        <f t="shared" si="91"/>
        <v>0</v>
      </c>
      <c r="I132" s="27">
        <f>ROUND('CFIT Schedules'!H131*-0.21,0)</f>
        <v>0</v>
      </c>
      <c r="J132" s="27">
        <f t="shared" si="92"/>
        <v>0</v>
      </c>
      <c r="K132" s="51">
        <f t="shared" si="93"/>
        <v>1</v>
      </c>
      <c r="L132" s="42">
        <f t="shared" si="94"/>
        <v>0</v>
      </c>
      <c r="M132" s="18" t="str">
        <f>'CFIT Schedules'!L131</f>
        <v>SPECIFIC</v>
      </c>
    </row>
    <row r="133" spans="1:13" x14ac:dyDescent="0.2">
      <c r="A133" s="144">
        <f t="shared" si="67"/>
        <v>112</v>
      </c>
      <c r="B133" s="17" t="s">
        <v>60</v>
      </c>
      <c r="C133" s="36">
        <f>+'CFIT Schedules'!E132</f>
        <v>6973.74</v>
      </c>
      <c r="D133" s="42">
        <f t="shared" si="89"/>
        <v>-1464</v>
      </c>
      <c r="E133" s="36">
        <v>0</v>
      </c>
      <c r="F133" s="36">
        <f t="shared" si="90"/>
        <v>-1464</v>
      </c>
      <c r="G133" s="27">
        <f>ROUND('CFIT Schedules'!F132*-0.35,0)</f>
        <v>0</v>
      </c>
      <c r="H133" s="27">
        <f t="shared" si="91"/>
        <v>-1464</v>
      </c>
      <c r="I133" s="27">
        <f>ROUND('CFIT Schedules'!H132*-0.21,0)</f>
        <v>0</v>
      </c>
      <c r="J133" s="27">
        <f t="shared" si="92"/>
        <v>-1464</v>
      </c>
      <c r="K133" s="51">
        <f t="shared" si="93"/>
        <v>0.99299999999999999</v>
      </c>
      <c r="L133" s="42">
        <f t="shared" si="94"/>
        <v>-1454</v>
      </c>
      <c r="M133" s="18" t="str">
        <f>'CFIT Schedules'!L132</f>
        <v>REVENUE</v>
      </c>
    </row>
    <row r="134" spans="1:13" x14ac:dyDescent="0.2">
      <c r="A134" s="144">
        <f t="shared" si="67"/>
        <v>113</v>
      </c>
      <c r="B134" s="17" t="s">
        <v>310</v>
      </c>
      <c r="C134" s="36">
        <f>+'CFIT Schedules'!E133</f>
        <v>-121087.35</v>
      </c>
      <c r="D134" s="42">
        <f t="shared" si="89"/>
        <v>25428</v>
      </c>
      <c r="E134" s="36">
        <v>0</v>
      </c>
      <c r="F134" s="36">
        <f>SUM(D134:E134)</f>
        <v>25428</v>
      </c>
      <c r="G134" s="27">
        <f>ROUND('CFIT Schedules'!F133*-0.35,0)</f>
        <v>0</v>
      </c>
      <c r="H134" s="27">
        <f t="shared" si="91"/>
        <v>25428</v>
      </c>
      <c r="I134" s="27">
        <f>ROUND('CFIT Schedules'!H133*-0.21,0)</f>
        <v>0</v>
      </c>
      <c r="J134" s="27">
        <f>+H134+I134</f>
        <v>25428</v>
      </c>
      <c r="K134" s="51">
        <f t="shared" si="93"/>
        <v>0.99299999999999999</v>
      </c>
      <c r="L134" s="42">
        <f>IF(J134*K134=0,0, ROUND(J134*K134,0))</f>
        <v>25250</v>
      </c>
      <c r="M134" s="18" t="str">
        <f>'CFIT Schedules'!L133</f>
        <v>REVENUE</v>
      </c>
    </row>
    <row r="135" spans="1:13" x14ac:dyDescent="0.2">
      <c r="A135" s="144">
        <f t="shared" si="67"/>
        <v>114</v>
      </c>
      <c r="B135" s="17" t="s">
        <v>311</v>
      </c>
      <c r="C135" s="36">
        <f>+'CFIT Schedules'!E134</f>
        <v>73994.080000000002</v>
      </c>
      <c r="D135" s="42">
        <f t="shared" si="89"/>
        <v>-15539</v>
      </c>
      <c r="E135" s="36">
        <v>0</v>
      </c>
      <c r="F135" s="36">
        <f>SUM(D135:E135)</f>
        <v>-15539</v>
      </c>
      <c r="G135" s="27">
        <f>ROUND('CFIT Schedules'!F134*-0.35,0)</f>
        <v>0</v>
      </c>
      <c r="H135" s="27">
        <f t="shared" si="91"/>
        <v>-15539</v>
      </c>
      <c r="I135" s="27">
        <f>ROUND('CFIT Schedules'!H134*-0.21,0)</f>
        <v>0</v>
      </c>
      <c r="J135" s="27">
        <f>+H135+I135</f>
        <v>-15539</v>
      </c>
      <c r="K135" s="51">
        <f t="shared" si="93"/>
        <v>0.99299999999999999</v>
      </c>
      <c r="L135" s="42">
        <f>IF(J135*K135=0,0, ROUND(J135*K135,0))</f>
        <v>-15430</v>
      </c>
      <c r="M135" s="18" t="str">
        <f>'CFIT Schedules'!L134</f>
        <v>REVENUE</v>
      </c>
    </row>
    <row r="136" spans="1:13" x14ac:dyDescent="0.2">
      <c r="A136" s="144">
        <f t="shared" si="67"/>
        <v>115</v>
      </c>
      <c r="B136" s="17" t="s">
        <v>61</v>
      </c>
      <c r="C136" s="36">
        <f>+'CFIT Schedules'!E135</f>
        <v>0</v>
      </c>
      <c r="D136" s="42">
        <f t="shared" si="89"/>
        <v>0</v>
      </c>
      <c r="E136" s="36">
        <v>0</v>
      </c>
      <c r="F136" s="36">
        <f t="shared" si="90"/>
        <v>0</v>
      </c>
      <c r="G136" s="27">
        <f>ROUND('CFIT Schedules'!F135*-0.35,0)</f>
        <v>0</v>
      </c>
      <c r="H136" s="27">
        <f t="shared" si="91"/>
        <v>0</v>
      </c>
      <c r="I136" s="27">
        <f>ROUND('CFIT Schedules'!H135*-0.21,0)</f>
        <v>0</v>
      </c>
      <c r="J136" s="27">
        <f t="shared" si="92"/>
        <v>0</v>
      </c>
      <c r="K136" s="51">
        <f t="shared" si="93"/>
        <v>0.98499999999999999</v>
      </c>
      <c r="L136" s="42">
        <f t="shared" si="94"/>
        <v>0</v>
      </c>
      <c r="M136" s="18" t="str">
        <f>'CFIT Schedules'!L135</f>
        <v>TRAN PLT</v>
      </c>
    </row>
    <row r="137" spans="1:13" x14ac:dyDescent="0.2">
      <c r="A137" s="144">
        <f t="shared" si="67"/>
        <v>116</v>
      </c>
      <c r="B137" s="17" t="s">
        <v>62</v>
      </c>
      <c r="C137" s="36">
        <f>+'CFIT Schedules'!E136</f>
        <v>0</v>
      </c>
      <c r="D137" s="42">
        <f t="shared" si="89"/>
        <v>0</v>
      </c>
      <c r="E137" s="36">
        <v>0</v>
      </c>
      <c r="F137" s="36">
        <f t="shared" si="90"/>
        <v>0</v>
      </c>
      <c r="G137" s="27">
        <f>ROUND('CFIT Schedules'!F136*-0.35,0)</f>
        <v>0</v>
      </c>
      <c r="H137" s="27">
        <f t="shared" si="91"/>
        <v>0</v>
      </c>
      <c r="I137" s="27">
        <f>ROUND('CFIT Schedules'!H136*-0.21,0)</f>
        <v>0</v>
      </c>
      <c r="J137" s="27">
        <f t="shared" si="92"/>
        <v>0</v>
      </c>
      <c r="K137" s="51">
        <f t="shared" si="93"/>
        <v>0</v>
      </c>
      <c r="L137" s="42">
        <f t="shared" si="94"/>
        <v>0</v>
      </c>
      <c r="M137" s="18" t="str">
        <f>'CFIT Schedules'!L136</f>
        <v>NON-UTILITY</v>
      </c>
    </row>
    <row r="138" spans="1:13" x14ac:dyDescent="0.2">
      <c r="A138" s="144">
        <f t="shared" si="67"/>
        <v>117</v>
      </c>
      <c r="B138" s="56" t="s">
        <v>247</v>
      </c>
      <c r="C138" s="36">
        <f>+'CFIT Schedules'!E137</f>
        <v>-846893</v>
      </c>
      <c r="D138" s="42">
        <f t="shared" si="89"/>
        <v>177848</v>
      </c>
      <c r="E138" s="36">
        <v>0</v>
      </c>
      <c r="F138" s="36">
        <f t="shared" si="90"/>
        <v>177848</v>
      </c>
      <c r="G138" s="27">
        <f>ROUND('CFIT Schedules'!F137*-0.35,0)</f>
        <v>0</v>
      </c>
      <c r="H138" s="27">
        <f t="shared" si="91"/>
        <v>177848</v>
      </c>
      <c r="I138" s="27">
        <f>ROUND('CFIT Schedules'!H137*-0.21,0)</f>
        <v>0</v>
      </c>
      <c r="J138" s="27">
        <f t="shared" si="92"/>
        <v>177848</v>
      </c>
      <c r="K138" s="51">
        <f t="shared" si="93"/>
        <v>0.99</v>
      </c>
      <c r="L138" s="42">
        <f t="shared" si="94"/>
        <v>176070</v>
      </c>
      <c r="M138" s="18" t="str">
        <f>'CFIT Schedules'!L137</f>
        <v>LABOR</v>
      </c>
    </row>
    <row r="139" spans="1:13" x14ac:dyDescent="0.2">
      <c r="A139" s="144">
        <f t="shared" si="67"/>
        <v>118</v>
      </c>
      <c r="B139" s="56" t="s">
        <v>248</v>
      </c>
      <c r="C139" s="36">
        <f>+'CFIT Schedules'!E138</f>
        <v>78</v>
      </c>
      <c r="D139" s="42">
        <f t="shared" si="89"/>
        <v>-16</v>
      </c>
      <c r="E139" s="36">
        <v>0</v>
      </c>
      <c r="F139" s="36">
        <f t="shared" si="90"/>
        <v>-16</v>
      </c>
      <c r="G139" s="27">
        <f>ROUND('CFIT Schedules'!F138*-0.35,0)</f>
        <v>0</v>
      </c>
      <c r="H139" s="27">
        <f t="shared" si="91"/>
        <v>-16</v>
      </c>
      <c r="I139" s="27">
        <f>ROUND('CFIT Schedules'!H138*-0.21,0)</f>
        <v>0</v>
      </c>
      <c r="J139" s="27">
        <f t="shared" si="92"/>
        <v>-16</v>
      </c>
      <c r="K139" s="51">
        <f t="shared" si="93"/>
        <v>0.99</v>
      </c>
      <c r="L139" s="42">
        <f t="shared" si="94"/>
        <v>-16</v>
      </c>
      <c r="M139" s="18" t="str">
        <f>'CFIT Schedules'!L138</f>
        <v>LABOR</v>
      </c>
    </row>
    <row r="140" spans="1:13" x14ac:dyDescent="0.2">
      <c r="A140" s="144">
        <f t="shared" si="67"/>
        <v>119</v>
      </c>
      <c r="B140" s="56" t="s">
        <v>249</v>
      </c>
      <c r="C140" s="36">
        <f>+'CFIT Schedules'!E139</f>
        <v>3728444</v>
      </c>
      <c r="D140" s="42">
        <f t="shared" si="89"/>
        <v>-782973</v>
      </c>
      <c r="E140" s="36">
        <v>0</v>
      </c>
      <c r="F140" s="36">
        <f t="shared" si="90"/>
        <v>-782973</v>
      </c>
      <c r="G140" s="27">
        <f>ROUND('CFIT Schedules'!F139*-0.35,0)</f>
        <v>0</v>
      </c>
      <c r="H140" s="27">
        <f t="shared" si="91"/>
        <v>-782973</v>
      </c>
      <c r="I140" s="27">
        <f>ROUND('CFIT Schedules'!H139*-0.21,0)</f>
        <v>0</v>
      </c>
      <c r="J140" s="27">
        <f t="shared" si="92"/>
        <v>-782973</v>
      </c>
      <c r="K140" s="51">
        <f t="shared" si="93"/>
        <v>0.99</v>
      </c>
      <c r="L140" s="42">
        <f t="shared" si="94"/>
        <v>-775143</v>
      </c>
      <c r="M140" s="18" t="str">
        <f>'CFIT Schedules'!L139</f>
        <v>LABOR</v>
      </c>
    </row>
    <row r="141" spans="1:13" x14ac:dyDescent="0.2">
      <c r="A141" s="144">
        <f t="shared" si="67"/>
        <v>120</v>
      </c>
      <c r="B141" s="56" t="s">
        <v>281</v>
      </c>
      <c r="C141" s="36">
        <f>+'CFIT Schedules'!E140</f>
        <v>0</v>
      </c>
      <c r="D141" s="42">
        <f t="shared" si="89"/>
        <v>0</v>
      </c>
      <c r="E141" s="36">
        <v>0</v>
      </c>
      <c r="F141" s="36">
        <f t="shared" ref="F141" si="95">SUM(D141:E141)</f>
        <v>0</v>
      </c>
      <c r="G141" s="27">
        <f>ROUND('CFIT Schedules'!F140*-0.35,0)</f>
        <v>0</v>
      </c>
      <c r="H141" s="27">
        <f t="shared" si="91"/>
        <v>0</v>
      </c>
      <c r="I141" s="27">
        <f>ROUND('CFIT Schedules'!H140*-0.21,0)</f>
        <v>0</v>
      </c>
      <c r="J141" s="27">
        <f t="shared" ref="J141" si="96">+H141+I141</f>
        <v>0</v>
      </c>
      <c r="K141" s="51">
        <f t="shared" si="93"/>
        <v>0.98499999999999999</v>
      </c>
      <c r="L141" s="42">
        <f t="shared" ref="L141" si="97">IF(J141*K141=0,0, ROUND(J141*K141,0))</f>
        <v>0</v>
      </c>
      <c r="M141" s="18" t="str">
        <f>'CFIT Schedules'!L140</f>
        <v>TRAN PLT</v>
      </c>
    </row>
    <row r="142" spans="1:13" x14ac:dyDescent="0.2">
      <c r="A142" s="144">
        <f t="shared" si="67"/>
        <v>121</v>
      </c>
      <c r="B142" s="56" t="s">
        <v>250</v>
      </c>
      <c r="C142" s="36">
        <f>+'CFIT Schedules'!E141</f>
        <v>0</v>
      </c>
      <c r="D142" s="42">
        <f t="shared" si="89"/>
        <v>0</v>
      </c>
      <c r="E142" s="36">
        <v>0</v>
      </c>
      <c r="F142" s="36">
        <f t="shared" ref="F142:F143" si="98">SUM(D142:E142)</f>
        <v>0</v>
      </c>
      <c r="G142" s="27">
        <f>ROUND('CFIT Schedules'!F141*-0.35,0)</f>
        <v>0</v>
      </c>
      <c r="H142" s="27">
        <f t="shared" si="91"/>
        <v>0</v>
      </c>
      <c r="I142" s="27">
        <f>ROUND('CFIT Schedules'!H141*-0.21,0)</f>
        <v>0</v>
      </c>
      <c r="J142" s="27">
        <f t="shared" ref="J142:J143" si="99">+H142+I142</f>
        <v>0</v>
      </c>
      <c r="K142" s="51">
        <f t="shared" si="93"/>
        <v>0</v>
      </c>
      <c r="L142" s="42">
        <f t="shared" ref="L142:L143" si="100">IF(J142*K142=0,0, ROUND(J142*K142,0))</f>
        <v>0</v>
      </c>
      <c r="M142" s="18" t="str">
        <f>'CFIT Schedules'!L141</f>
        <v>NON-APPLIC</v>
      </c>
    </row>
    <row r="143" spans="1:13" x14ac:dyDescent="0.2">
      <c r="A143" s="144">
        <f t="shared" si="67"/>
        <v>122</v>
      </c>
      <c r="B143" s="56" t="s">
        <v>278</v>
      </c>
      <c r="C143" s="36">
        <f>+'CFIT Schedules'!E142</f>
        <v>34914.36</v>
      </c>
      <c r="D143" s="42">
        <f t="shared" si="89"/>
        <v>-7332</v>
      </c>
      <c r="E143" s="36">
        <v>0</v>
      </c>
      <c r="F143" s="36">
        <f t="shared" si="98"/>
        <v>-7332</v>
      </c>
      <c r="G143" s="27">
        <f>ROUND('CFIT Schedules'!F142*-0.35,0)</f>
        <v>0</v>
      </c>
      <c r="H143" s="27">
        <f t="shared" si="91"/>
        <v>-7332</v>
      </c>
      <c r="I143" s="27">
        <f>ROUND('CFIT Schedules'!H142*-0.21,0)</f>
        <v>0</v>
      </c>
      <c r="J143" s="27">
        <f t="shared" si="99"/>
        <v>-7332</v>
      </c>
      <c r="K143" s="51">
        <f t="shared" si="93"/>
        <v>0.98499999999999999</v>
      </c>
      <c r="L143" s="42">
        <f t="shared" si="100"/>
        <v>-7222</v>
      </c>
      <c r="M143" s="18" t="str">
        <f>'CFIT Schedules'!L142</f>
        <v>DEMAND</v>
      </c>
    </row>
    <row r="144" spans="1:13" x14ac:dyDescent="0.2">
      <c r="A144" s="144">
        <f t="shared" si="67"/>
        <v>123</v>
      </c>
      <c r="B144" s="17" t="s">
        <v>322</v>
      </c>
      <c r="C144" s="36">
        <f>+'CFIT Schedules'!E143</f>
        <v>-3598304.22</v>
      </c>
      <c r="D144" s="42">
        <f t="shared" si="89"/>
        <v>755644</v>
      </c>
      <c r="E144" s="36">
        <v>0</v>
      </c>
      <c r="F144" s="36">
        <f>SUM(D144:E144)</f>
        <v>755644</v>
      </c>
      <c r="G144" s="27">
        <v>0</v>
      </c>
      <c r="H144" s="27">
        <f>+F144+G144</f>
        <v>755644</v>
      </c>
      <c r="I144" s="27">
        <v>0</v>
      </c>
      <c r="J144" s="27">
        <f>+H144+I144</f>
        <v>755644</v>
      </c>
      <c r="K144" s="51">
        <f t="shared" si="93"/>
        <v>0.98499999999999999</v>
      </c>
      <c r="L144" s="42">
        <f>IF(J144*K144=0,0, ROUND(J144*K144,0))</f>
        <v>744309</v>
      </c>
      <c r="M144" s="18" t="str">
        <f>'CFIT Schedules'!L143</f>
        <v>DEMAND</v>
      </c>
    </row>
    <row r="145" spans="1:13" x14ac:dyDescent="0.2">
      <c r="A145" s="144">
        <f t="shared" si="67"/>
        <v>124</v>
      </c>
      <c r="B145" s="17" t="s">
        <v>344</v>
      </c>
      <c r="C145" s="36">
        <f>+'CFIT Schedules'!E144</f>
        <v>-23027356.77</v>
      </c>
      <c r="D145" s="42">
        <f t="shared" si="89"/>
        <v>4835745</v>
      </c>
      <c r="E145" s="36">
        <v>0</v>
      </c>
      <c r="F145" s="36">
        <f t="shared" ref="F145:F146" si="101">SUM(D145:E145)</f>
        <v>4835745</v>
      </c>
      <c r="G145" s="27">
        <f>ROUND('CFIT Schedules'!F144*-0.35,0)</f>
        <v>0</v>
      </c>
      <c r="H145" s="27">
        <f t="shared" ref="H145:H146" si="102">+F145+G145</f>
        <v>4835745</v>
      </c>
      <c r="I145" s="27">
        <f>ROUND('CFIT Schedules'!H144*-0.21,0)</f>
        <v>0</v>
      </c>
      <c r="J145" s="27">
        <f t="shared" ref="J145:J146" si="103">+H145+I145</f>
        <v>4835745</v>
      </c>
      <c r="K145" s="51">
        <f t="shared" si="93"/>
        <v>0.98499999999999999</v>
      </c>
      <c r="L145" s="42">
        <f t="shared" ref="L145:L146" si="104">IF(J145*K145=0,0, ROUND(J145*K145,0))</f>
        <v>4763209</v>
      </c>
      <c r="M145" s="18" t="str">
        <f>'CFIT Schedules'!L144</f>
        <v>DEMAND</v>
      </c>
    </row>
    <row r="146" spans="1:13" x14ac:dyDescent="0.2">
      <c r="A146" s="144">
        <f t="shared" si="67"/>
        <v>125</v>
      </c>
      <c r="B146" s="17" t="s">
        <v>345</v>
      </c>
      <c r="C146" s="36">
        <f>+'CFIT Schedules'!E145</f>
        <v>-8375.44</v>
      </c>
      <c r="D146" s="42">
        <f t="shared" si="89"/>
        <v>1759</v>
      </c>
      <c r="E146" s="36">
        <v>0</v>
      </c>
      <c r="F146" s="36">
        <f t="shared" si="101"/>
        <v>1759</v>
      </c>
      <c r="G146" s="27">
        <f>ROUND('CFIT Schedules'!F145*-0.35,0)</f>
        <v>0</v>
      </c>
      <c r="H146" s="27">
        <f t="shared" si="102"/>
        <v>1759</v>
      </c>
      <c r="I146" s="27">
        <f>ROUND('CFIT Schedules'!H145*-0.21,0)</f>
        <v>0</v>
      </c>
      <c r="J146" s="27">
        <f t="shared" si="103"/>
        <v>1759</v>
      </c>
      <c r="K146" s="51">
        <f t="shared" si="93"/>
        <v>0.98499999999999999</v>
      </c>
      <c r="L146" s="42">
        <f t="shared" si="104"/>
        <v>1733</v>
      </c>
      <c r="M146" s="18" t="str">
        <f>'CFIT Schedules'!L145</f>
        <v>DEMAND</v>
      </c>
    </row>
    <row r="147" spans="1:13" x14ac:dyDescent="0.2">
      <c r="A147" s="144">
        <f t="shared" si="67"/>
        <v>126</v>
      </c>
      <c r="B147" s="17" t="s">
        <v>325</v>
      </c>
      <c r="C147" s="36">
        <f>+'CFIT Schedules'!E146</f>
        <v>0</v>
      </c>
      <c r="D147" s="42">
        <f t="shared" si="89"/>
        <v>0</v>
      </c>
      <c r="E147" s="36">
        <v>0</v>
      </c>
      <c r="F147" s="36">
        <f t="shared" ref="F147:F171" si="105">SUM(D147:E147)</f>
        <v>0</v>
      </c>
      <c r="G147" s="27">
        <f>ROUND('CFIT Schedules'!F146*-0.35,0)</f>
        <v>0</v>
      </c>
      <c r="H147" s="27">
        <f t="shared" ref="H147:H171" si="106">+F147+G147</f>
        <v>0</v>
      </c>
      <c r="I147" s="27">
        <f>ROUND('CFIT Schedules'!H146*-0.21,0)</f>
        <v>0</v>
      </c>
      <c r="J147" s="27">
        <f t="shared" ref="J147:J171" si="107">+H147+I147</f>
        <v>0</v>
      </c>
      <c r="K147" s="51">
        <f t="shared" si="93"/>
        <v>1</v>
      </c>
      <c r="L147" s="42">
        <f t="shared" ref="L147:L171" si="108">IF(J147*K147=0,0, ROUND(J147*K147,0))</f>
        <v>0</v>
      </c>
      <c r="M147" s="18" t="str">
        <f>'CFIT Schedules'!L146</f>
        <v>SPECIFIC</v>
      </c>
    </row>
    <row r="148" spans="1:13" x14ac:dyDescent="0.2">
      <c r="A148" s="144">
        <f t="shared" si="67"/>
        <v>127</v>
      </c>
      <c r="B148" s="17" t="s">
        <v>326</v>
      </c>
      <c r="C148" s="36">
        <f>+'CFIT Schedules'!E147</f>
        <v>6463480.29</v>
      </c>
      <c r="D148" s="42">
        <f t="shared" si="89"/>
        <v>-1357331</v>
      </c>
      <c r="E148" s="36">
        <v>0</v>
      </c>
      <c r="F148" s="36">
        <f t="shared" si="105"/>
        <v>-1357331</v>
      </c>
      <c r="G148" s="27">
        <f>ROUND('CFIT Schedules'!F147*-0.35,0)</f>
        <v>0</v>
      </c>
      <c r="H148" s="27">
        <f t="shared" si="106"/>
        <v>-1357331</v>
      </c>
      <c r="I148" s="27">
        <f>ROUND('CFIT Schedules'!H147*-0.21,0)</f>
        <v>0</v>
      </c>
      <c r="J148" s="27">
        <f t="shared" si="107"/>
        <v>-1357331</v>
      </c>
      <c r="K148" s="51">
        <f>'CFIT Schedules'!J147</f>
        <v>1</v>
      </c>
      <c r="L148" s="42">
        <f t="shared" si="108"/>
        <v>-1357331</v>
      </c>
      <c r="M148" s="18" t="str">
        <f>'CFIT Schedules'!L147</f>
        <v>SPECIFIC</v>
      </c>
    </row>
    <row r="149" spans="1:13" x14ac:dyDescent="0.2">
      <c r="A149" s="144">
        <f t="shared" si="67"/>
        <v>128</v>
      </c>
      <c r="B149" s="17" t="s">
        <v>327</v>
      </c>
      <c r="C149" s="36">
        <f>+'CFIT Schedules'!E148</f>
        <v>-187911.13</v>
      </c>
      <c r="D149" s="42">
        <f t="shared" si="89"/>
        <v>39461</v>
      </c>
      <c r="E149" s="36">
        <v>0</v>
      </c>
      <c r="F149" s="36">
        <f t="shared" si="105"/>
        <v>39461</v>
      </c>
      <c r="G149" s="27">
        <f>ROUND('CFIT Schedules'!F148*-0.35,0)</f>
        <v>0</v>
      </c>
      <c r="H149" s="27">
        <f t="shared" si="106"/>
        <v>39461</v>
      </c>
      <c r="I149" s="27">
        <f>ROUND('CFIT Schedules'!H148*-0.21,0)</f>
        <v>0</v>
      </c>
      <c r="J149" s="27">
        <f t="shared" si="107"/>
        <v>39461</v>
      </c>
      <c r="K149" s="51">
        <f t="shared" ref="K149:K154" si="109">VLOOKUP(M149,$C$300:$D$314,2,FALSE)</f>
        <v>0.98599999999999999</v>
      </c>
      <c r="L149" s="42">
        <f t="shared" si="108"/>
        <v>38909</v>
      </c>
      <c r="M149" s="18" t="str">
        <f>'CFIT Schedules'!L148</f>
        <v>ENERGY</v>
      </c>
    </row>
    <row r="150" spans="1:13" x14ac:dyDescent="0.2">
      <c r="A150" s="144">
        <f t="shared" si="67"/>
        <v>129</v>
      </c>
      <c r="B150" s="17" t="s">
        <v>328</v>
      </c>
      <c r="C150" s="36">
        <f>+'CFIT Schedules'!E149</f>
        <v>0</v>
      </c>
      <c r="D150" s="42">
        <f t="shared" si="89"/>
        <v>0</v>
      </c>
      <c r="E150" s="36">
        <v>0</v>
      </c>
      <c r="F150" s="36">
        <f t="shared" si="105"/>
        <v>0</v>
      </c>
      <c r="G150" s="27">
        <f>ROUND('CFIT Schedules'!F149*-0.35,0)</f>
        <v>0</v>
      </c>
      <c r="H150" s="27">
        <f t="shared" si="106"/>
        <v>0</v>
      </c>
      <c r="I150" s="27">
        <f>ROUND('CFIT Schedules'!H149*-0.21,0)</f>
        <v>0</v>
      </c>
      <c r="J150" s="27">
        <f t="shared" si="107"/>
        <v>0</v>
      </c>
      <c r="K150" s="51">
        <f t="shared" si="109"/>
        <v>1</v>
      </c>
      <c r="L150" s="42">
        <f t="shared" si="108"/>
        <v>0</v>
      </c>
      <c r="M150" s="18" t="str">
        <f>'CFIT Schedules'!L149</f>
        <v>SPECIFIC</v>
      </c>
    </row>
    <row r="151" spans="1:13" x14ac:dyDescent="0.2">
      <c r="A151" s="144">
        <f t="shared" si="67"/>
        <v>130</v>
      </c>
      <c r="B151" s="17" t="s">
        <v>329</v>
      </c>
      <c r="C151" s="36">
        <f>+'CFIT Schedules'!E150</f>
        <v>296618.18</v>
      </c>
      <c r="D151" s="42">
        <f t="shared" si="89"/>
        <v>-62290</v>
      </c>
      <c r="E151" s="36">
        <v>0</v>
      </c>
      <c r="F151" s="36">
        <f t="shared" si="105"/>
        <v>-62290</v>
      </c>
      <c r="G151" s="27">
        <f>ROUND('CFIT Schedules'!F150*-0.35,0)</f>
        <v>0</v>
      </c>
      <c r="H151" s="27">
        <f t="shared" si="106"/>
        <v>-62290</v>
      </c>
      <c r="I151" s="27">
        <f>ROUND('CFIT Schedules'!H150*-0.21,0)</f>
        <v>0</v>
      </c>
      <c r="J151" s="27">
        <f t="shared" si="107"/>
        <v>-62290</v>
      </c>
      <c r="K151" s="51">
        <f t="shared" si="109"/>
        <v>0.98499999999999999</v>
      </c>
      <c r="L151" s="42">
        <f t="shared" si="108"/>
        <v>-61356</v>
      </c>
      <c r="M151" s="18" t="str">
        <f>'CFIT Schedules'!L150</f>
        <v>GROSS PLT</v>
      </c>
    </row>
    <row r="152" spans="1:13" x14ac:dyDescent="0.2">
      <c r="A152" s="144">
        <f t="shared" si="67"/>
        <v>131</v>
      </c>
      <c r="B152" s="17" t="s">
        <v>330</v>
      </c>
      <c r="C152" s="36">
        <f>+'CFIT Schedules'!E151</f>
        <v>0</v>
      </c>
      <c r="D152" s="42">
        <f t="shared" ref="D152:D164" si="110">IF(C152*0.21=0,0,ROUND(C152*-0.21,0))</f>
        <v>0</v>
      </c>
      <c r="E152" s="36">
        <v>0</v>
      </c>
      <c r="F152" s="36">
        <f t="shared" si="105"/>
        <v>0</v>
      </c>
      <c r="G152" s="27">
        <f>ROUND('CFIT Schedules'!F151*-0.35,0)</f>
        <v>0</v>
      </c>
      <c r="H152" s="27">
        <f t="shared" si="106"/>
        <v>0</v>
      </c>
      <c r="I152" s="27">
        <f>ROUND('CFIT Schedules'!H151*-0.21,0)</f>
        <v>0</v>
      </c>
      <c r="J152" s="27">
        <f t="shared" si="107"/>
        <v>0</v>
      </c>
      <c r="K152" s="51">
        <f t="shared" si="109"/>
        <v>0</v>
      </c>
      <c r="L152" s="42">
        <f t="shared" si="108"/>
        <v>0</v>
      </c>
      <c r="M152" s="18" t="str">
        <f>'CFIT Schedules'!L151</f>
        <v>NON-APPLIC</v>
      </c>
    </row>
    <row r="153" spans="1:13" x14ac:dyDescent="0.2">
      <c r="A153" s="144">
        <f t="shared" si="67"/>
        <v>132</v>
      </c>
      <c r="B153" s="17" t="s">
        <v>331</v>
      </c>
      <c r="C153" s="36">
        <f>+'CFIT Schedules'!E152</f>
        <v>0</v>
      </c>
      <c r="D153" s="42">
        <f t="shared" si="110"/>
        <v>0</v>
      </c>
      <c r="E153" s="36">
        <v>0</v>
      </c>
      <c r="F153" s="36">
        <f t="shared" si="105"/>
        <v>0</v>
      </c>
      <c r="G153" s="27">
        <f>ROUND('CFIT Schedules'!F152*-0.35,0)</f>
        <v>0</v>
      </c>
      <c r="H153" s="27">
        <f t="shared" si="106"/>
        <v>0</v>
      </c>
      <c r="I153" s="27">
        <f>ROUND('CFIT Schedules'!H152*-0.21,0)</f>
        <v>0</v>
      </c>
      <c r="J153" s="27">
        <f t="shared" si="107"/>
        <v>0</v>
      </c>
      <c r="K153" s="51">
        <f t="shared" si="109"/>
        <v>0</v>
      </c>
      <c r="L153" s="42">
        <f t="shared" si="108"/>
        <v>0</v>
      </c>
      <c r="M153" s="18" t="str">
        <f>'CFIT Schedules'!L152</f>
        <v>NON-APPLIC</v>
      </c>
    </row>
    <row r="154" spans="1:13" x14ac:dyDescent="0.2">
      <c r="A154" s="144">
        <f t="shared" si="67"/>
        <v>133</v>
      </c>
      <c r="B154" s="17" t="s">
        <v>332</v>
      </c>
      <c r="C154" s="36">
        <f>+'CFIT Schedules'!E153</f>
        <v>0</v>
      </c>
      <c r="D154" s="42">
        <f t="shared" si="110"/>
        <v>0</v>
      </c>
      <c r="E154" s="36">
        <v>0</v>
      </c>
      <c r="F154" s="36">
        <f t="shared" si="105"/>
        <v>0</v>
      </c>
      <c r="G154" s="27">
        <f>ROUND('CFIT Schedules'!F153*-0.35,0)</f>
        <v>0</v>
      </c>
      <c r="H154" s="27">
        <f t="shared" si="106"/>
        <v>0</v>
      </c>
      <c r="I154" s="27">
        <f>ROUND('CFIT Schedules'!H153*-0.21,0)</f>
        <v>0</v>
      </c>
      <c r="J154" s="27">
        <f t="shared" si="107"/>
        <v>0</v>
      </c>
      <c r="K154" s="51">
        <f t="shared" si="109"/>
        <v>0.98499999999999999</v>
      </c>
      <c r="L154" s="42">
        <f t="shared" si="108"/>
        <v>0</v>
      </c>
      <c r="M154" s="18" t="str">
        <f>'CFIT Schedules'!L153</f>
        <v>GROSS PLT</v>
      </c>
    </row>
    <row r="155" spans="1:13" x14ac:dyDescent="0.2">
      <c r="A155" s="144">
        <f t="shared" si="67"/>
        <v>134</v>
      </c>
      <c r="B155" s="17" t="s">
        <v>333</v>
      </c>
      <c r="C155" s="36">
        <f>+'CFIT Schedules'!E154</f>
        <v>0</v>
      </c>
      <c r="D155" s="42">
        <f t="shared" si="110"/>
        <v>0</v>
      </c>
      <c r="E155" s="36">
        <v>0</v>
      </c>
      <c r="F155" s="36">
        <f t="shared" si="105"/>
        <v>0</v>
      </c>
      <c r="G155" s="27">
        <f>ROUND('CFIT Schedules'!F154*-0.35,0)</f>
        <v>0</v>
      </c>
      <c r="H155" s="27">
        <f t="shared" si="106"/>
        <v>0</v>
      </c>
      <c r="I155" s="27">
        <f>ROUND('CFIT Schedules'!H154*-0.21,0)</f>
        <v>0</v>
      </c>
      <c r="J155" s="27">
        <f t="shared" si="107"/>
        <v>0</v>
      </c>
      <c r="K155" s="51">
        <f>'CFIT Schedules'!J154</f>
        <v>0.98565999999999998</v>
      </c>
      <c r="L155" s="42">
        <f t="shared" si="108"/>
        <v>0</v>
      </c>
      <c r="M155" s="18" t="str">
        <f>'CFIT Schedules'!L154</f>
        <v>SPECIFIC</v>
      </c>
    </row>
    <row r="156" spans="1:13" x14ac:dyDescent="0.2">
      <c r="A156" s="144">
        <f t="shared" si="67"/>
        <v>135</v>
      </c>
      <c r="B156" s="17" t="s">
        <v>334</v>
      </c>
      <c r="C156" s="36">
        <f>+'CFIT Schedules'!E155</f>
        <v>0</v>
      </c>
      <c r="D156" s="42">
        <f t="shared" si="110"/>
        <v>0</v>
      </c>
      <c r="E156" s="36">
        <v>0</v>
      </c>
      <c r="F156" s="36">
        <f t="shared" si="105"/>
        <v>0</v>
      </c>
      <c r="G156" s="27">
        <f>ROUND('CFIT Schedules'!F155*-0.35,0)</f>
        <v>0</v>
      </c>
      <c r="H156" s="27">
        <f t="shared" si="106"/>
        <v>0</v>
      </c>
      <c r="I156" s="27">
        <f>ROUND('CFIT Schedules'!H155*-0.21,0)</f>
        <v>0</v>
      </c>
      <c r="J156" s="27">
        <f t="shared" si="107"/>
        <v>0</v>
      </c>
      <c r="K156" s="51">
        <f t="shared" ref="K156:K171" si="111">VLOOKUP(M156,$C$300:$D$314,2,FALSE)</f>
        <v>0.98499999999999999</v>
      </c>
      <c r="L156" s="42">
        <f t="shared" si="108"/>
        <v>0</v>
      </c>
      <c r="M156" s="18" t="str">
        <f>'CFIT Schedules'!L155</f>
        <v>GROSS PLT</v>
      </c>
    </row>
    <row r="157" spans="1:13" x14ac:dyDescent="0.2">
      <c r="A157" s="144">
        <f t="shared" si="67"/>
        <v>136</v>
      </c>
      <c r="B157" s="17" t="s">
        <v>335</v>
      </c>
      <c r="C157" s="36">
        <f>+'CFIT Schedules'!E156</f>
        <v>0</v>
      </c>
      <c r="D157" s="42">
        <f t="shared" si="110"/>
        <v>0</v>
      </c>
      <c r="E157" s="36">
        <v>0</v>
      </c>
      <c r="F157" s="36">
        <f t="shared" si="105"/>
        <v>0</v>
      </c>
      <c r="G157" s="27">
        <f>ROUND('CFIT Schedules'!F156*-0.35,0)</f>
        <v>0</v>
      </c>
      <c r="H157" s="27">
        <f t="shared" si="106"/>
        <v>0</v>
      </c>
      <c r="I157" s="27">
        <f>ROUND('CFIT Schedules'!H156*-0.21,0)</f>
        <v>0</v>
      </c>
      <c r="J157" s="27">
        <f t="shared" si="107"/>
        <v>0</v>
      </c>
      <c r="K157" s="51">
        <f t="shared" si="111"/>
        <v>0</v>
      </c>
      <c r="L157" s="42">
        <f t="shared" si="108"/>
        <v>0</v>
      </c>
      <c r="M157" s="18" t="str">
        <f>'CFIT Schedules'!L156</f>
        <v>NON-APPLIC</v>
      </c>
    </row>
    <row r="158" spans="1:13" x14ac:dyDescent="0.2">
      <c r="A158" s="144">
        <f t="shared" si="67"/>
        <v>137</v>
      </c>
      <c r="B158" s="17" t="s">
        <v>336</v>
      </c>
      <c r="C158" s="36">
        <f>+'CFIT Schedules'!E157</f>
        <v>0</v>
      </c>
      <c r="D158" s="42">
        <f t="shared" si="110"/>
        <v>0</v>
      </c>
      <c r="E158" s="36">
        <v>0</v>
      </c>
      <c r="F158" s="36">
        <f t="shared" si="105"/>
        <v>0</v>
      </c>
      <c r="G158" s="27">
        <f>ROUND('CFIT Schedules'!F157*-0.35,0)</f>
        <v>0</v>
      </c>
      <c r="H158" s="27">
        <f t="shared" si="106"/>
        <v>0</v>
      </c>
      <c r="I158" s="27">
        <f>ROUND('CFIT Schedules'!H157*-0.21,0)</f>
        <v>0</v>
      </c>
      <c r="J158" s="27">
        <f t="shared" si="107"/>
        <v>0</v>
      </c>
      <c r="K158" s="51">
        <f t="shared" si="111"/>
        <v>0</v>
      </c>
      <c r="L158" s="42">
        <f t="shared" si="108"/>
        <v>0</v>
      </c>
      <c r="M158" s="18" t="str">
        <f>'CFIT Schedules'!L157</f>
        <v>NON-APPLIC</v>
      </c>
    </row>
    <row r="159" spans="1:13" x14ac:dyDescent="0.2">
      <c r="A159" s="144">
        <f t="shared" si="67"/>
        <v>138</v>
      </c>
      <c r="B159" s="17" t="s">
        <v>337</v>
      </c>
      <c r="C159" s="36">
        <f>+'CFIT Schedules'!E158</f>
        <v>21993.439999999999</v>
      </c>
      <c r="D159" s="42">
        <f t="shared" si="110"/>
        <v>-4619</v>
      </c>
      <c r="E159" s="36">
        <v>0</v>
      </c>
      <c r="F159" s="36">
        <f t="shared" si="105"/>
        <v>-4619</v>
      </c>
      <c r="G159" s="27">
        <f>ROUND('CFIT Schedules'!F158*-0.35,0)</f>
        <v>0</v>
      </c>
      <c r="H159" s="27">
        <f t="shared" si="106"/>
        <v>-4619</v>
      </c>
      <c r="I159" s="27">
        <f>ROUND('CFIT Schedules'!H158*-0.21,0)</f>
        <v>0</v>
      </c>
      <c r="J159" s="27">
        <f t="shared" si="107"/>
        <v>-4619</v>
      </c>
      <c r="K159" s="51">
        <f t="shared" si="111"/>
        <v>0</v>
      </c>
      <c r="L159" s="42">
        <f t="shared" si="108"/>
        <v>0</v>
      </c>
      <c r="M159" s="18" t="str">
        <f>'CFIT Schedules'!L158</f>
        <v>NON-APPLIC</v>
      </c>
    </row>
    <row r="160" spans="1:13" x14ac:dyDescent="0.2">
      <c r="A160" s="144">
        <f t="shared" ref="A160:A223" si="112">A159+1</f>
        <v>139</v>
      </c>
      <c r="B160" s="17" t="s">
        <v>338</v>
      </c>
      <c r="C160" s="36">
        <f>+'CFIT Schedules'!E159</f>
        <v>-46239.53</v>
      </c>
      <c r="D160" s="42">
        <f t="shared" si="110"/>
        <v>9710</v>
      </c>
      <c r="E160" s="36">
        <v>0</v>
      </c>
      <c r="F160" s="36">
        <f t="shared" si="105"/>
        <v>9710</v>
      </c>
      <c r="G160" s="27">
        <f>ROUND('CFIT Schedules'!F159*-0.35,0)</f>
        <v>0</v>
      </c>
      <c r="H160" s="27">
        <f t="shared" si="106"/>
        <v>9710</v>
      </c>
      <c r="I160" s="27">
        <f>ROUND('CFIT Schedules'!H159*-0.21,0)</f>
        <v>0</v>
      </c>
      <c r="J160" s="27">
        <f t="shared" si="107"/>
        <v>9710</v>
      </c>
      <c r="K160" s="51">
        <f t="shared" si="111"/>
        <v>0</v>
      </c>
      <c r="L160" s="42">
        <f t="shared" si="108"/>
        <v>0</v>
      </c>
      <c r="M160" s="18" t="str">
        <f>'CFIT Schedules'!L159</f>
        <v>NON-APPLIC</v>
      </c>
    </row>
    <row r="161" spans="1:13" x14ac:dyDescent="0.2">
      <c r="A161" s="144">
        <f t="shared" si="112"/>
        <v>140</v>
      </c>
      <c r="B161" s="17" t="s">
        <v>339</v>
      </c>
      <c r="C161" s="36">
        <f>+'CFIT Schedules'!E160</f>
        <v>-148999.98000000001</v>
      </c>
      <c r="D161" s="42">
        <f t="shared" si="110"/>
        <v>31290</v>
      </c>
      <c r="E161" s="36">
        <v>0</v>
      </c>
      <c r="F161" s="36">
        <f t="shared" si="105"/>
        <v>31290</v>
      </c>
      <c r="G161" s="27">
        <f>ROUND('CFIT Schedules'!F160*-0.35,0)</f>
        <v>0</v>
      </c>
      <c r="H161" s="27">
        <f t="shared" si="106"/>
        <v>31290</v>
      </c>
      <c r="I161" s="27">
        <f>ROUND('CFIT Schedules'!H160*-0.21,0)</f>
        <v>0</v>
      </c>
      <c r="J161" s="27">
        <f t="shared" si="107"/>
        <v>31290</v>
      </c>
      <c r="K161" s="51">
        <f t="shared" si="111"/>
        <v>1</v>
      </c>
      <c r="L161" s="42">
        <f t="shared" si="108"/>
        <v>31290</v>
      </c>
      <c r="M161" s="18" t="str">
        <f>'CFIT Schedules'!L160</f>
        <v>SPECIFIC</v>
      </c>
    </row>
    <row r="162" spans="1:13" x14ac:dyDescent="0.2">
      <c r="A162" s="144">
        <f t="shared" si="112"/>
        <v>141</v>
      </c>
      <c r="B162" s="17" t="s">
        <v>340</v>
      </c>
      <c r="C162" s="36">
        <f>+'CFIT Schedules'!E161</f>
        <v>-88267.77</v>
      </c>
      <c r="D162" s="42">
        <f t="shared" si="110"/>
        <v>18536</v>
      </c>
      <c r="E162" s="36">
        <v>0</v>
      </c>
      <c r="F162" s="36">
        <f t="shared" si="105"/>
        <v>18536</v>
      </c>
      <c r="G162" s="27">
        <f>ROUND('CFIT Schedules'!F161*-0.35,0)</f>
        <v>0</v>
      </c>
      <c r="H162" s="27">
        <f t="shared" si="106"/>
        <v>18536</v>
      </c>
      <c r="I162" s="27">
        <f>ROUND('CFIT Schedules'!H161*-0.21,0)</f>
        <v>0</v>
      </c>
      <c r="J162" s="27">
        <f t="shared" si="107"/>
        <v>18536</v>
      </c>
      <c r="K162" s="51">
        <f t="shared" si="111"/>
        <v>1</v>
      </c>
      <c r="L162" s="42">
        <f t="shared" si="108"/>
        <v>18536</v>
      </c>
      <c r="M162" s="18" t="str">
        <f>'CFIT Schedules'!L161</f>
        <v>SPECIFIC</v>
      </c>
    </row>
    <row r="163" spans="1:13" x14ac:dyDescent="0.2">
      <c r="A163" s="144">
        <f t="shared" si="112"/>
        <v>142</v>
      </c>
      <c r="B163" s="17" t="s">
        <v>341</v>
      </c>
      <c r="C163" s="36">
        <f>+'CFIT Schedules'!E162</f>
        <v>0</v>
      </c>
      <c r="D163" s="42">
        <f t="shared" si="110"/>
        <v>0</v>
      </c>
      <c r="E163" s="36">
        <v>0</v>
      </c>
      <c r="F163" s="36">
        <f t="shared" si="105"/>
        <v>0</v>
      </c>
      <c r="G163" s="27">
        <f>ROUND('CFIT Schedules'!F162*-0.35,0)</f>
        <v>0</v>
      </c>
      <c r="H163" s="27">
        <f t="shared" si="106"/>
        <v>0</v>
      </c>
      <c r="I163" s="27">
        <f>ROUND('CFIT Schedules'!H162*-0.21,0)</f>
        <v>0</v>
      </c>
      <c r="J163" s="27">
        <f t="shared" si="107"/>
        <v>0</v>
      </c>
      <c r="K163" s="51">
        <f t="shared" si="111"/>
        <v>1</v>
      </c>
      <c r="L163" s="42">
        <f t="shared" si="108"/>
        <v>0</v>
      </c>
      <c r="M163" s="18" t="str">
        <f>'CFIT Schedules'!L162</f>
        <v>SPECIFIC</v>
      </c>
    </row>
    <row r="164" spans="1:13" x14ac:dyDescent="0.2">
      <c r="A164" s="144">
        <f t="shared" si="112"/>
        <v>143</v>
      </c>
      <c r="B164" s="17" t="s">
        <v>342</v>
      </c>
      <c r="C164" s="36">
        <f>+'CFIT Schedules'!E163</f>
        <v>0</v>
      </c>
      <c r="D164" s="42">
        <f t="shared" si="110"/>
        <v>0</v>
      </c>
      <c r="E164" s="36">
        <v>0</v>
      </c>
      <c r="F164" s="36">
        <f t="shared" si="105"/>
        <v>0</v>
      </c>
      <c r="G164" s="27">
        <f>ROUND('CFIT Schedules'!F163*-0.35,0)</f>
        <v>0</v>
      </c>
      <c r="H164" s="27">
        <f t="shared" si="106"/>
        <v>0</v>
      </c>
      <c r="I164" s="27">
        <f>ROUND('CFIT Schedules'!H163*-0.21,0)</f>
        <v>0</v>
      </c>
      <c r="J164" s="27">
        <f t="shared" si="107"/>
        <v>0</v>
      </c>
      <c r="K164" s="51">
        <f t="shared" si="111"/>
        <v>1</v>
      </c>
      <c r="L164" s="42">
        <f t="shared" si="108"/>
        <v>0</v>
      </c>
      <c r="M164" s="18" t="str">
        <f>'CFIT Schedules'!L163</f>
        <v>SPECIFIC</v>
      </c>
    </row>
    <row r="165" spans="1:13" x14ac:dyDescent="0.2">
      <c r="A165" s="144">
        <f t="shared" si="112"/>
        <v>144</v>
      </c>
      <c r="B165" s="122" t="s">
        <v>368</v>
      </c>
      <c r="C165" s="36">
        <f>'CFIT Schedules'!E164</f>
        <v>628215.64</v>
      </c>
      <c r="D165" s="42">
        <f t="shared" ref="D165:D170" si="113">IF(C165*0.21=0,0,ROUND(C165*-0.21,0))</f>
        <v>-131925</v>
      </c>
      <c r="E165" s="36">
        <v>0</v>
      </c>
      <c r="F165" s="36">
        <f t="shared" ref="F165:F170" si="114">SUM(D165:E165)</f>
        <v>-131925</v>
      </c>
      <c r="G165" s="27">
        <f>ROUND('CFIT Schedules'!F164*-0.35,0)</f>
        <v>0</v>
      </c>
      <c r="H165" s="27">
        <f t="shared" ref="H165:H170" si="115">+F165+G165</f>
        <v>-131925</v>
      </c>
      <c r="I165" s="27">
        <f>ROUND('CFIT Schedules'!H164*-0.21,0)</f>
        <v>0</v>
      </c>
      <c r="J165" s="27">
        <f t="shared" ref="J165:J170" si="116">+H165+I165</f>
        <v>-131925</v>
      </c>
      <c r="K165" s="51">
        <f t="shared" si="111"/>
        <v>0.98499999999999999</v>
      </c>
      <c r="L165" s="42">
        <f t="shared" ref="L165:L170" si="117">IF(J165*K165=0,0, ROUND(J165*K165,0))</f>
        <v>-129946</v>
      </c>
      <c r="M165" s="137" t="str">
        <f>'CFIT Schedules'!L164</f>
        <v>GROSS PLT</v>
      </c>
    </row>
    <row r="166" spans="1:13" x14ac:dyDescent="0.2">
      <c r="A166" s="144">
        <f t="shared" si="112"/>
        <v>145</v>
      </c>
      <c r="B166" s="122" t="s">
        <v>369</v>
      </c>
      <c r="C166" s="36">
        <f>'CFIT Schedules'!E165</f>
        <v>-1316579.58</v>
      </c>
      <c r="D166" s="42">
        <f t="shared" si="113"/>
        <v>276482</v>
      </c>
      <c r="E166" s="36">
        <v>0</v>
      </c>
      <c r="F166" s="36">
        <f t="shared" si="114"/>
        <v>276482</v>
      </c>
      <c r="G166" s="27">
        <f>ROUND('CFIT Schedules'!F165*-0.35,0)</f>
        <v>0</v>
      </c>
      <c r="H166" s="27">
        <f t="shared" si="115"/>
        <v>276482</v>
      </c>
      <c r="I166" s="27">
        <f>ROUND('CFIT Schedules'!H165*-0.21,0)</f>
        <v>0</v>
      </c>
      <c r="J166" s="27">
        <f t="shared" si="116"/>
        <v>276482</v>
      </c>
      <c r="K166" s="51">
        <f t="shared" si="111"/>
        <v>0.98499999999999999</v>
      </c>
      <c r="L166" s="42">
        <f t="shared" si="117"/>
        <v>272335</v>
      </c>
      <c r="M166" s="137" t="str">
        <f>'CFIT Schedules'!L165</f>
        <v>GROSS PLT</v>
      </c>
    </row>
    <row r="167" spans="1:13" x14ac:dyDescent="0.2">
      <c r="A167" s="144">
        <f t="shared" si="112"/>
        <v>146</v>
      </c>
      <c r="B167" s="122" t="s">
        <v>370</v>
      </c>
      <c r="C167" s="36">
        <f>'CFIT Schedules'!E166</f>
        <v>-15000000</v>
      </c>
      <c r="D167" s="42">
        <f t="shared" si="113"/>
        <v>3150000</v>
      </c>
      <c r="E167" s="36">
        <v>0</v>
      </c>
      <c r="F167" s="36">
        <f t="shared" si="114"/>
        <v>3150000</v>
      </c>
      <c r="G167" s="27">
        <f>ROUND('CFIT Schedules'!F166*-0.35,0)</f>
        <v>0</v>
      </c>
      <c r="H167" s="27">
        <f t="shared" si="115"/>
        <v>3150000</v>
      </c>
      <c r="I167" s="27">
        <f>ROUND('CFIT Schedules'!H166*-0.21,0)</f>
        <v>0</v>
      </c>
      <c r="J167" s="27">
        <f t="shared" si="116"/>
        <v>3150000</v>
      </c>
      <c r="K167" s="51">
        <f t="shared" si="111"/>
        <v>0.98499999999999999</v>
      </c>
      <c r="L167" s="42">
        <f t="shared" si="117"/>
        <v>3102750</v>
      </c>
      <c r="M167" s="137" t="str">
        <f>'CFIT Schedules'!L166</f>
        <v>GROSS PLT</v>
      </c>
    </row>
    <row r="168" spans="1:13" x14ac:dyDescent="0.2">
      <c r="A168" s="144">
        <f t="shared" si="112"/>
        <v>147</v>
      </c>
      <c r="B168" s="122" t="s">
        <v>371</v>
      </c>
      <c r="C168" s="36">
        <f>'CFIT Schedules'!E167</f>
        <v>0</v>
      </c>
      <c r="D168" s="42">
        <f t="shared" si="113"/>
        <v>0</v>
      </c>
      <c r="E168" s="36">
        <v>0</v>
      </c>
      <c r="F168" s="36">
        <f t="shared" si="114"/>
        <v>0</v>
      </c>
      <c r="G168" s="27">
        <f>ROUND('CFIT Schedules'!F167*-0.35,0)</f>
        <v>0</v>
      </c>
      <c r="H168" s="27">
        <f t="shared" si="115"/>
        <v>0</v>
      </c>
      <c r="I168" s="27">
        <f>ROUND('CFIT Schedules'!H167*-0.21,0)</f>
        <v>0</v>
      </c>
      <c r="J168" s="27">
        <f t="shared" si="116"/>
        <v>0</v>
      </c>
      <c r="K168" s="51">
        <f t="shared" si="111"/>
        <v>0.98499999999999999</v>
      </c>
      <c r="L168" s="42">
        <f t="shared" si="117"/>
        <v>0</v>
      </c>
      <c r="M168" s="137" t="str">
        <f>'CFIT Schedules'!L167</f>
        <v>GROSS PLT</v>
      </c>
    </row>
    <row r="169" spans="1:13" x14ac:dyDescent="0.2">
      <c r="A169" s="144">
        <f t="shared" si="112"/>
        <v>148</v>
      </c>
      <c r="B169" s="122" t="s">
        <v>372</v>
      </c>
      <c r="C169" s="36">
        <f>'CFIT Schedules'!E168</f>
        <v>-268516.77</v>
      </c>
      <c r="D169" s="42">
        <f t="shared" si="113"/>
        <v>56389</v>
      </c>
      <c r="E169" s="36">
        <v>0</v>
      </c>
      <c r="F169" s="36">
        <f t="shared" si="114"/>
        <v>56389</v>
      </c>
      <c r="G169" s="27">
        <f>ROUND('CFIT Schedules'!F168*-0.35,0)</f>
        <v>0</v>
      </c>
      <c r="H169" s="27">
        <f t="shared" si="115"/>
        <v>56389</v>
      </c>
      <c r="I169" s="27">
        <f>ROUND('CFIT Schedules'!H168*-0.21,0)</f>
        <v>0</v>
      </c>
      <c r="J169" s="27">
        <f t="shared" si="116"/>
        <v>56389</v>
      </c>
      <c r="K169" s="51">
        <f t="shared" si="111"/>
        <v>0.98499999999999999</v>
      </c>
      <c r="L169" s="42">
        <f t="shared" si="117"/>
        <v>55543</v>
      </c>
      <c r="M169" s="137" t="str">
        <f>'CFIT Schedules'!L168</f>
        <v>GROSS PLT</v>
      </c>
    </row>
    <row r="170" spans="1:13" x14ac:dyDescent="0.2">
      <c r="A170" s="144">
        <f t="shared" si="112"/>
        <v>149</v>
      </c>
      <c r="B170" s="122" t="s">
        <v>373</v>
      </c>
      <c r="C170" s="36">
        <f>'CFIT Schedules'!E169</f>
        <v>229203.13</v>
      </c>
      <c r="D170" s="42">
        <f t="shared" si="113"/>
        <v>-48133</v>
      </c>
      <c r="E170" s="36">
        <v>0</v>
      </c>
      <c r="F170" s="36">
        <f t="shared" si="114"/>
        <v>-48133</v>
      </c>
      <c r="G170" s="27">
        <f>ROUND('CFIT Schedules'!F169*-0.35,0)</f>
        <v>0</v>
      </c>
      <c r="H170" s="27">
        <f t="shared" si="115"/>
        <v>-48133</v>
      </c>
      <c r="I170" s="27">
        <f>ROUND('CFIT Schedules'!H169*-0.21,0)</f>
        <v>0</v>
      </c>
      <c r="J170" s="27">
        <f t="shared" si="116"/>
        <v>-48133</v>
      </c>
      <c r="K170" s="51">
        <f t="shared" si="111"/>
        <v>0.98499999999999999</v>
      </c>
      <c r="L170" s="42">
        <f t="shared" si="117"/>
        <v>-47411</v>
      </c>
      <c r="M170" s="137" t="str">
        <f>'CFIT Schedules'!L169</f>
        <v>GROSS PLT</v>
      </c>
    </row>
    <row r="171" spans="1:13" x14ac:dyDescent="0.2">
      <c r="A171" s="144">
        <f t="shared" si="112"/>
        <v>150</v>
      </c>
      <c r="B171" s="17" t="s">
        <v>343</v>
      </c>
      <c r="C171" s="36">
        <f>+'CFIT Schedules'!E170</f>
        <v>0</v>
      </c>
      <c r="D171" s="42">
        <f>IF(C171*0.35=0,0,ROUND(C171*-0.21,0))</f>
        <v>0</v>
      </c>
      <c r="E171" s="36">
        <v>0</v>
      </c>
      <c r="F171" s="36">
        <f t="shared" si="105"/>
        <v>0</v>
      </c>
      <c r="G171" s="27">
        <f>ROUND('CFIT Schedules'!F170*-0.35,0)</f>
        <v>0</v>
      </c>
      <c r="H171" s="27">
        <f t="shared" si="106"/>
        <v>0</v>
      </c>
      <c r="I171" s="27">
        <f>ROUND('CFIT Schedules'!H170*-0.21,0)</f>
        <v>0</v>
      </c>
      <c r="J171" s="27">
        <f t="shared" si="107"/>
        <v>0</v>
      </c>
      <c r="K171" s="51">
        <f t="shared" si="111"/>
        <v>0.98499999999999999</v>
      </c>
      <c r="L171" s="42">
        <f t="shared" si="108"/>
        <v>0</v>
      </c>
      <c r="M171" s="18" t="str">
        <f>'CFIT Schedules'!L170</f>
        <v>DEMAND</v>
      </c>
    </row>
    <row r="172" spans="1:13" x14ac:dyDescent="0.2">
      <c r="A172" s="144">
        <f t="shared" si="112"/>
        <v>151</v>
      </c>
      <c r="B172" s="56"/>
      <c r="C172" s="36"/>
      <c r="D172" s="42"/>
      <c r="E172" s="36"/>
      <c r="F172" s="36"/>
      <c r="G172" s="27"/>
      <c r="H172" s="27"/>
      <c r="I172" s="27"/>
      <c r="J172" s="27"/>
      <c r="K172" s="51"/>
      <c r="L172" s="42"/>
      <c r="M172" s="18"/>
    </row>
    <row r="173" spans="1:13" x14ac:dyDescent="0.2">
      <c r="A173" s="144">
        <f t="shared" si="112"/>
        <v>152</v>
      </c>
      <c r="B173" s="75" t="s">
        <v>63</v>
      </c>
      <c r="C173" s="78">
        <f t="shared" ref="C173:J173" si="118">SUM(C129:C172)</f>
        <v>-30574636.300000004</v>
      </c>
      <c r="D173" s="78">
        <f t="shared" si="118"/>
        <v>6420675</v>
      </c>
      <c r="E173" s="78">
        <f t="shared" si="118"/>
        <v>0</v>
      </c>
      <c r="F173" s="78">
        <f t="shared" si="118"/>
        <v>6420675</v>
      </c>
      <c r="G173" s="78">
        <f t="shared" si="118"/>
        <v>0</v>
      </c>
      <c r="H173" s="78">
        <f t="shared" si="118"/>
        <v>6420675</v>
      </c>
      <c r="I173" s="78">
        <f t="shared" si="118"/>
        <v>0</v>
      </c>
      <c r="J173" s="78">
        <f t="shared" si="118"/>
        <v>6420675</v>
      </c>
      <c r="K173" s="24"/>
      <c r="L173" s="78">
        <f>SUM(L129:L172)</f>
        <v>6295921</v>
      </c>
    </row>
    <row r="174" spans="1:13" x14ac:dyDescent="0.2">
      <c r="A174" s="144">
        <f t="shared" si="112"/>
        <v>153</v>
      </c>
      <c r="B174" s="17" t="s">
        <v>0</v>
      </c>
      <c r="C174" s="36"/>
      <c r="D174" s="36"/>
      <c r="K174" s="81"/>
    </row>
    <row r="175" spans="1:13" x14ac:dyDescent="0.2">
      <c r="A175" s="144">
        <f t="shared" si="112"/>
        <v>154</v>
      </c>
      <c r="B175" s="75" t="s">
        <v>64</v>
      </c>
      <c r="C175" s="36"/>
      <c r="D175" s="36"/>
      <c r="K175" s="81"/>
    </row>
    <row r="176" spans="1:13" x14ac:dyDescent="0.2">
      <c r="A176" s="144">
        <f t="shared" si="112"/>
        <v>155</v>
      </c>
      <c r="B176" s="17" t="s">
        <v>355</v>
      </c>
      <c r="C176" s="37">
        <f>+'CFIT Schedules'!E175</f>
        <v>0</v>
      </c>
      <c r="D176" s="42">
        <f>IF(C176*0.35=0,0,ROUND(C176*-0.21,0))</f>
        <v>0</v>
      </c>
      <c r="E176" s="37">
        <v>0</v>
      </c>
      <c r="F176" s="37">
        <f>SUM(D176:E176)</f>
        <v>0</v>
      </c>
      <c r="G176" s="27">
        <f>ROUND('CFIT Schedules'!F175*-0.35,0)</f>
        <v>0</v>
      </c>
      <c r="H176" s="27">
        <f>+F176+G176</f>
        <v>0</v>
      </c>
      <c r="I176" s="27">
        <f>ROUND('CFIT Schedules'!H175*-0.35,0)</f>
        <v>0</v>
      </c>
      <c r="J176" s="37">
        <f>+H176+I176</f>
        <v>0</v>
      </c>
      <c r="K176" s="51">
        <f>VLOOKUP(M176,$C$300:$D$314,2,FALSE)</f>
        <v>0</v>
      </c>
      <c r="L176" s="42">
        <f>IF(J176*K176=0,0, ROUND(J176*K176,0))</f>
        <v>0</v>
      </c>
      <c r="M176" s="18" t="str">
        <f>'CFIT Schedules'!L175</f>
        <v>NON-APPLIC</v>
      </c>
    </row>
    <row r="177" spans="1:13" x14ac:dyDescent="0.2">
      <c r="A177" s="144">
        <f t="shared" si="112"/>
        <v>156</v>
      </c>
      <c r="B177" s="75" t="s">
        <v>65</v>
      </c>
      <c r="C177" s="78">
        <f>+C176</f>
        <v>0</v>
      </c>
      <c r="D177" s="99">
        <f>+D176</f>
        <v>0</v>
      </c>
      <c r="E177" s="78">
        <f t="shared" ref="E177:L177" si="119">+E176</f>
        <v>0</v>
      </c>
      <c r="F177" s="78">
        <f t="shared" si="119"/>
        <v>0</v>
      </c>
      <c r="G177" s="78">
        <f t="shared" ref="G177" si="120">+G176</f>
        <v>0</v>
      </c>
      <c r="H177" s="78">
        <f t="shared" si="119"/>
        <v>0</v>
      </c>
      <c r="I177" s="78">
        <f t="shared" si="119"/>
        <v>0</v>
      </c>
      <c r="J177" s="78">
        <f t="shared" si="119"/>
        <v>0</v>
      </c>
      <c r="K177" s="24"/>
      <c r="L177" s="99">
        <f t="shared" si="119"/>
        <v>0</v>
      </c>
    </row>
    <row r="178" spans="1:13" x14ac:dyDescent="0.2">
      <c r="A178" s="144">
        <f t="shared" si="112"/>
        <v>157</v>
      </c>
      <c r="B178" s="17" t="s">
        <v>0</v>
      </c>
      <c r="C178" s="36"/>
      <c r="D178" s="36"/>
      <c r="K178" s="81"/>
    </row>
    <row r="179" spans="1:13" x14ac:dyDescent="0.2">
      <c r="A179" s="144">
        <f t="shared" si="112"/>
        <v>158</v>
      </c>
      <c r="B179" s="75" t="s">
        <v>66</v>
      </c>
      <c r="C179" s="36"/>
      <c r="D179" s="36"/>
      <c r="K179" s="81"/>
    </row>
    <row r="180" spans="1:13" x14ac:dyDescent="0.2">
      <c r="A180" s="144">
        <f t="shared" si="112"/>
        <v>159</v>
      </c>
      <c r="B180" s="17" t="s">
        <v>67</v>
      </c>
      <c r="C180" s="36">
        <f>+'CFIT Schedules'!E179</f>
        <v>33651</v>
      </c>
      <c r="D180" s="42">
        <f t="shared" ref="D180:D185" si="121">IF(C180*0.21=0,0,ROUND(C180*-0.21,0))</f>
        <v>-7067</v>
      </c>
      <c r="E180" s="36">
        <v>0</v>
      </c>
      <c r="F180" s="36">
        <f t="shared" ref="F180:F205" si="122">SUM(D180:E180)</f>
        <v>-7067</v>
      </c>
      <c r="G180" s="27">
        <f>ROUND('CFIT Schedules'!F179*-0.35,0)</f>
        <v>0</v>
      </c>
      <c r="H180" s="27">
        <f t="shared" ref="H180:H223" si="123">+F180+G180</f>
        <v>-7067</v>
      </c>
      <c r="I180" s="27">
        <f>ROUND('CFIT Schedules'!H179*-0.21,0)</f>
        <v>0</v>
      </c>
      <c r="J180" s="27">
        <f t="shared" ref="J180:J205" si="124">+H180+I180</f>
        <v>-7067</v>
      </c>
      <c r="K180" s="51">
        <f t="shared" ref="K180:K190" si="125">VLOOKUP(M180,$C$300:$D$314,2,FALSE)</f>
        <v>0.98499999999999999</v>
      </c>
      <c r="L180" s="42">
        <f t="shared" ref="L180:L205" si="126">IF(J180*K180=0,0, ROUND(J180*K180,0))</f>
        <v>-6961</v>
      </c>
      <c r="M180" s="18" t="str">
        <f>'CFIT Schedules'!L179</f>
        <v>GROSS PLT</v>
      </c>
    </row>
    <row r="181" spans="1:13" x14ac:dyDescent="0.2">
      <c r="A181" s="144">
        <f t="shared" si="112"/>
        <v>160</v>
      </c>
      <c r="B181" s="17" t="s">
        <v>68</v>
      </c>
      <c r="C181" s="36">
        <f>+'CFIT Schedules'!E180</f>
        <v>-2500548.98</v>
      </c>
      <c r="D181" s="42">
        <f t="shared" si="121"/>
        <v>525115</v>
      </c>
      <c r="E181" s="36">
        <v>0</v>
      </c>
      <c r="F181" s="36">
        <f t="shared" si="122"/>
        <v>525115</v>
      </c>
      <c r="G181" s="27">
        <f>ROUND('CFIT Schedules'!F180*-0.35,0)</f>
        <v>0</v>
      </c>
      <c r="H181" s="27">
        <f t="shared" si="123"/>
        <v>525115</v>
      </c>
      <c r="I181" s="27">
        <f>ROUND('CFIT Schedules'!H180*-0.21,0)</f>
        <v>0</v>
      </c>
      <c r="J181" s="27">
        <f t="shared" si="124"/>
        <v>525115</v>
      </c>
      <c r="K181" s="51">
        <f t="shared" si="125"/>
        <v>0.99</v>
      </c>
      <c r="L181" s="42">
        <f t="shared" si="126"/>
        <v>519864</v>
      </c>
      <c r="M181" s="18" t="str">
        <f>'CFIT Schedules'!L180</f>
        <v>LABOR</v>
      </c>
    </row>
    <row r="182" spans="1:13" x14ac:dyDescent="0.2">
      <c r="A182" s="144">
        <f t="shared" si="112"/>
        <v>161</v>
      </c>
      <c r="B182" s="56" t="s">
        <v>251</v>
      </c>
      <c r="C182" s="36">
        <f>+'CFIT Schedules'!E181</f>
        <v>-3728444</v>
      </c>
      <c r="D182" s="42">
        <f t="shared" si="121"/>
        <v>782973</v>
      </c>
      <c r="E182" s="36">
        <v>0</v>
      </c>
      <c r="F182" s="36">
        <f>SUM(D182:E182)</f>
        <v>782973</v>
      </c>
      <c r="G182" s="27">
        <f>ROUND('CFIT Schedules'!F181*-0.35,0)</f>
        <v>0</v>
      </c>
      <c r="H182" s="27">
        <f t="shared" si="123"/>
        <v>782973</v>
      </c>
      <c r="I182" s="27">
        <f>ROUND('CFIT Schedules'!H181*-0.21,0)</f>
        <v>0</v>
      </c>
      <c r="J182" s="27">
        <f>+H182+I182</f>
        <v>782973</v>
      </c>
      <c r="K182" s="51">
        <f t="shared" si="125"/>
        <v>0.99</v>
      </c>
      <c r="L182" s="42">
        <f>IF(J182*K182=0,0, ROUND(J182*K182,0))</f>
        <v>775143</v>
      </c>
      <c r="M182" s="18" t="str">
        <f>'CFIT Schedules'!L181</f>
        <v>LABOR</v>
      </c>
    </row>
    <row r="183" spans="1:13" x14ac:dyDescent="0.2">
      <c r="A183" s="144">
        <f t="shared" si="112"/>
        <v>162</v>
      </c>
      <c r="B183" s="17" t="s">
        <v>69</v>
      </c>
      <c r="C183" s="36">
        <f>+'CFIT Schedules'!E182</f>
        <v>294829</v>
      </c>
      <c r="D183" s="42">
        <f t="shared" si="121"/>
        <v>-61914</v>
      </c>
      <c r="E183" s="36">
        <v>0</v>
      </c>
      <c r="F183" s="36">
        <f t="shared" si="122"/>
        <v>-61914</v>
      </c>
      <c r="G183" s="27">
        <f>ROUND('CFIT Schedules'!F182*-0.35,0)</f>
        <v>0</v>
      </c>
      <c r="H183" s="27">
        <f t="shared" si="123"/>
        <v>-61914</v>
      </c>
      <c r="I183" s="27">
        <f>ROUND('CFIT Schedules'!H182*-0.21,0)</f>
        <v>0</v>
      </c>
      <c r="J183" s="27">
        <f t="shared" si="124"/>
        <v>-61914</v>
      </c>
      <c r="K183" s="51">
        <f t="shared" si="125"/>
        <v>0.99</v>
      </c>
      <c r="L183" s="42">
        <f t="shared" si="126"/>
        <v>-61295</v>
      </c>
      <c r="M183" s="18" t="str">
        <f>'CFIT Schedules'!L182</f>
        <v>LABOR</v>
      </c>
    </row>
    <row r="184" spans="1:13" x14ac:dyDescent="0.2">
      <c r="A184" s="144">
        <f t="shared" si="112"/>
        <v>163</v>
      </c>
      <c r="B184" s="17" t="s">
        <v>70</v>
      </c>
      <c r="C184" s="36">
        <f>+'CFIT Schedules'!E183</f>
        <v>1906330.52</v>
      </c>
      <c r="D184" s="42">
        <f t="shared" si="121"/>
        <v>-400329</v>
      </c>
      <c r="E184" s="36">
        <v>0</v>
      </c>
      <c r="F184" s="36">
        <f t="shared" si="122"/>
        <v>-400329</v>
      </c>
      <c r="G184" s="27">
        <f>ROUND('CFIT Schedules'!F183*-0.35,0)</f>
        <v>0</v>
      </c>
      <c r="H184" s="27">
        <f t="shared" si="123"/>
        <v>-400329</v>
      </c>
      <c r="I184" s="27">
        <f>ROUND('CFIT Schedules'!H183*-0.21,0)</f>
        <v>0</v>
      </c>
      <c r="J184" s="27">
        <f t="shared" si="124"/>
        <v>-400329</v>
      </c>
      <c r="K184" s="51">
        <f t="shared" si="125"/>
        <v>0.98499999999999999</v>
      </c>
      <c r="L184" s="42">
        <f t="shared" si="126"/>
        <v>-394324</v>
      </c>
      <c r="M184" s="18" t="str">
        <f>'CFIT Schedules'!L183</f>
        <v>PROD PLT</v>
      </c>
    </row>
    <row r="185" spans="1:13" x14ac:dyDescent="0.2">
      <c r="A185" s="144">
        <f t="shared" si="112"/>
        <v>164</v>
      </c>
      <c r="B185" s="17" t="s">
        <v>312</v>
      </c>
      <c r="C185" s="36">
        <f>+'CFIT Schedules'!E184</f>
        <v>216620.16</v>
      </c>
      <c r="D185" s="42">
        <f t="shared" si="121"/>
        <v>-45490</v>
      </c>
      <c r="E185" s="36">
        <v>0</v>
      </c>
      <c r="F185" s="36">
        <f>SUM(D185:E185)</f>
        <v>-45490</v>
      </c>
      <c r="G185" s="27">
        <f>ROUND('CFIT Schedules'!F184*-0.35,0)</f>
        <v>0</v>
      </c>
      <c r="H185" s="27">
        <f t="shared" si="123"/>
        <v>-45490</v>
      </c>
      <c r="I185" s="27">
        <f>ROUND('CFIT Schedules'!H184*-0.21,0)</f>
        <v>0</v>
      </c>
      <c r="J185" s="27">
        <f>+H185+I185</f>
        <v>-45490</v>
      </c>
      <c r="K185" s="51">
        <f t="shared" si="125"/>
        <v>0.99</v>
      </c>
      <c r="L185" s="42">
        <f>IF(J185*K185=0,0, ROUND(J185*K185,0))</f>
        <v>-45035</v>
      </c>
      <c r="M185" s="18" t="str">
        <f>'CFIT Schedules'!L184</f>
        <v>LABOR</v>
      </c>
    </row>
    <row r="186" spans="1:13" x14ac:dyDescent="0.2">
      <c r="A186" s="144">
        <f t="shared" si="112"/>
        <v>165</v>
      </c>
      <c r="B186" s="56" t="s">
        <v>252</v>
      </c>
      <c r="C186" s="36">
        <f>+'CFIT Schedules'!E185</f>
        <v>0</v>
      </c>
      <c r="D186" s="42">
        <v>0</v>
      </c>
      <c r="E186" s="36">
        <v>0</v>
      </c>
      <c r="F186" s="36">
        <f>SUM(D186:E186)</f>
        <v>0</v>
      </c>
      <c r="G186" s="27">
        <v>0</v>
      </c>
      <c r="H186" s="27">
        <f t="shared" si="123"/>
        <v>0</v>
      </c>
      <c r="I186" s="27">
        <v>0</v>
      </c>
      <c r="J186" s="27">
        <f>+H186+I186</f>
        <v>0</v>
      </c>
      <c r="K186" s="51">
        <f t="shared" si="125"/>
        <v>0.99</v>
      </c>
      <c r="L186" s="42">
        <f>IF(J186*K186=0,0, ROUND(J186*K186,0))</f>
        <v>0</v>
      </c>
      <c r="M186" s="18" t="str">
        <f>'CFIT Schedules'!L185</f>
        <v>LABOR</v>
      </c>
    </row>
    <row r="187" spans="1:13" x14ac:dyDescent="0.2">
      <c r="A187" s="144">
        <f t="shared" si="112"/>
        <v>166</v>
      </c>
      <c r="B187" s="56" t="s">
        <v>253</v>
      </c>
      <c r="C187" s="36">
        <f>+'CFIT Schedules'!E186</f>
        <v>0</v>
      </c>
      <c r="D187" s="42">
        <f>IF(C187*0.21=0,0,ROUND(C187*-0.21,0))</f>
        <v>0</v>
      </c>
      <c r="E187" s="36">
        <v>0</v>
      </c>
      <c r="F187" s="36">
        <f>SUM(D187:E187)</f>
        <v>0</v>
      </c>
      <c r="G187" s="27">
        <v>0</v>
      </c>
      <c r="H187" s="27">
        <f t="shared" si="123"/>
        <v>0</v>
      </c>
      <c r="I187" s="27">
        <v>0</v>
      </c>
      <c r="J187" s="27">
        <f>+H187+I187</f>
        <v>0</v>
      </c>
      <c r="K187" s="51">
        <f t="shared" si="125"/>
        <v>0.99</v>
      </c>
      <c r="L187" s="42">
        <f>IF(J187*K187=0,0, ROUND(J187*K187,0))</f>
        <v>0</v>
      </c>
      <c r="M187" s="18" t="str">
        <f>'CFIT Schedules'!L186</f>
        <v>LABOR</v>
      </c>
    </row>
    <row r="188" spans="1:13" x14ac:dyDescent="0.2">
      <c r="A188" s="144">
        <f t="shared" si="112"/>
        <v>167</v>
      </c>
      <c r="B188" s="121" t="s">
        <v>374</v>
      </c>
      <c r="C188" s="36">
        <f>'CFIT Schedules'!E187</f>
        <v>-9308922.0700000003</v>
      </c>
      <c r="D188" s="42">
        <f t="shared" ref="D188:D189" si="127">IF(C188*0.21=0,0,ROUND(C188*-0.21,0))</f>
        <v>1954874</v>
      </c>
      <c r="E188" s="36">
        <v>0</v>
      </c>
      <c r="F188" s="36">
        <f t="shared" ref="F188:F189" si="128">SUM(D188:E188)</f>
        <v>1954874</v>
      </c>
      <c r="G188" s="27">
        <v>0</v>
      </c>
      <c r="H188" s="27">
        <f t="shared" ref="H188:H189" si="129">+F188+G188</f>
        <v>1954874</v>
      </c>
      <c r="I188" s="27">
        <v>0</v>
      </c>
      <c r="J188" s="27">
        <f t="shared" ref="J188:J189" si="130">+H188+I188</f>
        <v>1954874</v>
      </c>
      <c r="K188" s="51">
        <f t="shared" si="125"/>
        <v>0.98499999999999999</v>
      </c>
      <c r="L188" s="42">
        <f t="shared" ref="L188:L189" si="131">IF(J188*K188=0,0, ROUND(J188*K188,0))</f>
        <v>1925551</v>
      </c>
      <c r="M188" s="137" t="str">
        <f>'CFIT Schedules'!L187</f>
        <v>GROSS PLT</v>
      </c>
    </row>
    <row r="189" spans="1:13" x14ac:dyDescent="0.2">
      <c r="A189" s="144">
        <f t="shared" si="112"/>
        <v>168</v>
      </c>
      <c r="B189" s="121" t="s">
        <v>375</v>
      </c>
      <c r="C189" s="36">
        <f>'CFIT Schedules'!E188</f>
        <v>9342530.0600000005</v>
      </c>
      <c r="D189" s="42">
        <f t="shared" si="127"/>
        <v>-1961931</v>
      </c>
      <c r="E189" s="36">
        <v>0</v>
      </c>
      <c r="F189" s="36">
        <f t="shared" si="128"/>
        <v>-1961931</v>
      </c>
      <c r="G189" s="27">
        <v>0</v>
      </c>
      <c r="H189" s="27">
        <f t="shared" si="129"/>
        <v>-1961931</v>
      </c>
      <c r="I189" s="27">
        <v>0</v>
      </c>
      <c r="J189" s="27">
        <f t="shared" si="130"/>
        <v>-1961931</v>
      </c>
      <c r="K189" s="51">
        <f t="shared" si="125"/>
        <v>0.98499999999999999</v>
      </c>
      <c r="L189" s="42">
        <f t="shared" si="131"/>
        <v>-1932502</v>
      </c>
      <c r="M189" s="137" t="str">
        <f>'CFIT Schedules'!L188</f>
        <v>GROSS PLT</v>
      </c>
    </row>
    <row r="190" spans="1:13" x14ac:dyDescent="0.2">
      <c r="A190" s="144">
        <f t="shared" si="112"/>
        <v>169</v>
      </c>
      <c r="B190" s="17" t="s">
        <v>235</v>
      </c>
      <c r="C190" s="36">
        <f>+'CFIT Schedules'!E189</f>
        <v>0</v>
      </c>
      <c r="D190" s="42">
        <f t="shared" ref="D190:D201" si="132">IF(C190*0.21=0,0,ROUND(C190*-0.21,0))</f>
        <v>0</v>
      </c>
      <c r="E190" s="36">
        <v>0</v>
      </c>
      <c r="F190" s="36">
        <f t="shared" si="122"/>
        <v>0</v>
      </c>
      <c r="G190" s="27">
        <v>0</v>
      </c>
      <c r="H190" s="27">
        <f t="shared" si="123"/>
        <v>0</v>
      </c>
      <c r="I190" s="27">
        <v>0</v>
      </c>
      <c r="J190" s="27">
        <f t="shared" si="124"/>
        <v>0</v>
      </c>
      <c r="K190" s="51">
        <f t="shared" si="125"/>
        <v>1</v>
      </c>
      <c r="L190" s="42">
        <f>IF(J190*K190=0,0, ROUND(J190*K190,0))</f>
        <v>0</v>
      </c>
      <c r="M190" s="18" t="str">
        <f>'CFIT Schedules'!L189</f>
        <v>SPECIFIC</v>
      </c>
    </row>
    <row r="191" spans="1:13" x14ac:dyDescent="0.2">
      <c r="A191" s="144">
        <f t="shared" si="112"/>
        <v>170</v>
      </c>
      <c r="B191" s="122" t="s">
        <v>376</v>
      </c>
      <c r="C191" s="36">
        <f>'CFIT Schedules'!E190</f>
        <v>-71358.33</v>
      </c>
      <c r="D191" s="42">
        <f t="shared" si="132"/>
        <v>14985</v>
      </c>
      <c r="E191" s="36">
        <v>0</v>
      </c>
      <c r="F191" s="36">
        <f t="shared" ref="F191" si="133">SUM(D191:E191)</f>
        <v>14985</v>
      </c>
      <c r="G191" s="27">
        <v>0</v>
      </c>
      <c r="H191" s="27">
        <f t="shared" ref="H191" si="134">+F191+G191</f>
        <v>14985</v>
      </c>
      <c r="I191" s="27">
        <v>0</v>
      </c>
      <c r="J191" s="27">
        <f t="shared" ref="J191" si="135">+H191+I191</f>
        <v>14985</v>
      </c>
      <c r="K191" s="51">
        <f t="shared" ref="K191" si="136">VLOOKUP(M191,$C$300:$D$314,2,FALSE)</f>
        <v>0.98499999999999999</v>
      </c>
      <c r="L191" s="42">
        <f t="shared" ref="L191" si="137">IF(J191*K191=0,0, ROUND(J191*K191,0))</f>
        <v>14760</v>
      </c>
      <c r="M191" s="137" t="str">
        <f>'CFIT Schedules'!L190</f>
        <v>GROSS PLT</v>
      </c>
    </row>
    <row r="192" spans="1:13" x14ac:dyDescent="0.2">
      <c r="A192" s="144">
        <f t="shared" si="112"/>
        <v>171</v>
      </c>
      <c r="B192" s="17" t="s">
        <v>268</v>
      </c>
      <c r="C192" s="36">
        <f>+'CFIT Schedules'!E191</f>
        <v>0</v>
      </c>
      <c r="D192" s="42">
        <f t="shared" si="132"/>
        <v>0</v>
      </c>
      <c r="E192" s="36">
        <v>0</v>
      </c>
      <c r="F192" s="36">
        <f t="shared" ref="F192:F197" si="138">SUM(D192:E192)</f>
        <v>0</v>
      </c>
      <c r="G192" s="27">
        <f>ROUND('CFIT Schedules'!F191*-0.35,0)</f>
        <v>0</v>
      </c>
      <c r="H192" s="27">
        <f t="shared" si="123"/>
        <v>0</v>
      </c>
      <c r="I192" s="27">
        <f>ROUND('CFIT Schedules'!H191*-0.21,0)</f>
        <v>0</v>
      </c>
      <c r="J192" s="27">
        <f>+H192+I192</f>
        <v>0</v>
      </c>
      <c r="K192" s="51">
        <f t="shared" ref="K192:K221" si="139">VLOOKUP(M192,$C$300:$D$314,2,FALSE)</f>
        <v>0</v>
      </c>
      <c r="L192" s="42">
        <f>IF(J192*K192=0,0, ROUND(J192*K192,0))</f>
        <v>0</v>
      </c>
      <c r="M192" s="18" t="str">
        <f>'CFIT Schedules'!L191</f>
        <v>NON-APPLIC</v>
      </c>
    </row>
    <row r="193" spans="1:13" x14ac:dyDescent="0.2">
      <c r="A193" s="144">
        <f t="shared" si="112"/>
        <v>172</v>
      </c>
      <c r="B193" s="17" t="s">
        <v>180</v>
      </c>
      <c r="C193" s="36">
        <f>+'CFIT Schedules'!E192</f>
        <v>0</v>
      </c>
      <c r="D193" s="42">
        <f t="shared" si="132"/>
        <v>0</v>
      </c>
      <c r="E193" s="36">
        <v>0</v>
      </c>
      <c r="F193" s="36">
        <f t="shared" si="138"/>
        <v>0</v>
      </c>
      <c r="G193" s="36">
        <f>ROUND('SIT Schedules'!F135*0.35*-1,0)</f>
        <v>0</v>
      </c>
      <c r="H193" s="27">
        <f t="shared" si="123"/>
        <v>0</v>
      </c>
      <c r="I193" s="36">
        <f>ROUND('SIT Schedules'!H135*0.21*-1,0)</f>
        <v>0</v>
      </c>
      <c r="J193" s="27">
        <f t="shared" si="124"/>
        <v>0</v>
      </c>
      <c r="K193" s="51">
        <f t="shared" si="139"/>
        <v>0.98499999999999999</v>
      </c>
      <c r="L193" s="42">
        <f t="shared" si="126"/>
        <v>0</v>
      </c>
      <c r="M193" s="18" t="str">
        <f>'CFIT Schedules'!L192</f>
        <v>GROSS PLT</v>
      </c>
    </row>
    <row r="194" spans="1:13" x14ac:dyDescent="0.2">
      <c r="A194" s="144">
        <f t="shared" si="112"/>
        <v>173</v>
      </c>
      <c r="B194" s="17" t="s">
        <v>350</v>
      </c>
      <c r="C194" s="36">
        <f>+'CFIT Schedules'!E193</f>
        <v>0</v>
      </c>
      <c r="D194" s="42">
        <f t="shared" si="132"/>
        <v>0</v>
      </c>
      <c r="E194" s="36">
        <f>ROUND('SIT Schedules'!E136*0.21*-1,0)</f>
        <v>0</v>
      </c>
      <c r="F194" s="36">
        <f t="shared" si="138"/>
        <v>0</v>
      </c>
      <c r="G194" s="36">
        <f>ROUND('SIT Schedules'!F136*0.35*-1,0)</f>
        <v>0</v>
      </c>
      <c r="H194" s="27">
        <f t="shared" ref="H194:H195" si="140">+F194+G194</f>
        <v>0</v>
      </c>
      <c r="I194" s="36">
        <f>ROUND('SIT Schedules'!H136*0.21*-1,0)</f>
        <v>0</v>
      </c>
      <c r="J194" s="27">
        <f t="shared" ref="J194:J195" si="141">+H194+I194</f>
        <v>0</v>
      </c>
      <c r="K194" s="51">
        <f t="shared" si="139"/>
        <v>0</v>
      </c>
      <c r="L194" s="42">
        <f t="shared" ref="L194:L196" si="142">IF(J194*K194=0,0, ROUND(J194*K194,0))</f>
        <v>0</v>
      </c>
      <c r="M194" s="18" t="str">
        <f>'CFIT Schedules'!L193</f>
        <v>NON-APPLIC</v>
      </c>
    </row>
    <row r="195" spans="1:13" x14ac:dyDescent="0.2">
      <c r="A195" s="144">
        <f t="shared" si="112"/>
        <v>174</v>
      </c>
      <c r="B195" s="17" t="s">
        <v>351</v>
      </c>
      <c r="C195" s="36">
        <f>+'CFIT Schedules'!E194</f>
        <v>0</v>
      </c>
      <c r="D195" s="42">
        <f t="shared" si="132"/>
        <v>0</v>
      </c>
      <c r="E195" s="36">
        <f>ROUND('SIT Schedules'!E137*0.21*-1,0)</f>
        <v>0</v>
      </c>
      <c r="F195" s="36">
        <f t="shared" si="138"/>
        <v>0</v>
      </c>
      <c r="G195" s="36">
        <f>ROUND('SIT Schedules'!F137*0.35*-1,0)</f>
        <v>0</v>
      </c>
      <c r="H195" s="27">
        <f t="shared" si="140"/>
        <v>0</v>
      </c>
      <c r="I195" s="36">
        <f>ROUND('SIT Schedules'!H137*0.21*-1,0)</f>
        <v>0</v>
      </c>
      <c r="J195" s="27">
        <f t="shared" si="141"/>
        <v>0</v>
      </c>
      <c r="K195" s="51">
        <f t="shared" si="139"/>
        <v>0</v>
      </c>
      <c r="L195" s="42">
        <f t="shared" si="142"/>
        <v>0</v>
      </c>
      <c r="M195" s="18" t="str">
        <f>'CFIT Schedules'!L194</f>
        <v>NON-APPLIC</v>
      </c>
    </row>
    <row r="196" spans="1:13" x14ac:dyDescent="0.2">
      <c r="A196" s="144">
        <f t="shared" si="112"/>
        <v>175</v>
      </c>
      <c r="B196" s="122" t="s">
        <v>382</v>
      </c>
      <c r="C196" s="36"/>
      <c r="D196" s="42"/>
      <c r="E196" s="36">
        <f>ROUND('SIT Schedules'!E107*0.21*-1,0)</f>
        <v>95070</v>
      </c>
      <c r="F196" s="36">
        <f t="shared" si="138"/>
        <v>95070</v>
      </c>
      <c r="G196" s="36">
        <f>ROUND('SIT Schedules'!F138*0.35*-1,0)</f>
        <v>0</v>
      </c>
      <c r="H196" s="27">
        <f t="shared" ref="H196" si="143">+F196+G196</f>
        <v>95070</v>
      </c>
      <c r="I196" s="36">
        <f>ROUND('SIT Schedules'!H138*0.21*-1,0)</f>
        <v>0</v>
      </c>
      <c r="J196" s="27">
        <f t="shared" ref="J196" si="144">+H196+I196</f>
        <v>95070</v>
      </c>
      <c r="K196" s="51">
        <f t="shared" si="139"/>
        <v>0.98499999999999999</v>
      </c>
      <c r="L196" s="42">
        <f t="shared" si="142"/>
        <v>93644</v>
      </c>
      <c r="M196" s="138" t="str">
        <f>'CFIT Schedules'!L195</f>
        <v>GROSS PLT</v>
      </c>
    </row>
    <row r="197" spans="1:13" x14ac:dyDescent="0.2">
      <c r="A197" s="144">
        <f t="shared" si="112"/>
        <v>176</v>
      </c>
      <c r="B197" s="17" t="s">
        <v>313</v>
      </c>
      <c r="C197" s="36">
        <f>+'CFIT Schedules'!E195</f>
        <v>404000</v>
      </c>
      <c r="D197" s="42">
        <f t="shared" si="132"/>
        <v>-84840</v>
      </c>
      <c r="E197" s="36">
        <v>0</v>
      </c>
      <c r="F197" s="36">
        <f t="shared" si="138"/>
        <v>-84840</v>
      </c>
      <c r="G197" s="27">
        <f>ROUND('CFIT Schedules'!F195*-0.35,0)</f>
        <v>0</v>
      </c>
      <c r="H197" s="27">
        <f t="shared" si="123"/>
        <v>-84840</v>
      </c>
      <c r="I197" s="27">
        <f>ROUND('CFIT Schedules'!H195*-0.21,0)</f>
        <v>0</v>
      </c>
      <c r="J197" s="27">
        <f>+H197+I197</f>
        <v>-84840</v>
      </c>
      <c r="K197" s="51">
        <f t="shared" si="139"/>
        <v>0.98499999999999999</v>
      </c>
      <c r="L197" s="42">
        <f>IF(J197*K197=0,0, ROUND(J197*K197,0))</f>
        <v>-83567</v>
      </c>
      <c r="M197" s="18" t="str">
        <f>'CFIT Schedules'!L195</f>
        <v>GROSS PLT</v>
      </c>
    </row>
    <row r="198" spans="1:13" x14ac:dyDescent="0.2">
      <c r="A198" s="144">
        <f t="shared" si="112"/>
        <v>177</v>
      </c>
      <c r="B198" s="17" t="s">
        <v>72</v>
      </c>
      <c r="C198" s="36">
        <f>+'CFIT Schedules'!E196</f>
        <v>-34849</v>
      </c>
      <c r="D198" s="42">
        <f t="shared" si="132"/>
        <v>7318</v>
      </c>
      <c r="E198" s="36">
        <v>0</v>
      </c>
      <c r="F198" s="36">
        <f t="shared" si="122"/>
        <v>7318</v>
      </c>
      <c r="G198" s="27">
        <f>ROUND('CFIT Schedules'!F196*-0.35,0)</f>
        <v>0</v>
      </c>
      <c r="H198" s="27">
        <f t="shared" si="123"/>
        <v>7318</v>
      </c>
      <c r="I198" s="27">
        <f>ROUND('CFIT Schedules'!H196*-0.21,0)</f>
        <v>0</v>
      </c>
      <c r="J198" s="27">
        <f t="shared" si="124"/>
        <v>7318</v>
      </c>
      <c r="K198" s="51">
        <f t="shared" si="139"/>
        <v>0</v>
      </c>
      <c r="L198" s="42">
        <f t="shared" si="126"/>
        <v>0</v>
      </c>
      <c r="M198" s="18" t="str">
        <f>'CFIT Schedules'!L196</f>
        <v>NON-APPLIC</v>
      </c>
    </row>
    <row r="199" spans="1:13" x14ac:dyDescent="0.2">
      <c r="A199" s="144">
        <f t="shared" si="112"/>
        <v>178</v>
      </c>
      <c r="B199" s="56" t="s">
        <v>254</v>
      </c>
      <c r="C199" s="36">
        <f>+'CFIT Schedules'!E197</f>
        <v>-27798</v>
      </c>
      <c r="D199" s="42">
        <f t="shared" si="132"/>
        <v>5838</v>
      </c>
      <c r="E199" s="36">
        <v>0</v>
      </c>
      <c r="F199" s="36">
        <f>SUM(D199:E199)</f>
        <v>5838</v>
      </c>
      <c r="G199" s="27">
        <f>ROUND('CFIT Schedules'!F197*-0.35,0)</f>
        <v>0</v>
      </c>
      <c r="H199" s="27">
        <f t="shared" si="123"/>
        <v>5838</v>
      </c>
      <c r="I199" s="27">
        <f>ROUND('CFIT Schedules'!H197*-0.21,0)</f>
        <v>0</v>
      </c>
      <c r="J199" s="27">
        <f>+H199+I199</f>
        <v>5838</v>
      </c>
      <c r="K199" s="51">
        <f t="shared" si="139"/>
        <v>0</v>
      </c>
      <c r="L199" s="42">
        <f>IF(J199*K199=0,0, ROUND(J199*K199,0))</f>
        <v>0</v>
      </c>
      <c r="M199" s="18" t="str">
        <f>'CFIT Schedules'!L197</f>
        <v>NON-APPLIC</v>
      </c>
    </row>
    <row r="200" spans="1:13" x14ac:dyDescent="0.2">
      <c r="A200" s="144">
        <f t="shared" si="112"/>
        <v>179</v>
      </c>
      <c r="B200" s="56" t="s">
        <v>255</v>
      </c>
      <c r="C200" s="36">
        <f>+'CFIT Schedules'!E198</f>
        <v>0</v>
      </c>
      <c r="D200" s="42">
        <f t="shared" si="132"/>
        <v>0</v>
      </c>
      <c r="E200" s="36">
        <v>0</v>
      </c>
      <c r="F200" s="36">
        <f>SUM(D200:E200)</f>
        <v>0</v>
      </c>
      <c r="G200" s="27">
        <f>ROUND('CFIT Schedules'!F198*-0.35,0)</f>
        <v>0</v>
      </c>
      <c r="H200" s="27">
        <f t="shared" si="123"/>
        <v>0</v>
      </c>
      <c r="I200" s="27">
        <f>ROUND('CFIT Schedules'!H198*-0.21,0)</f>
        <v>0</v>
      </c>
      <c r="J200" s="27">
        <f>+H200+I200</f>
        <v>0</v>
      </c>
      <c r="K200" s="51">
        <f t="shared" si="139"/>
        <v>0</v>
      </c>
      <c r="L200" s="42">
        <f>IF(J200*K200=0,0, ROUND(J200*K200,0))</f>
        <v>0</v>
      </c>
      <c r="M200" s="18" t="str">
        <f>'CFIT Schedules'!L198</f>
        <v>NON-APPLIC</v>
      </c>
    </row>
    <row r="201" spans="1:13" x14ac:dyDescent="0.2">
      <c r="A201" s="144">
        <f t="shared" si="112"/>
        <v>180</v>
      </c>
      <c r="B201" s="56" t="s">
        <v>353</v>
      </c>
      <c r="C201" s="36">
        <f>+'CFIT Schedules'!E199</f>
        <v>0</v>
      </c>
      <c r="D201" s="42">
        <f t="shared" si="132"/>
        <v>0</v>
      </c>
      <c r="E201" s="36">
        <v>0</v>
      </c>
      <c r="F201" s="36">
        <f>SUM(D201:E201)</f>
        <v>0</v>
      </c>
      <c r="G201" s="27">
        <f>ROUND('CFIT Schedules'!F199*-0.35,0)</f>
        <v>0</v>
      </c>
      <c r="H201" s="27">
        <f t="shared" ref="H201" si="145">+F201+G201</f>
        <v>0</v>
      </c>
      <c r="I201" s="27">
        <f>ROUND('CFIT Schedules'!H199*-0.21,0)</f>
        <v>0</v>
      </c>
      <c r="J201" s="27">
        <f>+H201+I201</f>
        <v>0</v>
      </c>
      <c r="K201" s="51">
        <f t="shared" si="139"/>
        <v>0</v>
      </c>
      <c r="L201" s="42">
        <f>IF(J201*K201=0,0, ROUND(J201*K201,0))</f>
        <v>0</v>
      </c>
      <c r="M201" s="18" t="str">
        <f>'CFIT Schedules'!L199</f>
        <v>NON-APPLIC</v>
      </c>
    </row>
    <row r="202" spans="1:13" x14ac:dyDescent="0.2">
      <c r="A202" s="144">
        <f t="shared" si="112"/>
        <v>181</v>
      </c>
      <c r="B202" s="17" t="s">
        <v>73</v>
      </c>
      <c r="C202" s="36">
        <f>+'CFIT Schedules'!E200</f>
        <v>6890887.0800000001</v>
      </c>
      <c r="D202" s="42">
        <v>0</v>
      </c>
      <c r="E202" s="36">
        <v>0</v>
      </c>
      <c r="F202" s="36">
        <f t="shared" si="122"/>
        <v>0</v>
      </c>
      <c r="G202" s="27">
        <f>ROUND('CFIT Schedules'!F200*-0.35,0)</f>
        <v>0</v>
      </c>
      <c r="H202" s="27">
        <f t="shared" si="123"/>
        <v>0</v>
      </c>
      <c r="I202" s="27">
        <f>ROUND('CFIT Schedules'!H200*-0.21,0)</f>
        <v>0</v>
      </c>
      <c r="J202" s="27">
        <f t="shared" si="124"/>
        <v>0</v>
      </c>
      <c r="K202" s="51">
        <f t="shared" si="139"/>
        <v>0.98499999999999999</v>
      </c>
      <c r="L202" s="42">
        <f t="shared" si="126"/>
        <v>0</v>
      </c>
      <c r="M202" s="18" t="str">
        <f>'CFIT Schedules'!L200</f>
        <v>NET PLANT</v>
      </c>
    </row>
    <row r="203" spans="1:13" x14ac:dyDescent="0.2">
      <c r="A203" s="144">
        <f t="shared" si="112"/>
        <v>182</v>
      </c>
      <c r="B203" s="17" t="s">
        <v>74</v>
      </c>
      <c r="C203" s="36">
        <f>+'CFIT Schedules'!E201</f>
        <v>-6890887.0800000001</v>
      </c>
      <c r="D203" s="42">
        <v>0</v>
      </c>
      <c r="E203" s="36">
        <v>0</v>
      </c>
      <c r="F203" s="36">
        <f t="shared" si="122"/>
        <v>0</v>
      </c>
      <c r="G203" s="27">
        <f>ROUND('CFIT Schedules'!F201*-0.35,0)</f>
        <v>0</v>
      </c>
      <c r="H203" s="27">
        <f t="shared" si="123"/>
        <v>0</v>
      </c>
      <c r="I203" s="27">
        <f>ROUND('CFIT Schedules'!H201*-0.21,0)</f>
        <v>0</v>
      </c>
      <c r="J203" s="27">
        <f t="shared" si="124"/>
        <v>0</v>
      </c>
      <c r="K203" s="51">
        <f t="shared" si="139"/>
        <v>0.98499999999999999</v>
      </c>
      <c r="L203" s="42">
        <f t="shared" si="126"/>
        <v>0</v>
      </c>
      <c r="M203" s="18" t="str">
        <f>'CFIT Schedules'!L201</f>
        <v>NET PLANT</v>
      </c>
    </row>
    <row r="204" spans="1:13" x14ac:dyDescent="0.2">
      <c r="A204" s="144">
        <f t="shared" si="112"/>
        <v>183</v>
      </c>
      <c r="B204" s="17" t="s">
        <v>75</v>
      </c>
      <c r="C204" s="36">
        <f>+'CFIT Schedules'!E202</f>
        <v>-359839</v>
      </c>
      <c r="D204" s="42">
        <f>IF(C204*0.21=0,0,ROUND(C204*-0.21,0))</f>
        <v>75566</v>
      </c>
      <c r="E204" s="36">
        <v>0</v>
      </c>
      <c r="F204" s="36">
        <f t="shared" si="122"/>
        <v>75566</v>
      </c>
      <c r="G204" s="27">
        <f>ROUND('CFIT Schedules'!F202*-0.35,0)</f>
        <v>0</v>
      </c>
      <c r="H204" s="27">
        <f t="shared" si="123"/>
        <v>75566</v>
      </c>
      <c r="I204" s="27">
        <f>ROUND('CFIT Schedules'!H202*-0.21,0)</f>
        <v>0</v>
      </c>
      <c r="J204" s="27">
        <f t="shared" si="124"/>
        <v>75566</v>
      </c>
      <c r="K204" s="51">
        <f t="shared" si="139"/>
        <v>0.99</v>
      </c>
      <c r="L204" s="42">
        <f t="shared" si="126"/>
        <v>74810</v>
      </c>
      <c r="M204" s="18" t="str">
        <f>'CFIT Schedules'!L202</f>
        <v>LABOR</v>
      </c>
    </row>
    <row r="205" spans="1:13" x14ac:dyDescent="0.2">
      <c r="A205" s="144">
        <f t="shared" si="112"/>
        <v>184</v>
      </c>
      <c r="B205" s="56" t="s">
        <v>256</v>
      </c>
      <c r="C205" s="36">
        <f>+'CFIT Schedules'!E203</f>
        <v>0</v>
      </c>
      <c r="D205" s="42">
        <f>IF(C205*0.21=0,0,ROUND(C205*-0.21,0))</f>
        <v>0</v>
      </c>
      <c r="E205" s="36">
        <v>0</v>
      </c>
      <c r="F205" s="36">
        <f t="shared" si="122"/>
        <v>0</v>
      </c>
      <c r="G205" s="27">
        <f>ROUND('CFIT Schedules'!F203*-0.35,0)</f>
        <v>0</v>
      </c>
      <c r="H205" s="27">
        <f t="shared" si="123"/>
        <v>0</v>
      </c>
      <c r="I205" s="27">
        <f>ROUND('CFIT Schedules'!H203*-0.21,0)</f>
        <v>0</v>
      </c>
      <c r="J205" s="27">
        <f t="shared" si="124"/>
        <v>0</v>
      </c>
      <c r="K205" s="51">
        <f t="shared" si="139"/>
        <v>0.98499999999999999</v>
      </c>
      <c r="L205" s="42">
        <f t="shared" si="126"/>
        <v>0</v>
      </c>
      <c r="M205" s="18" t="str">
        <f>'CFIT Schedules'!L203</f>
        <v>GROSS PLT</v>
      </c>
    </row>
    <row r="206" spans="1:13" x14ac:dyDescent="0.2">
      <c r="A206" s="144">
        <f t="shared" si="112"/>
        <v>185</v>
      </c>
      <c r="B206" s="56" t="s">
        <v>257</v>
      </c>
      <c r="C206" s="36">
        <f>+'CFIT Schedules'!E204</f>
        <v>0</v>
      </c>
      <c r="D206" s="42">
        <f>IF(C206*0.21=0,0,ROUND(C206*-0.21,0))</f>
        <v>0</v>
      </c>
      <c r="E206" s="36">
        <v>0</v>
      </c>
      <c r="F206" s="36">
        <f t="shared" ref="F206:F220" si="146">SUM(D206:E206)</f>
        <v>0</v>
      </c>
      <c r="G206" s="27">
        <f>ROUND('CFIT Schedules'!F204*-0.35,0)</f>
        <v>0</v>
      </c>
      <c r="H206" s="27">
        <f t="shared" si="123"/>
        <v>0</v>
      </c>
      <c r="I206" s="27">
        <f>ROUND('CFIT Schedules'!H204*-0.21,0)</f>
        <v>0</v>
      </c>
      <c r="J206" s="27">
        <f t="shared" ref="J206" si="147">+H206+I206</f>
        <v>0</v>
      </c>
      <c r="K206" s="51">
        <f t="shared" si="139"/>
        <v>0.98499999999999999</v>
      </c>
      <c r="L206" s="42">
        <f t="shared" ref="L206:L220" si="148">IF(J206*K206=0,0, ROUND(J206*K206,0))</f>
        <v>0</v>
      </c>
      <c r="M206" s="18" t="str">
        <f>'CFIT Schedules'!L204</f>
        <v>GROSS PLT</v>
      </c>
    </row>
    <row r="207" spans="1:13" x14ac:dyDescent="0.2">
      <c r="A207" s="144">
        <f t="shared" si="112"/>
        <v>186</v>
      </c>
      <c r="B207" s="64" t="s">
        <v>392</v>
      </c>
      <c r="C207" s="36">
        <f>'CFIT Schedules'!E205</f>
        <v>0</v>
      </c>
      <c r="D207" s="42">
        <f t="shared" ref="D207:D220" si="149">IF(C207*0.21=0,0,ROUND(C207*-0.21,0))</f>
        <v>0</v>
      </c>
      <c r="E207" s="36">
        <v>-4875197.6199999982</v>
      </c>
      <c r="F207" s="36">
        <f t="shared" si="146"/>
        <v>-4875197.6199999982</v>
      </c>
      <c r="G207" s="27">
        <f>ROUND('CFIT Schedules'!F205*-0.21,0)</f>
        <v>0</v>
      </c>
      <c r="H207" s="27">
        <f t="shared" ref="H207" si="150">+F207+G207</f>
        <v>-4875197.6199999982</v>
      </c>
      <c r="I207" s="27">
        <f>ROUND('CFIT Schedules'!H205*-0.21,0)</f>
        <v>0</v>
      </c>
      <c r="J207" s="27">
        <f t="shared" ref="J207" si="151">+H207+I207</f>
        <v>-4875197.6199999982</v>
      </c>
      <c r="K207" s="51">
        <f t="shared" si="139"/>
        <v>0</v>
      </c>
      <c r="L207" s="42">
        <f t="shared" si="148"/>
        <v>0</v>
      </c>
      <c r="M207" s="123" t="str">
        <f>'CFIT Schedules'!L205</f>
        <v>NON-APPLIC</v>
      </c>
    </row>
    <row r="208" spans="1:13" x14ac:dyDescent="0.2">
      <c r="A208" s="144">
        <f t="shared" si="112"/>
        <v>187</v>
      </c>
      <c r="B208" s="64" t="s">
        <v>383</v>
      </c>
      <c r="C208" s="36">
        <f>'CFIT Schedules'!E206</f>
        <v>0</v>
      </c>
      <c r="D208" s="42">
        <f t="shared" si="149"/>
        <v>0</v>
      </c>
      <c r="E208" s="36">
        <v>-116340.34999999998</v>
      </c>
      <c r="F208" s="36">
        <f t="shared" si="146"/>
        <v>-116340.34999999998</v>
      </c>
      <c r="G208" s="27">
        <f>ROUND('CFIT Schedules'!F206*-0.21,0)</f>
        <v>0</v>
      </c>
      <c r="H208" s="27">
        <f t="shared" ref="H208:H220" si="152">+F208+G208</f>
        <v>-116340.34999999998</v>
      </c>
      <c r="I208" s="27">
        <f>ROUND('CFIT Schedules'!H206*-0.21,0)</f>
        <v>0</v>
      </c>
      <c r="J208" s="27">
        <f t="shared" ref="J208:J220" si="153">+H208+I208</f>
        <v>-116340.34999999998</v>
      </c>
      <c r="K208" s="51">
        <f t="shared" si="139"/>
        <v>0</v>
      </c>
      <c r="L208" s="42">
        <f t="shared" si="148"/>
        <v>0</v>
      </c>
      <c r="M208" s="123" t="str">
        <f>'CFIT Schedules'!L206</f>
        <v>NON-APPLIC</v>
      </c>
    </row>
    <row r="209" spans="1:13" x14ac:dyDescent="0.2">
      <c r="A209" s="144">
        <f t="shared" si="112"/>
        <v>188</v>
      </c>
      <c r="B209" s="64" t="s">
        <v>384</v>
      </c>
      <c r="C209" s="36">
        <f>'CFIT Schedules'!E207</f>
        <v>0</v>
      </c>
      <c r="D209" s="42">
        <f t="shared" si="149"/>
        <v>0</v>
      </c>
      <c r="E209" s="36">
        <v>-8923345.1300000008</v>
      </c>
      <c r="F209" s="36">
        <f t="shared" si="146"/>
        <v>-8923345.1300000008</v>
      </c>
      <c r="G209" s="27">
        <f>ROUND('CFIT Schedules'!F207*-0.21,0)</f>
        <v>0</v>
      </c>
      <c r="H209" s="27">
        <f t="shared" si="152"/>
        <v>-8923345.1300000008</v>
      </c>
      <c r="I209" s="27">
        <f>ROUND('CFIT Schedules'!H207*-0.21,0)</f>
        <v>0</v>
      </c>
      <c r="J209" s="27">
        <f t="shared" si="153"/>
        <v>-8923345.1300000008</v>
      </c>
      <c r="K209" s="51">
        <f t="shared" si="139"/>
        <v>1</v>
      </c>
      <c r="L209" s="42">
        <f t="shared" si="148"/>
        <v>-8923345</v>
      </c>
      <c r="M209" s="123" t="str">
        <f>'CFIT Schedules'!L207</f>
        <v>SPECIFIC</v>
      </c>
    </row>
    <row r="210" spans="1:13" x14ac:dyDescent="0.2">
      <c r="A210" s="144">
        <f t="shared" si="112"/>
        <v>189</v>
      </c>
      <c r="B210" s="64" t="s">
        <v>393</v>
      </c>
      <c r="C210" s="36">
        <f>'CFIT Schedules'!E208</f>
        <v>0</v>
      </c>
      <c r="D210" s="42">
        <f t="shared" si="149"/>
        <v>0</v>
      </c>
      <c r="E210" s="36">
        <v>4801001.83</v>
      </c>
      <c r="F210" s="36">
        <f t="shared" si="146"/>
        <v>4801001.83</v>
      </c>
      <c r="G210" s="27">
        <f>ROUND('CFIT Schedules'!F208*-0.21,0)</f>
        <v>0</v>
      </c>
      <c r="H210" s="27">
        <f t="shared" si="152"/>
        <v>4801001.83</v>
      </c>
      <c r="I210" s="27">
        <f>ROUND('CFIT Schedules'!H208*-0.21,0)</f>
        <v>0</v>
      </c>
      <c r="J210" s="27">
        <f t="shared" si="153"/>
        <v>4801001.83</v>
      </c>
      <c r="K210" s="51">
        <f t="shared" si="139"/>
        <v>0</v>
      </c>
      <c r="L210" s="42">
        <f t="shared" si="148"/>
        <v>0</v>
      </c>
      <c r="M210" s="123" t="str">
        <f>'CFIT Schedules'!L208</f>
        <v>NON-APPLIC</v>
      </c>
    </row>
    <row r="211" spans="1:13" x14ac:dyDescent="0.2">
      <c r="A211" s="144">
        <f t="shared" si="112"/>
        <v>190</v>
      </c>
      <c r="B211" s="64" t="s">
        <v>385</v>
      </c>
      <c r="C211" s="36">
        <f>'CFIT Schedules'!E209</f>
        <v>0</v>
      </c>
      <c r="D211" s="42">
        <f t="shared" si="149"/>
        <v>0</v>
      </c>
      <c r="E211" s="36">
        <v>26265.940000000002</v>
      </c>
      <c r="F211" s="36">
        <f t="shared" si="146"/>
        <v>26265.940000000002</v>
      </c>
      <c r="G211" s="27">
        <f>ROUND('CFIT Schedules'!F209*-0.21,0)</f>
        <v>0</v>
      </c>
      <c r="H211" s="27">
        <f t="shared" si="152"/>
        <v>26265.940000000002</v>
      </c>
      <c r="I211" s="27">
        <f>ROUND('CFIT Schedules'!H209*-0.21,0)</f>
        <v>0</v>
      </c>
      <c r="J211" s="27">
        <f t="shared" si="153"/>
        <v>26265.940000000002</v>
      </c>
      <c r="K211" s="51">
        <f t="shared" si="139"/>
        <v>0</v>
      </c>
      <c r="L211" s="42">
        <f t="shared" si="148"/>
        <v>0</v>
      </c>
      <c r="M211" s="123" t="str">
        <f>'CFIT Schedules'!L209</f>
        <v>NON-APPLIC</v>
      </c>
    </row>
    <row r="212" spans="1:13" x14ac:dyDescent="0.2">
      <c r="A212" s="144">
        <f t="shared" si="112"/>
        <v>191</v>
      </c>
      <c r="B212" s="64" t="s">
        <v>386</v>
      </c>
      <c r="C212" s="36">
        <f>'CFIT Schedules'!E210</f>
        <v>0</v>
      </c>
      <c r="D212" s="42">
        <f t="shared" si="149"/>
        <v>0</v>
      </c>
      <c r="E212" s="36">
        <v>2170094.9400000004</v>
      </c>
      <c r="F212" s="36">
        <f t="shared" si="146"/>
        <v>2170094.9400000004</v>
      </c>
      <c r="G212" s="27">
        <f>ROUND('CFIT Schedules'!F210*-0.21,0)</f>
        <v>0</v>
      </c>
      <c r="H212" s="27">
        <f t="shared" si="152"/>
        <v>2170094.9400000004</v>
      </c>
      <c r="I212" s="27">
        <f>ROUND('CFIT Schedules'!H210*-0.21,0)</f>
        <v>0</v>
      </c>
      <c r="J212" s="27">
        <f t="shared" si="153"/>
        <v>2170094.9400000004</v>
      </c>
      <c r="K212" s="51">
        <f t="shared" si="139"/>
        <v>1</v>
      </c>
      <c r="L212" s="42">
        <f t="shared" si="148"/>
        <v>2170095</v>
      </c>
      <c r="M212" s="123" t="str">
        <f>'CFIT Schedules'!L210</f>
        <v>SPECIFIC</v>
      </c>
    </row>
    <row r="213" spans="1:13" x14ac:dyDescent="0.2">
      <c r="A213" s="144">
        <f t="shared" si="112"/>
        <v>192</v>
      </c>
      <c r="B213" s="64" t="s">
        <v>387</v>
      </c>
      <c r="C213" s="36">
        <f>'CFIT Schedules'!E211</f>
        <v>0</v>
      </c>
      <c r="D213" s="42">
        <f t="shared" si="149"/>
        <v>0</v>
      </c>
      <c r="E213" s="36">
        <v>-956095.57999999914</v>
      </c>
      <c r="F213" s="36">
        <f t="shared" si="146"/>
        <v>-956095.57999999914</v>
      </c>
      <c r="G213" s="27">
        <f>ROUND('CFIT Schedules'!F211*-0.21,0)</f>
        <v>0</v>
      </c>
      <c r="H213" s="27">
        <f t="shared" si="152"/>
        <v>-956095.57999999914</v>
      </c>
      <c r="I213" s="27">
        <f>ROUND('CFIT Schedules'!H211*-0.21,0)</f>
        <v>0</v>
      </c>
      <c r="J213" s="27">
        <f t="shared" si="153"/>
        <v>-956095.57999999914</v>
      </c>
      <c r="K213" s="51">
        <f t="shared" si="139"/>
        <v>0</v>
      </c>
      <c r="L213" s="42">
        <f t="shared" si="148"/>
        <v>0</v>
      </c>
      <c r="M213" s="123" t="str">
        <f>'CFIT Schedules'!L211</f>
        <v>NON-APPLIC</v>
      </c>
    </row>
    <row r="214" spans="1:13" x14ac:dyDescent="0.2">
      <c r="A214" s="144">
        <f t="shared" si="112"/>
        <v>193</v>
      </c>
      <c r="B214" s="64" t="s">
        <v>388</v>
      </c>
      <c r="C214" s="36">
        <f>'CFIT Schedules'!E212</f>
        <v>0</v>
      </c>
      <c r="D214" s="42">
        <f t="shared" si="149"/>
        <v>0</v>
      </c>
      <c r="E214" s="36">
        <v>-28915.8</v>
      </c>
      <c r="F214" s="36">
        <f t="shared" si="146"/>
        <v>-28915.8</v>
      </c>
      <c r="G214" s="27">
        <f>ROUND('CFIT Schedules'!F212*-0.21,0)</f>
        <v>0</v>
      </c>
      <c r="H214" s="27">
        <f t="shared" si="152"/>
        <v>-28915.8</v>
      </c>
      <c r="I214" s="27">
        <f>ROUND('CFIT Schedules'!H212*-0.21,0)</f>
        <v>0</v>
      </c>
      <c r="J214" s="27">
        <f t="shared" si="153"/>
        <v>-28915.8</v>
      </c>
      <c r="K214" s="51">
        <f t="shared" si="139"/>
        <v>0</v>
      </c>
      <c r="L214" s="42">
        <f t="shared" si="148"/>
        <v>0</v>
      </c>
      <c r="M214" s="123" t="str">
        <f>'CFIT Schedules'!L212</f>
        <v>NON-APPLIC</v>
      </c>
    </row>
    <row r="215" spans="1:13" x14ac:dyDescent="0.2">
      <c r="A215" s="144">
        <f t="shared" si="112"/>
        <v>194</v>
      </c>
      <c r="B215" s="64" t="s">
        <v>389</v>
      </c>
      <c r="C215" s="36">
        <f>'CFIT Schedules'!E213</f>
        <v>0</v>
      </c>
      <c r="D215" s="42">
        <f t="shared" si="149"/>
        <v>0</v>
      </c>
      <c r="E215" s="36">
        <v>-1929124.25</v>
      </c>
      <c r="F215" s="36">
        <f t="shared" si="146"/>
        <v>-1929124.25</v>
      </c>
      <c r="G215" s="27">
        <f>ROUND('CFIT Schedules'!F213*-0.21,0)</f>
        <v>0</v>
      </c>
      <c r="H215" s="27">
        <f t="shared" si="152"/>
        <v>-1929124.25</v>
      </c>
      <c r="I215" s="27">
        <f>ROUND('CFIT Schedules'!H213*-0.21,0)</f>
        <v>0</v>
      </c>
      <c r="J215" s="27">
        <f t="shared" si="153"/>
        <v>-1929124.25</v>
      </c>
      <c r="K215" s="51">
        <f t="shared" si="139"/>
        <v>1</v>
      </c>
      <c r="L215" s="42">
        <f t="shared" si="148"/>
        <v>-1929124</v>
      </c>
      <c r="M215" s="123" t="str">
        <f>'CFIT Schedules'!L213</f>
        <v>SPECIFIC</v>
      </c>
    </row>
    <row r="216" spans="1:13" x14ac:dyDescent="0.2">
      <c r="A216" s="144">
        <f t="shared" si="112"/>
        <v>195</v>
      </c>
      <c r="B216" s="64" t="s">
        <v>390</v>
      </c>
      <c r="C216" s="36">
        <f>'CFIT Schedules'!E214</f>
        <v>0</v>
      </c>
      <c r="D216" s="42">
        <f t="shared" si="149"/>
        <v>0</v>
      </c>
      <c r="E216" s="36">
        <v>-22200.79</v>
      </c>
      <c r="F216" s="36">
        <f t="shared" si="146"/>
        <v>-22200.79</v>
      </c>
      <c r="G216" s="27">
        <f>ROUND('CFIT Schedules'!F214*-0.21,0)</f>
        <v>0</v>
      </c>
      <c r="H216" s="27">
        <f t="shared" si="152"/>
        <v>-22200.79</v>
      </c>
      <c r="I216" s="27">
        <f>ROUND('CFIT Schedules'!H214*-0.21,0)</f>
        <v>0</v>
      </c>
      <c r="J216" s="27">
        <f t="shared" si="153"/>
        <v>-22200.79</v>
      </c>
      <c r="K216" s="51">
        <f t="shared" si="139"/>
        <v>0</v>
      </c>
      <c r="L216" s="42">
        <f t="shared" si="148"/>
        <v>0</v>
      </c>
      <c r="M216" s="123" t="str">
        <f>'CFIT Schedules'!L214</f>
        <v>NON-APPLIC</v>
      </c>
    </row>
    <row r="217" spans="1:13" x14ac:dyDescent="0.2">
      <c r="A217" s="144">
        <f t="shared" si="112"/>
        <v>196</v>
      </c>
      <c r="B217" s="64" t="s">
        <v>391</v>
      </c>
      <c r="C217" s="36">
        <f>'CFIT Schedules'!E215</f>
        <v>0</v>
      </c>
      <c r="D217" s="42">
        <f t="shared" si="149"/>
        <v>0</v>
      </c>
      <c r="E217" s="36">
        <v>-1457698.94</v>
      </c>
      <c r="F217" s="36">
        <f t="shared" si="146"/>
        <v>-1457698.94</v>
      </c>
      <c r="G217" s="27">
        <f>ROUND('CFIT Schedules'!F215*-0.21,0)</f>
        <v>0</v>
      </c>
      <c r="H217" s="27">
        <f t="shared" si="152"/>
        <v>-1457698.94</v>
      </c>
      <c r="I217" s="27">
        <f>ROUND('CFIT Schedules'!H215*-0.21,0)</f>
        <v>0</v>
      </c>
      <c r="J217" s="27">
        <f t="shared" si="153"/>
        <v>-1457698.94</v>
      </c>
      <c r="K217" s="51">
        <f t="shared" si="139"/>
        <v>1</v>
      </c>
      <c r="L217" s="42">
        <f t="shared" si="148"/>
        <v>-1457699</v>
      </c>
      <c r="M217" s="123" t="str">
        <f>'CFIT Schedules'!L215</f>
        <v>SPECIFIC</v>
      </c>
    </row>
    <row r="218" spans="1:13" x14ac:dyDescent="0.2">
      <c r="A218" s="144">
        <f t="shared" si="112"/>
        <v>197</v>
      </c>
      <c r="B218" s="64" t="s">
        <v>403</v>
      </c>
      <c r="C218" s="36"/>
      <c r="D218" s="42"/>
      <c r="E218" s="36">
        <v>-25992.82</v>
      </c>
      <c r="F218" s="36">
        <f t="shared" si="146"/>
        <v>-25992.82</v>
      </c>
      <c r="G218" s="27">
        <f>ROUND('CFIT Schedules'!F216*-0.21,0)</f>
        <v>0</v>
      </c>
      <c r="H218" s="27">
        <f t="shared" si="152"/>
        <v>-25992.82</v>
      </c>
      <c r="I218" s="27">
        <f>ROUND('CFIT Schedules'!H216*-0.21,0)</f>
        <v>0</v>
      </c>
      <c r="J218" s="27">
        <f t="shared" si="153"/>
        <v>-25992.82</v>
      </c>
      <c r="K218" s="51">
        <f t="shared" si="139"/>
        <v>0</v>
      </c>
      <c r="L218" s="42">
        <f t="shared" si="148"/>
        <v>0</v>
      </c>
      <c r="M218" s="143" t="str">
        <f>'CFIT Schedules'!L216</f>
        <v>NON-APPLIC</v>
      </c>
    </row>
    <row r="219" spans="1:13" x14ac:dyDescent="0.2">
      <c r="A219" s="144">
        <f t="shared" si="112"/>
        <v>198</v>
      </c>
      <c r="B219" s="64" t="s">
        <v>394</v>
      </c>
      <c r="C219" s="36">
        <f>'CFIT Schedules'!E217</f>
        <v>0</v>
      </c>
      <c r="D219" s="42">
        <f t="shared" si="149"/>
        <v>0</v>
      </c>
      <c r="E219" s="36">
        <v>-2370099</v>
      </c>
      <c r="F219" s="36">
        <f t="shared" si="146"/>
        <v>-2370099</v>
      </c>
      <c r="G219" s="27">
        <f>ROUND('CFIT Schedules'!F217*-0.21,0)</f>
        <v>0</v>
      </c>
      <c r="H219" s="27">
        <f t="shared" si="152"/>
        <v>-2370099</v>
      </c>
      <c r="I219" s="27">
        <f>ROUND('CFIT Schedules'!H217*-0.21,0)</f>
        <v>0</v>
      </c>
      <c r="J219" s="27">
        <f t="shared" si="153"/>
        <v>-2370099</v>
      </c>
      <c r="K219" s="51">
        <f t="shared" si="139"/>
        <v>0</v>
      </c>
      <c r="L219" s="42">
        <f t="shared" si="148"/>
        <v>0</v>
      </c>
      <c r="M219" s="123" t="str">
        <f>'CFIT Schedules'!L217</f>
        <v>NON-APPLIC</v>
      </c>
    </row>
    <row r="220" spans="1:13" x14ac:dyDescent="0.2">
      <c r="A220" s="144">
        <f t="shared" si="112"/>
        <v>199</v>
      </c>
      <c r="B220" s="64" t="s">
        <v>395</v>
      </c>
      <c r="C220" s="36">
        <f>'CFIT Schedules'!E218</f>
        <v>0</v>
      </c>
      <c r="D220" s="42">
        <f t="shared" si="149"/>
        <v>0</v>
      </c>
      <c r="E220" s="36">
        <v>2467228</v>
      </c>
      <c r="F220" s="36">
        <f t="shared" si="146"/>
        <v>2467228</v>
      </c>
      <c r="G220" s="27">
        <f>ROUND('CFIT Schedules'!F218*-0.21,0)</f>
        <v>0</v>
      </c>
      <c r="H220" s="27">
        <f t="shared" si="152"/>
        <v>2467228</v>
      </c>
      <c r="I220" s="27">
        <f>ROUND('CFIT Schedules'!H218*-0.21,0)</f>
        <v>0</v>
      </c>
      <c r="J220" s="27">
        <f t="shared" si="153"/>
        <v>2467228</v>
      </c>
      <c r="K220" s="51">
        <f t="shared" si="139"/>
        <v>0</v>
      </c>
      <c r="L220" s="42">
        <f t="shared" si="148"/>
        <v>0</v>
      </c>
      <c r="M220" s="123" t="str">
        <f>'CFIT Schedules'!L218</f>
        <v>NON-APPLIC</v>
      </c>
    </row>
    <row r="221" spans="1:13" x14ac:dyDescent="0.2">
      <c r="A221" s="144">
        <f t="shared" si="112"/>
        <v>200</v>
      </c>
      <c r="B221" s="64" t="s">
        <v>359</v>
      </c>
      <c r="C221" s="36">
        <f>+'CFIT Schedules'!E219</f>
        <v>14797</v>
      </c>
      <c r="D221" s="42">
        <f>IF(C221*0.21=0,0,ROUND(C221*-0.21,0))</f>
        <v>-3107</v>
      </c>
      <c r="E221" s="36">
        <v>0</v>
      </c>
      <c r="F221" s="36">
        <f t="shared" ref="F221" si="154">SUM(D221:E221)</f>
        <v>-3107</v>
      </c>
      <c r="G221" s="27">
        <f>ROUND('CFIT Schedules'!F219*-0.35,0)</f>
        <v>0</v>
      </c>
      <c r="H221" s="27">
        <f t="shared" si="123"/>
        <v>-3107</v>
      </c>
      <c r="I221" s="27">
        <f>ROUND('CFIT Schedules'!H219*-0.21,0)</f>
        <v>0</v>
      </c>
      <c r="J221" s="27">
        <f t="shared" ref="J221" si="155">+H221+I221</f>
        <v>-3107</v>
      </c>
      <c r="K221" s="51">
        <f t="shared" si="139"/>
        <v>0.98499999999999999</v>
      </c>
      <c r="L221" s="42">
        <f t="shared" ref="L221" si="156">IF(J221*K221=0,0, ROUND(J221*K221,0))</f>
        <v>-3060</v>
      </c>
      <c r="M221" s="18" t="str">
        <f>'CFIT Schedules'!L219</f>
        <v>GROSS PLT</v>
      </c>
    </row>
    <row r="222" spans="1:13" x14ac:dyDescent="0.2">
      <c r="A222" s="144">
        <f t="shared" si="112"/>
        <v>201</v>
      </c>
      <c r="B222" s="121" t="s">
        <v>377</v>
      </c>
      <c r="C222" s="36">
        <f>'CFIT Schedules'!C220</f>
        <v>225273</v>
      </c>
      <c r="D222" s="42">
        <f>IF(C222*0.21=0,0,ROUND(C222*-0.21,0))</f>
        <v>-47307</v>
      </c>
      <c r="E222" s="36">
        <v>0</v>
      </c>
      <c r="F222" s="36">
        <f t="shared" ref="F222" si="157">SUM(D222:E222)</f>
        <v>-47307</v>
      </c>
      <c r="G222" s="27">
        <f>ROUND('CFIT Schedules'!F220*-0.35,0)</f>
        <v>0</v>
      </c>
      <c r="H222" s="27">
        <f t="shared" ref="H222" si="158">+F222+G222</f>
        <v>-47307</v>
      </c>
      <c r="I222" s="27">
        <f>ROUND('CFIT Schedules'!H220*-0.21,0)</f>
        <v>0</v>
      </c>
      <c r="J222" s="27">
        <f t="shared" ref="J222" si="159">+H222+I222</f>
        <v>-47307</v>
      </c>
      <c r="K222" s="51">
        <f t="shared" ref="K222" si="160">VLOOKUP(M222,$C$300:$D$314,2,FALSE)</f>
        <v>0.98499999999999999</v>
      </c>
      <c r="L222" s="42">
        <f t="shared" ref="L222" si="161">IF(J222*K222=0,0, ROUND(J222*K222,0))</f>
        <v>-46597</v>
      </c>
      <c r="M222" s="137" t="str">
        <f>'CFIT Schedules'!L220</f>
        <v>GROSS PLT</v>
      </c>
    </row>
    <row r="223" spans="1:13" x14ac:dyDescent="0.2">
      <c r="A223" s="144">
        <f t="shared" si="112"/>
        <v>202</v>
      </c>
      <c r="B223" s="64" t="s">
        <v>362</v>
      </c>
      <c r="C223" s="36">
        <f>+'CFIT Schedules'!E221</f>
        <v>0</v>
      </c>
      <c r="D223" s="42">
        <f>IF(C223*0.35=0,0,ROUND(C223*-0.21,0))</f>
        <v>0</v>
      </c>
      <c r="E223" s="36">
        <v>0</v>
      </c>
      <c r="F223" s="36">
        <f>SUM(D223:E223)</f>
        <v>0</v>
      </c>
      <c r="G223" s="27">
        <f>ROUND('CFIT Schedules'!F221*-0.35,0)</f>
        <v>0</v>
      </c>
      <c r="H223" s="27">
        <f t="shared" si="123"/>
        <v>0</v>
      </c>
      <c r="I223" s="27">
        <f>ROUND('CFIT Schedules'!H221*-0.21,0)</f>
        <v>0</v>
      </c>
      <c r="J223" s="27">
        <f>+H223+I223</f>
        <v>0</v>
      </c>
      <c r="K223" s="51">
        <f>VLOOKUP(M223,$C$300:$D$314,2,FALSE)</f>
        <v>0</v>
      </c>
      <c r="L223" s="42">
        <f>IF(J223*K223=0,0, ROUND(J223*K223,0))</f>
        <v>0</v>
      </c>
      <c r="M223" s="18" t="str">
        <f>'CFIT Schedules'!L221</f>
        <v>NON-APPLIC</v>
      </c>
    </row>
    <row r="224" spans="1:13" x14ac:dyDescent="0.2">
      <c r="A224" s="144">
        <f t="shared" ref="A224:A287" si="162">A223+1</f>
        <v>203</v>
      </c>
      <c r="B224" s="75" t="s">
        <v>76</v>
      </c>
      <c r="C224" s="78">
        <f t="shared" ref="C224:J224" si="163">SUM(C180:C223)</f>
        <v>-3593728.6400000006</v>
      </c>
      <c r="D224" s="78">
        <f t="shared" si="163"/>
        <v>754684</v>
      </c>
      <c r="E224" s="78">
        <f t="shared" si="163"/>
        <v>-11145349.569999995</v>
      </c>
      <c r="F224" s="78">
        <f t="shared" si="163"/>
        <v>-10390665.569999997</v>
      </c>
      <c r="G224" s="78">
        <f t="shared" si="163"/>
        <v>0</v>
      </c>
      <c r="H224" s="78">
        <f t="shared" si="163"/>
        <v>-10390665.569999997</v>
      </c>
      <c r="I224" s="78">
        <f t="shared" si="163"/>
        <v>0</v>
      </c>
      <c r="J224" s="78">
        <f t="shared" si="163"/>
        <v>-10390665.569999997</v>
      </c>
      <c r="K224" s="24"/>
      <c r="L224" s="78">
        <f>SUM(L180:L223)</f>
        <v>-9309642</v>
      </c>
    </row>
    <row r="225" spans="1:13" x14ac:dyDescent="0.2">
      <c r="A225" s="144">
        <f t="shared" si="162"/>
        <v>204</v>
      </c>
      <c r="B225" s="17" t="s">
        <v>0</v>
      </c>
      <c r="C225" s="36"/>
      <c r="D225" s="36"/>
      <c r="K225" s="81"/>
    </row>
    <row r="226" spans="1:13" x14ac:dyDescent="0.2">
      <c r="A226" s="144">
        <f t="shared" si="162"/>
        <v>205</v>
      </c>
      <c r="B226" s="75" t="s">
        <v>77</v>
      </c>
      <c r="C226" s="36"/>
      <c r="D226" s="36"/>
      <c r="K226" s="81"/>
    </row>
    <row r="227" spans="1:13" x14ac:dyDescent="0.2">
      <c r="A227" s="144">
        <f t="shared" si="162"/>
        <v>206</v>
      </c>
      <c r="B227" s="122" t="s">
        <v>378</v>
      </c>
      <c r="C227" s="36">
        <f>'CFIT Schedules'!E225</f>
        <v>0</v>
      </c>
      <c r="D227" s="42">
        <v>0</v>
      </c>
      <c r="E227" s="36">
        <v>0</v>
      </c>
      <c r="F227" s="36">
        <f t="shared" ref="F227" si="164">SUM(D227:E227)</f>
        <v>0</v>
      </c>
      <c r="G227" s="27">
        <v>0</v>
      </c>
      <c r="H227" s="27">
        <f t="shared" ref="H227" si="165">+F227+G227</f>
        <v>0</v>
      </c>
      <c r="I227" s="27">
        <v>0</v>
      </c>
      <c r="J227" s="27">
        <f t="shared" ref="J227" si="166">+H227+I227</f>
        <v>0</v>
      </c>
      <c r="K227" s="51">
        <f t="shared" ref="K227" si="167">VLOOKUP(M227,$C$300:$D$314,2,FALSE)</f>
        <v>0.98499999999999999</v>
      </c>
      <c r="L227" s="42">
        <f t="shared" ref="L227" si="168">IF(J227*K227=0,0, ROUND(J227*K227,0))</f>
        <v>0</v>
      </c>
      <c r="M227" s="138" t="str">
        <f>'CFIT Schedules'!L225</f>
        <v>GROSS PLT</v>
      </c>
    </row>
    <row r="228" spans="1:13" x14ac:dyDescent="0.2">
      <c r="A228" s="144">
        <f t="shared" si="162"/>
        <v>207</v>
      </c>
      <c r="B228" s="17" t="s">
        <v>292</v>
      </c>
      <c r="C228" s="36">
        <f>+'CFIT Schedules'!E226</f>
        <v>-918</v>
      </c>
      <c r="D228" s="42">
        <v>0</v>
      </c>
      <c r="E228" s="36">
        <v>0</v>
      </c>
      <c r="F228" s="36">
        <f t="shared" ref="F228:F236" si="169">SUM(D228:E228)</f>
        <v>0</v>
      </c>
      <c r="G228" s="27">
        <v>0</v>
      </c>
      <c r="H228" s="27">
        <f t="shared" ref="H228:H238" si="170">+F228+G228</f>
        <v>0</v>
      </c>
      <c r="I228" s="27">
        <v>0</v>
      </c>
      <c r="J228" s="27">
        <f t="shared" ref="J228:J236" si="171">+H228+I228</f>
        <v>0</v>
      </c>
      <c r="K228" s="51">
        <f t="shared" ref="K228:K237" si="172">VLOOKUP(M228,$C$300:$D$314,2,FALSE)</f>
        <v>0.99</v>
      </c>
      <c r="L228" s="42">
        <f t="shared" ref="L228:L238" si="173">IF(J228*K228=0,0, ROUND(J228*K228,0))</f>
        <v>0</v>
      </c>
      <c r="M228" s="18" t="str">
        <f>'CFIT Schedules'!L226</f>
        <v>LABOR</v>
      </c>
    </row>
    <row r="229" spans="1:13" x14ac:dyDescent="0.2">
      <c r="A229" s="144">
        <f t="shared" si="162"/>
        <v>208</v>
      </c>
      <c r="B229" s="17" t="s">
        <v>78</v>
      </c>
      <c r="C229" s="36">
        <f>+'CFIT Schedules'!E227</f>
        <v>0</v>
      </c>
      <c r="D229" s="42">
        <v>0</v>
      </c>
      <c r="E229" s="36">
        <v>0</v>
      </c>
      <c r="F229" s="36">
        <f t="shared" ref="F229" si="174">SUM(D229:E229)</f>
        <v>0</v>
      </c>
      <c r="G229" s="27">
        <v>0</v>
      </c>
      <c r="H229" s="27">
        <f t="shared" si="170"/>
        <v>0</v>
      </c>
      <c r="I229" s="27">
        <v>0</v>
      </c>
      <c r="J229" s="27">
        <f t="shared" ref="J229" si="175">+H229+I229</f>
        <v>0</v>
      </c>
      <c r="K229" s="51">
        <f t="shared" si="172"/>
        <v>0.99</v>
      </c>
      <c r="L229" s="42">
        <f t="shared" ref="L229" si="176">IF(J229*K229=0,0, ROUND(J229*K229,0))</f>
        <v>0</v>
      </c>
      <c r="M229" s="18" t="str">
        <f>'CFIT Schedules'!L227</f>
        <v>LABOR</v>
      </c>
    </row>
    <row r="230" spans="1:13" x14ac:dyDescent="0.2">
      <c r="A230" s="144">
        <f t="shared" si="162"/>
        <v>209</v>
      </c>
      <c r="B230" s="17" t="s">
        <v>79</v>
      </c>
      <c r="C230" s="36">
        <f>+'CFIT Schedules'!E228</f>
        <v>91034</v>
      </c>
      <c r="D230" s="42">
        <v>0</v>
      </c>
      <c r="E230" s="36">
        <v>0</v>
      </c>
      <c r="F230" s="36">
        <f t="shared" si="169"/>
        <v>0</v>
      </c>
      <c r="G230" s="27">
        <v>0</v>
      </c>
      <c r="H230" s="27">
        <f t="shared" si="170"/>
        <v>0</v>
      </c>
      <c r="I230" s="27">
        <v>0</v>
      </c>
      <c r="J230" s="27">
        <f t="shared" si="171"/>
        <v>0</v>
      </c>
      <c r="K230" s="51">
        <f t="shared" si="172"/>
        <v>0.99</v>
      </c>
      <c r="L230" s="42">
        <f t="shared" si="173"/>
        <v>0</v>
      </c>
      <c r="M230" s="18" t="str">
        <f>'CFIT Schedules'!L228</f>
        <v>LABOR</v>
      </c>
    </row>
    <row r="231" spans="1:13" x14ac:dyDescent="0.2">
      <c r="A231" s="144">
        <f t="shared" si="162"/>
        <v>210</v>
      </c>
      <c r="B231" s="17" t="s">
        <v>80</v>
      </c>
      <c r="C231" s="36">
        <f>+'CFIT Schedules'!E229</f>
        <v>0</v>
      </c>
      <c r="D231" s="42">
        <v>0</v>
      </c>
      <c r="E231" s="36">
        <v>0</v>
      </c>
      <c r="F231" s="36">
        <f t="shared" si="169"/>
        <v>0</v>
      </c>
      <c r="G231" s="27">
        <v>0</v>
      </c>
      <c r="H231" s="27">
        <f t="shared" si="170"/>
        <v>0</v>
      </c>
      <c r="I231" s="27">
        <v>0</v>
      </c>
      <c r="J231" s="27">
        <f t="shared" si="171"/>
        <v>0</v>
      </c>
      <c r="K231" s="51">
        <f t="shared" si="172"/>
        <v>0</v>
      </c>
      <c r="L231" s="42">
        <f t="shared" si="173"/>
        <v>0</v>
      </c>
      <c r="M231" s="18" t="str">
        <f>'CFIT Schedules'!L229</f>
        <v>NON-APPLIC</v>
      </c>
    </row>
    <row r="232" spans="1:13" x14ac:dyDescent="0.2">
      <c r="A232" s="144">
        <f t="shared" si="162"/>
        <v>211</v>
      </c>
      <c r="B232" s="17" t="s">
        <v>279</v>
      </c>
      <c r="C232" s="36">
        <f>+'CFIT Schedules'!E230</f>
        <v>0</v>
      </c>
      <c r="D232" s="42">
        <f>IF(C232*0.21=0,0,ROUND(C232*-0.21,0))</f>
        <v>0</v>
      </c>
      <c r="E232" s="36">
        <v>0</v>
      </c>
      <c r="F232" s="36">
        <f>SUM(D232:E232)</f>
        <v>0</v>
      </c>
      <c r="G232" s="27">
        <f>ROUND('CFIT Schedules'!F230*-0.35,0)</f>
        <v>0</v>
      </c>
      <c r="H232" s="27">
        <f t="shared" si="170"/>
        <v>0</v>
      </c>
      <c r="I232" s="27">
        <f>ROUND('CFIT Schedules'!H230*-0.35,0)</f>
        <v>0</v>
      </c>
      <c r="J232" s="27">
        <f>+H232+I232</f>
        <v>0</v>
      </c>
      <c r="K232" s="51">
        <f t="shared" si="172"/>
        <v>0</v>
      </c>
      <c r="L232" s="42">
        <f>IF(J232*K232=0,0, ROUND(J232*K232,0))</f>
        <v>0</v>
      </c>
      <c r="M232" s="18" t="str">
        <f>'CFIT Schedules'!L230</f>
        <v>NON-APPLIC</v>
      </c>
    </row>
    <row r="233" spans="1:13" x14ac:dyDescent="0.2">
      <c r="A233" s="144">
        <f t="shared" si="162"/>
        <v>212</v>
      </c>
      <c r="B233" s="17" t="s">
        <v>81</v>
      </c>
      <c r="C233" s="36">
        <f>+'CFIT Schedules'!E231</f>
        <v>0</v>
      </c>
      <c r="D233" s="42">
        <v>0</v>
      </c>
      <c r="E233" s="36">
        <v>0</v>
      </c>
      <c r="F233" s="36">
        <f t="shared" si="169"/>
        <v>0</v>
      </c>
      <c r="G233" s="27">
        <v>0</v>
      </c>
      <c r="H233" s="27">
        <f t="shared" si="170"/>
        <v>0</v>
      </c>
      <c r="I233" s="27">
        <v>0</v>
      </c>
      <c r="J233" s="27">
        <f t="shared" si="171"/>
        <v>0</v>
      </c>
      <c r="K233" s="51">
        <f t="shared" si="172"/>
        <v>0</v>
      </c>
      <c r="L233" s="42">
        <f t="shared" si="173"/>
        <v>0</v>
      </c>
      <c r="M233" s="18" t="str">
        <f>'CFIT Schedules'!L231</f>
        <v>NON-APPLIC</v>
      </c>
    </row>
    <row r="234" spans="1:13" x14ac:dyDescent="0.2">
      <c r="A234" s="144">
        <f t="shared" si="162"/>
        <v>213</v>
      </c>
      <c r="B234" s="17" t="s">
        <v>280</v>
      </c>
      <c r="C234" s="36">
        <f>+'CFIT Schedules'!E232</f>
        <v>0</v>
      </c>
      <c r="D234" s="42">
        <f>IF(C234*0.21=0,0,ROUND(C234*-0.21,0))</f>
        <v>0</v>
      </c>
      <c r="E234" s="36">
        <v>0</v>
      </c>
      <c r="F234" s="36">
        <f>SUM(D234:E234)</f>
        <v>0</v>
      </c>
      <c r="G234" s="27">
        <f>ROUND('CFIT Schedules'!F232*-0.35,0)</f>
        <v>0</v>
      </c>
      <c r="H234" s="27">
        <f t="shared" si="170"/>
        <v>0</v>
      </c>
      <c r="I234" s="27">
        <f>ROUND('CFIT Schedules'!H232*-0.21,0)</f>
        <v>0</v>
      </c>
      <c r="J234" s="27">
        <f>+H234+I234</f>
        <v>0</v>
      </c>
      <c r="K234" s="51">
        <f t="shared" si="172"/>
        <v>0.99</v>
      </c>
      <c r="L234" s="42">
        <f>IF(J234*K234=0,0, ROUND(J234*K234,0))</f>
        <v>0</v>
      </c>
      <c r="M234" s="18" t="str">
        <f>'CFIT Schedules'!L232</f>
        <v>LABOR</v>
      </c>
    </row>
    <row r="235" spans="1:13" x14ac:dyDescent="0.2">
      <c r="A235" s="144">
        <f t="shared" si="162"/>
        <v>214</v>
      </c>
      <c r="B235" s="56" t="s">
        <v>258</v>
      </c>
      <c r="C235" s="36">
        <f>+'CFIT Schedules'!E233</f>
        <v>0</v>
      </c>
      <c r="D235" s="42">
        <v>0</v>
      </c>
      <c r="E235" s="36">
        <v>0</v>
      </c>
      <c r="F235" s="36">
        <f t="shared" si="169"/>
        <v>0</v>
      </c>
      <c r="G235" s="27">
        <v>0</v>
      </c>
      <c r="H235" s="27">
        <f t="shared" si="170"/>
        <v>0</v>
      </c>
      <c r="I235" s="27">
        <v>0</v>
      </c>
      <c r="J235" s="27">
        <f t="shared" si="171"/>
        <v>0</v>
      </c>
      <c r="K235" s="51">
        <f t="shared" si="172"/>
        <v>0.98499999999999999</v>
      </c>
      <c r="L235" s="42">
        <f t="shared" si="173"/>
        <v>0</v>
      </c>
      <c r="M235" s="18" t="str">
        <f>'CFIT Schedules'!L234</f>
        <v>PROD PLT</v>
      </c>
    </row>
    <row r="236" spans="1:13" x14ac:dyDescent="0.2">
      <c r="A236" s="144">
        <f t="shared" si="162"/>
        <v>215</v>
      </c>
      <c r="B236" s="17" t="s">
        <v>82</v>
      </c>
      <c r="C236" s="36">
        <f>+'CFIT Schedules'!E234</f>
        <v>0</v>
      </c>
      <c r="D236" s="42">
        <v>0</v>
      </c>
      <c r="E236" s="36">
        <v>0</v>
      </c>
      <c r="F236" s="36">
        <f t="shared" si="169"/>
        <v>0</v>
      </c>
      <c r="G236" s="27">
        <v>0</v>
      </c>
      <c r="H236" s="27">
        <f t="shared" si="170"/>
        <v>0</v>
      </c>
      <c r="I236" s="27">
        <v>0</v>
      </c>
      <c r="J236" s="27">
        <f t="shared" si="171"/>
        <v>0</v>
      </c>
      <c r="K236" s="51">
        <f t="shared" si="172"/>
        <v>0.98499999999999999</v>
      </c>
      <c r="L236" s="42">
        <f t="shared" si="173"/>
        <v>0</v>
      </c>
      <c r="M236" s="18" t="str">
        <f>'CFIT Schedules'!L234</f>
        <v>PROD PLT</v>
      </c>
    </row>
    <row r="237" spans="1:13" x14ac:dyDescent="0.2">
      <c r="A237" s="144">
        <f t="shared" si="162"/>
        <v>216</v>
      </c>
      <c r="B237" s="122" t="s">
        <v>379</v>
      </c>
      <c r="C237" s="36">
        <f>'CFIT Schedules'!E235</f>
        <v>-18382</v>
      </c>
      <c r="D237" s="42">
        <v>0</v>
      </c>
      <c r="E237" s="36">
        <v>0</v>
      </c>
      <c r="F237" s="36">
        <f t="shared" ref="F237" si="177">SUM(D237:E237)</f>
        <v>0</v>
      </c>
      <c r="G237" s="27">
        <v>0</v>
      </c>
      <c r="H237" s="27">
        <f t="shared" ref="H237" si="178">+F237+G237</f>
        <v>0</v>
      </c>
      <c r="I237" s="27">
        <v>0</v>
      </c>
      <c r="J237" s="27">
        <f t="shared" ref="J237" si="179">+H237+I237</f>
        <v>0</v>
      </c>
      <c r="K237" s="51">
        <f t="shared" si="172"/>
        <v>0.98499999999999999</v>
      </c>
      <c r="L237" s="42">
        <f t="shared" si="173"/>
        <v>0</v>
      </c>
      <c r="M237" s="137" t="str">
        <f>'CFIT Schedules'!L235</f>
        <v>GROSS PLT</v>
      </c>
    </row>
    <row r="238" spans="1:13" x14ac:dyDescent="0.2">
      <c r="A238" s="144">
        <f t="shared" si="162"/>
        <v>217</v>
      </c>
      <c r="B238" s="56" t="s">
        <v>259</v>
      </c>
      <c r="C238" s="36">
        <f>+'CFIT Schedules'!E236</f>
        <v>66465</v>
      </c>
      <c r="D238" s="42">
        <f>IF(C238*0.21=0,0,ROUND(C238*-0.21,0))</f>
        <v>-13958</v>
      </c>
      <c r="E238" s="36">
        <v>0</v>
      </c>
      <c r="F238" s="36">
        <f>SUM(D238:E238)</f>
        <v>-13958</v>
      </c>
      <c r="G238" s="27">
        <v>0</v>
      </c>
      <c r="H238" s="27">
        <f t="shared" si="170"/>
        <v>-13958</v>
      </c>
      <c r="I238" s="27">
        <v>0</v>
      </c>
      <c r="J238" s="27">
        <f>+H238+I238</f>
        <v>-13958</v>
      </c>
      <c r="K238" s="51">
        <f>VLOOKUP(M238,$C$300:$D$314,2,FALSE)</f>
        <v>0</v>
      </c>
      <c r="L238" s="42">
        <f t="shared" si="173"/>
        <v>0</v>
      </c>
      <c r="M238" s="18" t="str">
        <f>'CFIT Schedules'!L236</f>
        <v>NON-APPLIC</v>
      </c>
    </row>
    <row r="239" spans="1:13" x14ac:dyDescent="0.2">
      <c r="A239" s="144">
        <f t="shared" si="162"/>
        <v>218</v>
      </c>
      <c r="B239" s="75" t="s">
        <v>83</v>
      </c>
      <c r="C239" s="78">
        <f t="shared" ref="C239:J239" si="180">SUM(C227:C238)</f>
        <v>138199</v>
      </c>
      <c r="D239" s="78">
        <f t="shared" si="180"/>
        <v>-13958</v>
      </c>
      <c r="E239" s="78">
        <f t="shared" si="180"/>
        <v>0</v>
      </c>
      <c r="F239" s="78">
        <f t="shared" si="180"/>
        <v>-13958</v>
      </c>
      <c r="G239" s="78">
        <f t="shared" si="180"/>
        <v>0</v>
      </c>
      <c r="H239" s="78">
        <f t="shared" si="180"/>
        <v>-13958</v>
      </c>
      <c r="I239" s="78">
        <f t="shared" si="180"/>
        <v>0</v>
      </c>
      <c r="J239" s="78">
        <f t="shared" si="180"/>
        <v>-13958</v>
      </c>
      <c r="K239" s="24"/>
      <c r="L239" s="78">
        <f>SUM(L227:L238)</f>
        <v>0</v>
      </c>
    </row>
    <row r="240" spans="1:13" x14ac:dyDescent="0.2">
      <c r="A240" s="144">
        <f t="shared" si="162"/>
        <v>219</v>
      </c>
      <c r="B240" s="17" t="s">
        <v>0</v>
      </c>
      <c r="C240" s="36"/>
      <c r="D240" s="36"/>
      <c r="K240" s="81"/>
    </row>
    <row r="241" spans="1:13" x14ac:dyDescent="0.2">
      <c r="A241" s="144">
        <f t="shared" si="162"/>
        <v>220</v>
      </c>
      <c r="B241" s="75" t="s">
        <v>84</v>
      </c>
      <c r="C241" s="36"/>
      <c r="D241" s="36"/>
      <c r="K241" s="81"/>
    </row>
    <row r="242" spans="1:13" x14ac:dyDescent="0.2">
      <c r="A242" s="144">
        <f t="shared" si="162"/>
        <v>221</v>
      </c>
      <c r="B242" s="17" t="s">
        <v>85</v>
      </c>
      <c r="C242" s="36">
        <f>+'CFIT Schedules'!E240</f>
        <v>-99490</v>
      </c>
      <c r="D242" s="42">
        <f>IF(C242*0.21=0,0,ROUND(C242*-0.21,0))</f>
        <v>20893</v>
      </c>
      <c r="E242" s="36">
        <v>0</v>
      </c>
      <c r="F242" s="36">
        <f>SUM(D242:E242)</f>
        <v>20893</v>
      </c>
      <c r="G242" s="27">
        <f>ROUND('CFIT Schedules'!F240*-0.35,0)</f>
        <v>0</v>
      </c>
      <c r="H242" s="27">
        <f t="shared" ref="H242:H243" si="181">+F242+G242</f>
        <v>20893</v>
      </c>
      <c r="I242" s="27">
        <f>ROUND('CFIT Schedules'!H240*-0.21,0)</f>
        <v>0</v>
      </c>
      <c r="J242" s="27">
        <f>+H242+I242</f>
        <v>20893</v>
      </c>
      <c r="K242" s="51">
        <f>VLOOKUP(M242,$C$300:$D$314,2,FALSE)</f>
        <v>0.98499999999999999</v>
      </c>
      <c r="L242" s="42">
        <f>IF(J242*K242=0,0, ROUND(J242*K242,0))</f>
        <v>20580</v>
      </c>
      <c r="M242" s="18" t="str">
        <f>'CFIT Schedules'!L240</f>
        <v>GROSS PLT</v>
      </c>
    </row>
    <row r="243" spans="1:13" x14ac:dyDescent="0.2">
      <c r="A243" s="144">
        <f t="shared" si="162"/>
        <v>222</v>
      </c>
      <c r="B243" s="17" t="s">
        <v>86</v>
      </c>
      <c r="C243" s="37">
        <f>+'CFIT Schedules'!E241</f>
        <v>0</v>
      </c>
      <c r="D243" s="42">
        <f>IF(C243*0.21=0,0,ROUND(C243*-0.21,0))</f>
        <v>0</v>
      </c>
      <c r="E243" s="37">
        <v>0</v>
      </c>
      <c r="F243" s="37">
        <f>SUM(D243:E243)</f>
        <v>0</v>
      </c>
      <c r="G243" s="27">
        <f>ROUND('CFIT Schedules'!F241*-0.35,0)</f>
        <v>0</v>
      </c>
      <c r="H243" s="27">
        <f t="shared" si="181"/>
        <v>0</v>
      </c>
      <c r="I243" s="27">
        <f>ROUND('CFIT Schedules'!H241*-0.21,0)</f>
        <v>0</v>
      </c>
      <c r="J243" s="37">
        <f>+H243+I243</f>
        <v>0</v>
      </c>
      <c r="K243" s="51">
        <f>VLOOKUP(M243,$C$300:$D$314,2,FALSE)</f>
        <v>0.98499999999999999</v>
      </c>
      <c r="L243" s="42">
        <f>IF(J243*K243=0,0, ROUND(J243*K243,0))</f>
        <v>0</v>
      </c>
      <c r="M243" s="18" t="str">
        <f>'CFIT Schedules'!L241</f>
        <v>GROSS PLT</v>
      </c>
    </row>
    <row r="244" spans="1:13" x14ac:dyDescent="0.2">
      <c r="A244" s="144">
        <f t="shared" si="162"/>
        <v>223</v>
      </c>
      <c r="B244" s="75" t="s">
        <v>87</v>
      </c>
      <c r="C244" s="78">
        <f t="shared" ref="C244:J244" si="182">SUM(C242:C243)</f>
        <v>-99490</v>
      </c>
      <c r="D244" s="78">
        <f t="shared" si="182"/>
        <v>20893</v>
      </c>
      <c r="E244" s="78">
        <f t="shared" si="182"/>
        <v>0</v>
      </c>
      <c r="F244" s="78">
        <f t="shared" si="182"/>
        <v>20893</v>
      </c>
      <c r="G244" s="78">
        <f t="shared" ref="G244" si="183">SUM(G242:G243)</f>
        <v>0</v>
      </c>
      <c r="H244" s="78">
        <f t="shared" si="182"/>
        <v>20893</v>
      </c>
      <c r="I244" s="78">
        <f t="shared" si="182"/>
        <v>0</v>
      </c>
      <c r="J244" s="78">
        <f t="shared" si="182"/>
        <v>20893</v>
      </c>
      <c r="K244" s="24"/>
      <c r="L244" s="78">
        <f>SUM(L242:L243)</f>
        <v>20580</v>
      </c>
    </row>
    <row r="245" spans="1:13" x14ac:dyDescent="0.2">
      <c r="A245" s="144">
        <f t="shared" si="162"/>
        <v>224</v>
      </c>
      <c r="B245" s="17" t="s">
        <v>0</v>
      </c>
      <c r="C245" s="36"/>
      <c r="D245" s="36"/>
      <c r="K245" s="81"/>
    </row>
    <row r="246" spans="1:13" x14ac:dyDescent="0.2">
      <c r="A246" s="144">
        <f t="shared" si="162"/>
        <v>225</v>
      </c>
      <c r="B246" s="75" t="s">
        <v>88</v>
      </c>
      <c r="C246" s="36"/>
      <c r="D246" s="36"/>
      <c r="K246" s="81"/>
    </row>
    <row r="247" spans="1:13" x14ac:dyDescent="0.2">
      <c r="A247" s="144">
        <f t="shared" si="162"/>
        <v>226</v>
      </c>
      <c r="B247" s="17" t="s">
        <v>89</v>
      </c>
      <c r="C247" s="36">
        <f>+'CFIT Schedules'!E245</f>
        <v>-3467221</v>
      </c>
      <c r="D247" s="42">
        <f>IF(C247*0.21=0,0,ROUND(C247*-0.21,0))</f>
        <v>728116</v>
      </c>
      <c r="E247" s="36">
        <v>0</v>
      </c>
      <c r="F247" s="36">
        <f>SUM(D247:E247)</f>
        <v>728116</v>
      </c>
      <c r="G247" s="27">
        <f>ROUND('CFIT Schedules'!F245*-0.35,0)</f>
        <v>0</v>
      </c>
      <c r="H247" s="27">
        <f>+F247+G247</f>
        <v>728116</v>
      </c>
      <c r="I247" s="27">
        <f>ROUND('CFIT Schedules'!H245*-0.21,0)</f>
        <v>0</v>
      </c>
      <c r="J247" s="27">
        <f>+H247+I247</f>
        <v>728116</v>
      </c>
      <c r="K247" s="51">
        <f>VLOOKUP(M247,$C$300:$D$314,2,FALSE)</f>
        <v>0.98499999999999999</v>
      </c>
      <c r="L247" s="42">
        <f>IF(J247*K247=0,0, ROUND(J247*K247,0))</f>
        <v>717194</v>
      </c>
      <c r="M247" s="18" t="str">
        <f>'CFIT Schedules'!L245</f>
        <v>GROSS PLT</v>
      </c>
    </row>
    <row r="248" spans="1:13" x14ac:dyDescent="0.2">
      <c r="A248" s="144">
        <f t="shared" si="162"/>
        <v>227</v>
      </c>
      <c r="B248" s="75" t="s">
        <v>90</v>
      </c>
      <c r="C248" s="78">
        <f t="shared" ref="C248:J248" si="184">SUM(C247:C247)</f>
        <v>-3467221</v>
      </c>
      <c r="D248" s="78">
        <f t="shared" si="184"/>
        <v>728116</v>
      </c>
      <c r="E248" s="78">
        <f t="shared" si="184"/>
        <v>0</v>
      </c>
      <c r="F248" s="78">
        <f t="shared" si="184"/>
        <v>728116</v>
      </c>
      <c r="G248" s="78">
        <f t="shared" ref="G248" si="185">SUM(G247:G247)</f>
        <v>0</v>
      </c>
      <c r="H248" s="78">
        <f t="shared" si="184"/>
        <v>728116</v>
      </c>
      <c r="I248" s="78">
        <f t="shared" si="184"/>
        <v>0</v>
      </c>
      <c r="J248" s="78">
        <f t="shared" si="184"/>
        <v>728116</v>
      </c>
      <c r="K248" s="24"/>
      <c r="L248" s="78">
        <f>SUM(L247:L247)</f>
        <v>717194</v>
      </c>
    </row>
    <row r="249" spans="1:13" x14ac:dyDescent="0.2">
      <c r="A249" s="144">
        <f t="shared" si="162"/>
        <v>228</v>
      </c>
      <c r="B249" s="17" t="s">
        <v>0</v>
      </c>
      <c r="C249" s="36"/>
      <c r="D249" s="36"/>
      <c r="K249" s="81"/>
    </row>
    <row r="250" spans="1:13" x14ac:dyDescent="0.2">
      <c r="A250" s="144">
        <f t="shared" si="162"/>
        <v>229</v>
      </c>
      <c r="B250" s="75" t="s">
        <v>91</v>
      </c>
      <c r="C250" s="36"/>
      <c r="D250" s="36"/>
      <c r="K250" s="81"/>
    </row>
    <row r="251" spans="1:13" x14ac:dyDescent="0.2">
      <c r="A251" s="144">
        <f t="shared" si="162"/>
        <v>230</v>
      </c>
      <c r="B251" s="17" t="s">
        <v>346</v>
      </c>
      <c r="C251" s="37">
        <f>+'CFIT Schedules'!E249</f>
        <v>37226</v>
      </c>
      <c r="D251" s="42">
        <f>IF(C251*0.21=0,0,ROUND(C251*-0.21,0))</f>
        <v>-7817</v>
      </c>
      <c r="E251" s="58">
        <v>0</v>
      </c>
      <c r="F251" s="37">
        <f>SUM(D251:E251)</f>
        <v>-7817</v>
      </c>
      <c r="G251" s="58">
        <v>0</v>
      </c>
      <c r="H251" s="27">
        <f>+F251+G251</f>
        <v>-7817</v>
      </c>
      <c r="I251" s="58">
        <v>0</v>
      </c>
      <c r="J251" s="37">
        <f>+H251+I251</f>
        <v>-7817</v>
      </c>
      <c r="K251" s="51">
        <f>VLOOKUP(M251,$C$300:$D$314,2,FALSE)</f>
        <v>0.98499999999999999</v>
      </c>
      <c r="L251" s="42">
        <f>IF(J251*K251=0,0, ROUND(J251*K251,0))</f>
        <v>-7700</v>
      </c>
      <c r="M251" s="18" t="str">
        <f>'CFIT Schedules'!L249</f>
        <v>DEMAND</v>
      </c>
    </row>
    <row r="252" spans="1:13" x14ac:dyDescent="0.2">
      <c r="A252" s="144">
        <f t="shared" si="162"/>
        <v>231</v>
      </c>
      <c r="B252" s="75" t="s">
        <v>92</v>
      </c>
      <c r="C252" s="78">
        <f t="shared" ref="C252:J252" si="186">SUM(C251:C251)</f>
        <v>37226</v>
      </c>
      <c r="D252" s="78">
        <f t="shared" si="186"/>
        <v>-7817</v>
      </c>
      <c r="E252" s="78">
        <f t="shared" si="186"/>
        <v>0</v>
      </c>
      <c r="F252" s="78">
        <f t="shared" si="186"/>
        <v>-7817</v>
      </c>
      <c r="G252" s="78">
        <f t="shared" ref="G252" si="187">SUM(G251:G251)</f>
        <v>0</v>
      </c>
      <c r="H252" s="78">
        <f t="shared" si="186"/>
        <v>-7817</v>
      </c>
      <c r="I252" s="78">
        <f t="shared" si="186"/>
        <v>0</v>
      </c>
      <c r="J252" s="78">
        <f t="shared" si="186"/>
        <v>-7817</v>
      </c>
      <c r="K252" s="24"/>
      <c r="L252" s="78">
        <f>SUM(L251:L251)</f>
        <v>-7700</v>
      </c>
    </row>
    <row r="253" spans="1:13" x14ac:dyDescent="0.2">
      <c r="A253" s="144">
        <f t="shared" si="162"/>
        <v>232</v>
      </c>
      <c r="B253" s="17" t="s">
        <v>0</v>
      </c>
      <c r="C253" s="36"/>
      <c r="D253" s="36"/>
      <c r="K253" s="81"/>
    </row>
    <row r="254" spans="1:13" x14ac:dyDescent="0.2">
      <c r="A254" s="144">
        <f t="shared" si="162"/>
        <v>233</v>
      </c>
      <c r="B254" s="75" t="s">
        <v>93</v>
      </c>
      <c r="C254" s="36"/>
      <c r="D254" s="36"/>
      <c r="K254" s="81"/>
    </row>
    <row r="255" spans="1:13" x14ac:dyDescent="0.2">
      <c r="A255" s="144">
        <f t="shared" si="162"/>
        <v>234</v>
      </c>
      <c r="B255" s="17" t="s">
        <v>94</v>
      </c>
      <c r="C255" s="36">
        <f>+'CFIT Schedules'!E253</f>
        <v>0</v>
      </c>
      <c r="D255" s="42">
        <f>IF(C255*0.21=0,0,ROUND(C255*-0.21,0))</f>
        <v>0</v>
      </c>
      <c r="E255" s="36">
        <v>0</v>
      </c>
      <c r="F255" s="36">
        <f t="shared" ref="F255:F265" si="188">SUM(D255:E255)</f>
        <v>0</v>
      </c>
      <c r="G255" s="27">
        <f>ROUND('CFIT Schedules'!F253*-0.35,0)</f>
        <v>0</v>
      </c>
      <c r="H255" s="27">
        <f t="shared" ref="H255:H265" si="189">+F255+G255</f>
        <v>0</v>
      </c>
      <c r="I255" s="27">
        <f>ROUND('CFIT Schedules'!H253*-0.21,0)</f>
        <v>0</v>
      </c>
      <c r="J255" s="27">
        <f t="shared" ref="J255:J265" si="190">+H255+I255</f>
        <v>0</v>
      </c>
      <c r="K255" s="51">
        <f t="shared" ref="K255:K265" si="191">VLOOKUP(M255,$C$300:$D$314,2,FALSE)</f>
        <v>0</v>
      </c>
      <c r="L255" s="42">
        <f t="shared" ref="L255:L265" si="192">IF(J255*K255=0,0, ROUND(J255*K255,0))</f>
        <v>0</v>
      </c>
      <c r="M255" s="18" t="str">
        <f>'CFIT Schedules'!L253</f>
        <v>NON-UTILITY</v>
      </c>
    </row>
    <row r="256" spans="1:13" x14ac:dyDescent="0.2">
      <c r="A256" s="144">
        <f t="shared" si="162"/>
        <v>235</v>
      </c>
      <c r="B256" s="17" t="s">
        <v>95</v>
      </c>
      <c r="C256" s="36">
        <f>+'CFIT Schedules'!E254</f>
        <v>5166635</v>
      </c>
      <c r="D256" s="42">
        <f>IF(C256*0.35=0,0,ROUND(C256*-0.21,0))</f>
        <v>-1084993</v>
      </c>
      <c r="E256" s="36">
        <v>0</v>
      </c>
      <c r="F256" s="36">
        <f t="shared" si="188"/>
        <v>-1084993</v>
      </c>
      <c r="G256" s="27">
        <f>ROUND('CFIT Schedules'!F254*-0.35,0)</f>
        <v>0</v>
      </c>
      <c r="H256" s="27">
        <f t="shared" si="189"/>
        <v>-1084993</v>
      </c>
      <c r="I256" s="27">
        <f>ROUND('CFIT Schedules'!H254*-0.21,0)</f>
        <v>0</v>
      </c>
      <c r="J256" s="27">
        <f t="shared" si="190"/>
        <v>-1084993</v>
      </c>
      <c r="K256" s="51">
        <f t="shared" si="191"/>
        <v>0.98599999999999999</v>
      </c>
      <c r="L256" s="42">
        <f t="shared" si="192"/>
        <v>-1069803</v>
      </c>
      <c r="M256" s="18" t="str">
        <f>'CFIT Schedules'!L254</f>
        <v>ENERGY</v>
      </c>
    </row>
    <row r="257" spans="1:13" x14ac:dyDescent="0.2">
      <c r="A257" s="144">
        <f t="shared" si="162"/>
        <v>236</v>
      </c>
      <c r="B257" s="17" t="s">
        <v>96</v>
      </c>
      <c r="C257" s="36">
        <f>+'CFIT Schedules'!E255</f>
        <v>0</v>
      </c>
      <c r="D257" s="42">
        <f t="shared" ref="D257:D265" si="193">IF(C257*0.21=0,0,ROUND(C257*-0.21,0))</f>
        <v>0</v>
      </c>
      <c r="E257" s="36">
        <v>0</v>
      </c>
      <c r="F257" s="36">
        <f t="shared" si="188"/>
        <v>0</v>
      </c>
      <c r="G257" s="27">
        <f>ROUND('CFIT Schedules'!F255*-0.35,0)</f>
        <v>0</v>
      </c>
      <c r="H257" s="27">
        <f t="shared" si="189"/>
        <v>0</v>
      </c>
      <c r="I257" s="27">
        <f>ROUND('CFIT Schedules'!H255*-0.21,0)</f>
        <v>0</v>
      </c>
      <c r="J257" s="27">
        <f t="shared" si="190"/>
        <v>0</v>
      </c>
      <c r="K257" s="51">
        <f t="shared" si="191"/>
        <v>0</v>
      </c>
      <c r="L257" s="42">
        <f t="shared" si="192"/>
        <v>0</v>
      </c>
      <c r="M257" s="18" t="str">
        <f>'CFIT Schedules'!L255</f>
        <v>NON-UTILITY</v>
      </c>
    </row>
    <row r="258" spans="1:13" x14ac:dyDescent="0.2">
      <c r="A258" s="144">
        <f t="shared" si="162"/>
        <v>237</v>
      </c>
      <c r="B258" s="17" t="s">
        <v>97</v>
      </c>
      <c r="C258" s="36">
        <f>+'CFIT Schedules'!E256</f>
        <v>0</v>
      </c>
      <c r="D258" s="42">
        <f t="shared" si="193"/>
        <v>0</v>
      </c>
      <c r="E258" s="36">
        <v>0</v>
      </c>
      <c r="F258" s="36">
        <f t="shared" si="188"/>
        <v>0</v>
      </c>
      <c r="G258" s="27">
        <f>ROUND('CFIT Schedules'!F256*-0.35,0)</f>
        <v>0</v>
      </c>
      <c r="H258" s="27">
        <f t="shared" si="189"/>
        <v>0</v>
      </c>
      <c r="I258" s="27">
        <f>ROUND('CFIT Schedules'!H256*-0.21,0)</f>
        <v>0</v>
      </c>
      <c r="J258" s="27">
        <f t="shared" si="190"/>
        <v>0</v>
      </c>
      <c r="K258" s="51">
        <f t="shared" si="191"/>
        <v>0</v>
      </c>
      <c r="L258" s="42">
        <f t="shared" si="192"/>
        <v>0</v>
      </c>
      <c r="M258" s="18" t="str">
        <f>'CFIT Schedules'!L256</f>
        <v>NON-UTILITY</v>
      </c>
    </row>
    <row r="259" spans="1:13" x14ac:dyDescent="0.2">
      <c r="A259" s="144">
        <f t="shared" si="162"/>
        <v>238</v>
      </c>
      <c r="B259" s="17" t="s">
        <v>98</v>
      </c>
      <c r="C259" s="36">
        <f>+'CFIT Schedules'!E257</f>
        <v>287340</v>
      </c>
      <c r="D259" s="42">
        <f t="shared" si="193"/>
        <v>-60341</v>
      </c>
      <c r="E259" s="36">
        <v>0</v>
      </c>
      <c r="F259" s="36">
        <f t="shared" si="188"/>
        <v>-60341</v>
      </c>
      <c r="G259" s="27">
        <f>ROUND('CFIT Schedules'!F257*-0.35,0)</f>
        <v>0</v>
      </c>
      <c r="H259" s="27">
        <f t="shared" si="189"/>
        <v>-60341</v>
      </c>
      <c r="I259" s="27">
        <f>ROUND('CFIT Schedules'!H257*-0.21,0)</f>
        <v>0</v>
      </c>
      <c r="J259" s="27">
        <f t="shared" si="190"/>
        <v>-60341</v>
      </c>
      <c r="K259" s="51">
        <f t="shared" si="191"/>
        <v>0.98599999999999999</v>
      </c>
      <c r="L259" s="42">
        <f t="shared" si="192"/>
        <v>-59496</v>
      </c>
      <c r="M259" s="18" t="str">
        <f>'CFIT Schedules'!L257</f>
        <v>ENERGY</v>
      </c>
    </row>
    <row r="260" spans="1:13" x14ac:dyDescent="0.2">
      <c r="A260" s="144">
        <f t="shared" si="162"/>
        <v>239</v>
      </c>
      <c r="B260" s="17" t="s">
        <v>99</v>
      </c>
      <c r="C260" s="36">
        <f>+'CFIT Schedules'!E258</f>
        <v>0</v>
      </c>
      <c r="D260" s="42">
        <f t="shared" si="193"/>
        <v>0</v>
      </c>
      <c r="E260" s="36">
        <v>0</v>
      </c>
      <c r="F260" s="36">
        <f t="shared" si="188"/>
        <v>0</v>
      </c>
      <c r="G260" s="27">
        <f>ROUND('CFIT Schedules'!F258*-0.35,0)</f>
        <v>0</v>
      </c>
      <c r="H260" s="27">
        <f t="shared" si="189"/>
        <v>0</v>
      </c>
      <c r="I260" s="27">
        <f>ROUND('CFIT Schedules'!H258*-0.21,0)</f>
        <v>0</v>
      </c>
      <c r="J260" s="27">
        <f t="shared" si="190"/>
        <v>0</v>
      </c>
      <c r="K260" s="51">
        <f t="shared" si="191"/>
        <v>0.98599999999999999</v>
      </c>
      <c r="L260" s="42">
        <f t="shared" si="192"/>
        <v>0</v>
      </c>
      <c r="M260" s="18" t="str">
        <f>'CFIT Schedules'!L258</f>
        <v>ENERGY</v>
      </c>
    </row>
    <row r="261" spans="1:13" x14ac:dyDescent="0.2">
      <c r="A261" s="144">
        <f t="shared" si="162"/>
        <v>240</v>
      </c>
      <c r="B261" s="17" t="s">
        <v>100</v>
      </c>
      <c r="C261" s="36">
        <f>+'CFIT Schedules'!E259</f>
        <v>9181</v>
      </c>
      <c r="D261" s="42">
        <f t="shared" si="193"/>
        <v>-1928</v>
      </c>
      <c r="E261" s="36">
        <v>0</v>
      </c>
      <c r="F261" s="36">
        <f t="shared" si="188"/>
        <v>-1928</v>
      </c>
      <c r="G261" s="27">
        <f>ROUND('CFIT Schedules'!F259*-0.35,0)</f>
        <v>0</v>
      </c>
      <c r="H261" s="27">
        <f t="shared" si="189"/>
        <v>-1928</v>
      </c>
      <c r="I261" s="27">
        <f>ROUND('CFIT Schedules'!H259*-0.21,0)</f>
        <v>0</v>
      </c>
      <c r="J261" s="27">
        <f t="shared" si="190"/>
        <v>-1928</v>
      </c>
      <c r="K261" s="51">
        <f t="shared" si="191"/>
        <v>0.98599999999999999</v>
      </c>
      <c r="L261" s="42">
        <f t="shared" si="192"/>
        <v>-1901</v>
      </c>
      <c r="M261" s="18" t="str">
        <f>'CFIT Schedules'!L259</f>
        <v>ENERGY</v>
      </c>
    </row>
    <row r="262" spans="1:13" x14ac:dyDescent="0.2">
      <c r="A262" s="144">
        <f t="shared" si="162"/>
        <v>241</v>
      </c>
      <c r="B262" s="17" t="s">
        <v>260</v>
      </c>
      <c r="C262" s="36">
        <f>+'CFIT Schedules'!E260</f>
        <v>0</v>
      </c>
      <c r="D262" s="42">
        <f t="shared" si="193"/>
        <v>0</v>
      </c>
      <c r="E262" s="36">
        <v>0</v>
      </c>
      <c r="F262" s="36">
        <f t="shared" si="188"/>
        <v>0</v>
      </c>
      <c r="G262" s="27">
        <f>ROUND('CFIT Schedules'!F260*-0.35,0)</f>
        <v>0</v>
      </c>
      <c r="H262" s="27">
        <f t="shared" si="189"/>
        <v>0</v>
      </c>
      <c r="I262" s="27">
        <f>ROUND('CFIT Schedules'!H260*-0.21,0)</f>
        <v>0</v>
      </c>
      <c r="J262" s="27">
        <f t="shared" si="190"/>
        <v>0</v>
      </c>
      <c r="K262" s="51">
        <f t="shared" si="191"/>
        <v>0.98599999999999999</v>
      </c>
      <c r="L262" s="42">
        <f t="shared" si="192"/>
        <v>0</v>
      </c>
      <c r="M262" s="18" t="str">
        <f>'CFIT Schedules'!L260</f>
        <v>ENERGY</v>
      </c>
    </row>
    <row r="263" spans="1:13" x14ac:dyDescent="0.2">
      <c r="A263" s="144">
        <f t="shared" si="162"/>
        <v>242</v>
      </c>
      <c r="B263" s="17" t="s">
        <v>101</v>
      </c>
      <c r="C263" s="36">
        <f>+'CFIT Schedules'!E261</f>
        <v>0</v>
      </c>
      <c r="D263" s="42">
        <f t="shared" si="193"/>
        <v>0</v>
      </c>
      <c r="E263" s="36">
        <v>0</v>
      </c>
      <c r="F263" s="36">
        <f t="shared" si="188"/>
        <v>0</v>
      </c>
      <c r="G263" s="27">
        <f>ROUND('CFIT Schedules'!F261*-0.35,0)</f>
        <v>0</v>
      </c>
      <c r="H263" s="27">
        <f t="shared" si="189"/>
        <v>0</v>
      </c>
      <c r="I263" s="27">
        <f>ROUND('CFIT Schedules'!H261*-0.21,0)</f>
        <v>0</v>
      </c>
      <c r="J263" s="27">
        <f t="shared" si="190"/>
        <v>0</v>
      </c>
      <c r="K263" s="51">
        <f t="shared" si="191"/>
        <v>0</v>
      </c>
      <c r="L263" s="42">
        <f t="shared" si="192"/>
        <v>0</v>
      </c>
      <c r="M263" s="18" t="str">
        <f>'CFIT Schedules'!L261</f>
        <v>NON-UTILITY</v>
      </c>
    </row>
    <row r="264" spans="1:13" x14ac:dyDescent="0.2">
      <c r="A264" s="144">
        <f t="shared" si="162"/>
        <v>243</v>
      </c>
      <c r="B264" s="17" t="s">
        <v>261</v>
      </c>
      <c r="C264" s="36">
        <f>+'CFIT Schedules'!E262</f>
        <v>0</v>
      </c>
      <c r="D264" s="42">
        <f t="shared" si="193"/>
        <v>0</v>
      </c>
      <c r="E264" s="36">
        <v>0</v>
      </c>
      <c r="F264" s="36">
        <f t="shared" si="188"/>
        <v>0</v>
      </c>
      <c r="G264" s="27">
        <f>ROUND('CFIT Schedules'!F262*-0.35,0)</f>
        <v>0</v>
      </c>
      <c r="H264" s="27">
        <f t="shared" si="189"/>
        <v>0</v>
      </c>
      <c r="I264" s="27">
        <f>ROUND('CFIT Schedules'!H262*-0.21,0)</f>
        <v>0</v>
      </c>
      <c r="J264" s="27">
        <f t="shared" si="190"/>
        <v>0</v>
      </c>
      <c r="K264" s="51">
        <f t="shared" si="191"/>
        <v>0</v>
      </c>
      <c r="L264" s="42">
        <f t="shared" si="192"/>
        <v>0</v>
      </c>
      <c r="M264" s="18" t="str">
        <f>'CFIT Schedules'!L262</f>
        <v>NON-UTILITY</v>
      </c>
    </row>
    <row r="265" spans="1:13" x14ac:dyDescent="0.2">
      <c r="A265" s="144">
        <f t="shared" si="162"/>
        <v>244</v>
      </c>
      <c r="B265" s="17" t="s">
        <v>102</v>
      </c>
      <c r="C265" s="36">
        <f>+'CFIT Schedules'!E263</f>
        <v>-5463156</v>
      </c>
      <c r="D265" s="42">
        <f t="shared" si="193"/>
        <v>1147263</v>
      </c>
      <c r="E265" s="36">
        <v>0</v>
      </c>
      <c r="F265" s="36">
        <f t="shared" si="188"/>
        <v>1147263</v>
      </c>
      <c r="G265" s="27">
        <f>ROUND('CFIT Schedules'!F263*-0.35,0)</f>
        <v>0</v>
      </c>
      <c r="H265" s="27">
        <f t="shared" si="189"/>
        <v>1147263</v>
      </c>
      <c r="I265" s="27">
        <f>ROUND('CFIT Schedules'!H263*-0.21,0)</f>
        <v>0</v>
      </c>
      <c r="J265" s="27">
        <f t="shared" si="190"/>
        <v>1147263</v>
      </c>
      <c r="K265" s="51">
        <f t="shared" si="191"/>
        <v>0.98599999999999999</v>
      </c>
      <c r="L265" s="42">
        <f t="shared" si="192"/>
        <v>1131201</v>
      </c>
      <c r="M265" s="18" t="str">
        <f>'CFIT Schedules'!L263</f>
        <v>ENERGY</v>
      </c>
    </row>
    <row r="266" spans="1:13" x14ac:dyDescent="0.2">
      <c r="A266" s="144">
        <f t="shared" si="162"/>
        <v>245</v>
      </c>
      <c r="B266" s="75" t="s">
        <v>103</v>
      </c>
      <c r="C266" s="78">
        <f t="shared" ref="C266:J266" si="194">SUM(C255:C265)</f>
        <v>0</v>
      </c>
      <c r="D266" s="78">
        <f t="shared" si="194"/>
        <v>1</v>
      </c>
      <c r="E266" s="78">
        <f t="shared" si="194"/>
        <v>0</v>
      </c>
      <c r="F266" s="78">
        <f t="shared" si="194"/>
        <v>1</v>
      </c>
      <c r="G266" s="78">
        <f t="shared" ref="G266" si="195">SUM(G255:G265)</f>
        <v>0</v>
      </c>
      <c r="H266" s="78">
        <f t="shared" si="194"/>
        <v>1</v>
      </c>
      <c r="I266" s="78">
        <f t="shared" si="194"/>
        <v>0</v>
      </c>
      <c r="J266" s="78">
        <f t="shared" si="194"/>
        <v>1</v>
      </c>
      <c r="K266" s="24"/>
      <c r="L266" s="78">
        <f>SUM(L255:L265)</f>
        <v>1</v>
      </c>
    </row>
    <row r="267" spans="1:13" x14ac:dyDescent="0.2">
      <c r="A267" s="144">
        <f t="shared" si="162"/>
        <v>246</v>
      </c>
      <c r="B267" s="17" t="s">
        <v>0</v>
      </c>
      <c r="C267" s="36"/>
      <c r="D267" s="36"/>
      <c r="K267" s="81"/>
    </row>
    <row r="268" spans="1:13" x14ac:dyDescent="0.2">
      <c r="A268" s="144">
        <f t="shared" si="162"/>
        <v>247</v>
      </c>
      <c r="B268" s="75" t="s">
        <v>104</v>
      </c>
      <c r="C268" s="36"/>
      <c r="D268" s="36"/>
      <c r="K268" s="81"/>
    </row>
    <row r="269" spans="1:13" x14ac:dyDescent="0.2">
      <c r="A269" s="144">
        <f t="shared" si="162"/>
        <v>248</v>
      </c>
      <c r="B269" s="17" t="s">
        <v>105</v>
      </c>
      <c r="C269" s="36">
        <f>+'CFIT Schedules'!E267</f>
        <v>256407</v>
      </c>
      <c r="D269" s="42">
        <f t="shared" ref="D269:D275" si="196">IF(C269*0.21=0,0,ROUND(C269*-0.21,0))</f>
        <v>-53845</v>
      </c>
      <c r="E269" s="36">
        <v>0</v>
      </c>
      <c r="F269" s="36">
        <f t="shared" ref="F269" si="197">SUM(D269:E269)</f>
        <v>-53845</v>
      </c>
      <c r="G269" s="27">
        <f>ROUND('CFIT Schedules'!F267*-0.35,0)</f>
        <v>0</v>
      </c>
      <c r="H269" s="27">
        <f t="shared" ref="H269" si="198">+F269+G269</f>
        <v>-53845</v>
      </c>
      <c r="I269" s="27">
        <f>ROUND('CFIT Schedules'!H267*-0.21,0)</f>
        <v>0</v>
      </c>
      <c r="J269" s="27">
        <f t="shared" ref="J269" si="199">+H269+I269</f>
        <v>-53845</v>
      </c>
      <c r="K269" s="51">
        <f t="shared" ref="K269:K275" si="200">VLOOKUP(M269,$C$300:$D$314,2,FALSE)</f>
        <v>0.98599999999999999</v>
      </c>
      <c r="L269" s="42">
        <f t="shared" ref="L269" si="201">IF(J269*K269=0,0, ROUND(J269*K269,0))</f>
        <v>-53091</v>
      </c>
      <c r="M269" s="18" t="str">
        <f>'CFIT Schedules'!L267</f>
        <v>ENERGY</v>
      </c>
    </row>
    <row r="270" spans="1:13" x14ac:dyDescent="0.2">
      <c r="A270" s="144">
        <f t="shared" si="162"/>
        <v>249</v>
      </c>
      <c r="B270" s="17" t="s">
        <v>265</v>
      </c>
      <c r="C270" s="36">
        <f>+'CFIT Schedules'!E268</f>
        <v>0</v>
      </c>
      <c r="D270" s="42">
        <f t="shared" si="196"/>
        <v>0</v>
      </c>
      <c r="E270" s="36">
        <v>0</v>
      </c>
      <c r="F270" s="36">
        <f t="shared" ref="F270:F275" si="202">SUM(D270:E270)</f>
        <v>0</v>
      </c>
      <c r="G270" s="27">
        <f>ROUND('CFIT Schedules'!F268*-0.35,0)</f>
        <v>0</v>
      </c>
      <c r="H270" s="27">
        <f t="shared" ref="H270:H275" si="203">+F270+G270</f>
        <v>0</v>
      </c>
      <c r="I270" s="27">
        <f>ROUND('CFIT Schedules'!H268*-0.21,0)</f>
        <v>0</v>
      </c>
      <c r="J270" s="27">
        <f t="shared" ref="J270:J275" si="204">+H270+I270</f>
        <v>0</v>
      </c>
      <c r="K270" s="51">
        <f t="shared" si="200"/>
        <v>0.98599999999999999</v>
      </c>
      <c r="L270" s="42">
        <f t="shared" ref="L270:L275" si="205">IF(J270*K270=0,0, ROUND(J270*K270,0))</f>
        <v>0</v>
      </c>
      <c r="M270" s="18" t="str">
        <f>'CFIT Schedules'!L268</f>
        <v>ENERGY</v>
      </c>
    </row>
    <row r="271" spans="1:13" x14ac:dyDescent="0.2">
      <c r="A271" s="144">
        <f t="shared" si="162"/>
        <v>250</v>
      </c>
      <c r="B271" s="17" t="s">
        <v>262</v>
      </c>
      <c r="C271" s="36">
        <f>+'CFIT Schedules'!E269</f>
        <v>0</v>
      </c>
      <c r="D271" s="42">
        <f t="shared" si="196"/>
        <v>0</v>
      </c>
      <c r="E271" s="36">
        <v>0</v>
      </c>
      <c r="F271" s="36">
        <f t="shared" si="202"/>
        <v>0</v>
      </c>
      <c r="G271" s="27">
        <f>ROUND('CFIT Schedules'!F269*-0.35,0)</f>
        <v>0</v>
      </c>
      <c r="H271" s="27">
        <f t="shared" si="203"/>
        <v>0</v>
      </c>
      <c r="I271" s="27">
        <f>ROUND('CFIT Schedules'!H269*-0.21,0)</f>
        <v>0</v>
      </c>
      <c r="J271" s="27">
        <f t="shared" si="204"/>
        <v>0</v>
      </c>
      <c r="K271" s="51">
        <f t="shared" si="200"/>
        <v>0</v>
      </c>
      <c r="L271" s="42">
        <f t="shared" si="205"/>
        <v>0</v>
      </c>
      <c r="M271" s="18" t="str">
        <f>'CFIT Schedules'!L269</f>
        <v>NON-UTILITY</v>
      </c>
    </row>
    <row r="272" spans="1:13" x14ac:dyDescent="0.2">
      <c r="A272" s="144">
        <f t="shared" si="162"/>
        <v>251</v>
      </c>
      <c r="B272" s="17" t="s">
        <v>106</v>
      </c>
      <c r="C272" s="36">
        <f>+'CFIT Schedules'!E270</f>
        <v>0</v>
      </c>
      <c r="D272" s="42">
        <f t="shared" si="196"/>
        <v>0</v>
      </c>
      <c r="E272" s="36">
        <v>0</v>
      </c>
      <c r="F272" s="36">
        <f t="shared" si="202"/>
        <v>0</v>
      </c>
      <c r="G272" s="27">
        <f>ROUND('CFIT Schedules'!F270*-0.35,0)</f>
        <v>0</v>
      </c>
      <c r="H272" s="27">
        <f t="shared" si="203"/>
        <v>0</v>
      </c>
      <c r="I272" s="27">
        <f>ROUND('CFIT Schedules'!H270*-0.21,0)</f>
        <v>0</v>
      </c>
      <c r="J272" s="27">
        <f t="shared" si="204"/>
        <v>0</v>
      </c>
      <c r="K272" s="51">
        <f t="shared" si="200"/>
        <v>0</v>
      </c>
      <c r="L272" s="42">
        <f t="shared" si="205"/>
        <v>0</v>
      </c>
      <c r="M272" s="18" t="str">
        <f>'CFIT Schedules'!L270</f>
        <v>NON-UTILITY</v>
      </c>
    </row>
    <row r="273" spans="1:13" x14ac:dyDescent="0.2">
      <c r="A273" s="144">
        <f t="shared" si="162"/>
        <v>252</v>
      </c>
      <c r="B273" s="17" t="s">
        <v>266</v>
      </c>
      <c r="C273" s="36">
        <f>+'CFIT Schedules'!E271</f>
        <v>0</v>
      </c>
      <c r="D273" s="42">
        <f t="shared" si="196"/>
        <v>0</v>
      </c>
      <c r="E273" s="36">
        <v>0</v>
      </c>
      <c r="F273" s="36">
        <f t="shared" si="202"/>
        <v>0</v>
      </c>
      <c r="G273" s="27">
        <f>ROUND('CFIT Schedules'!F271*-0.35,0)</f>
        <v>0</v>
      </c>
      <c r="H273" s="27">
        <f t="shared" si="203"/>
        <v>0</v>
      </c>
      <c r="I273" s="27">
        <f>ROUND('CFIT Schedules'!H271*-0.21,0)</f>
        <v>0</v>
      </c>
      <c r="J273" s="27">
        <f t="shared" si="204"/>
        <v>0</v>
      </c>
      <c r="K273" s="51">
        <f t="shared" si="200"/>
        <v>0.98599999999999999</v>
      </c>
      <c r="L273" s="42">
        <f t="shared" si="205"/>
        <v>0</v>
      </c>
      <c r="M273" s="18" t="str">
        <f>'CFIT Schedules'!L271</f>
        <v>ENERGY</v>
      </c>
    </row>
    <row r="274" spans="1:13" x14ac:dyDescent="0.2">
      <c r="A274" s="144">
        <f t="shared" si="162"/>
        <v>253</v>
      </c>
      <c r="B274" s="17" t="s">
        <v>267</v>
      </c>
      <c r="C274" s="36">
        <f>+'CFIT Schedules'!E272</f>
        <v>0</v>
      </c>
      <c r="D274" s="42">
        <f t="shared" si="196"/>
        <v>0</v>
      </c>
      <c r="E274" s="36">
        <v>0</v>
      </c>
      <c r="F274" s="36">
        <f t="shared" si="202"/>
        <v>0</v>
      </c>
      <c r="G274" s="27">
        <f>ROUND('CFIT Schedules'!F272*-0.35,0)</f>
        <v>0</v>
      </c>
      <c r="H274" s="27">
        <f t="shared" si="203"/>
        <v>0</v>
      </c>
      <c r="I274" s="27">
        <f>ROUND('CFIT Schedules'!H272*-0.21,0)</f>
        <v>0</v>
      </c>
      <c r="J274" s="27">
        <f t="shared" si="204"/>
        <v>0</v>
      </c>
      <c r="K274" s="51">
        <f t="shared" si="200"/>
        <v>0.98599999999999999</v>
      </c>
      <c r="L274" s="42">
        <f t="shared" si="205"/>
        <v>0</v>
      </c>
      <c r="M274" s="18" t="str">
        <f>'CFIT Schedules'!L272</f>
        <v>ENERGY</v>
      </c>
    </row>
    <row r="275" spans="1:13" x14ac:dyDescent="0.2">
      <c r="A275" s="144">
        <f t="shared" si="162"/>
        <v>254</v>
      </c>
      <c r="B275" s="17" t="s">
        <v>107</v>
      </c>
      <c r="C275" s="36">
        <f>+'CFIT Schedules'!E273</f>
        <v>0</v>
      </c>
      <c r="D275" s="42">
        <f t="shared" si="196"/>
        <v>0</v>
      </c>
      <c r="E275" s="36">
        <v>0</v>
      </c>
      <c r="F275" s="36">
        <f t="shared" si="202"/>
        <v>0</v>
      </c>
      <c r="G275" s="27">
        <f>ROUND('CFIT Schedules'!F273*-0.35,0)</f>
        <v>0</v>
      </c>
      <c r="H275" s="27">
        <f t="shared" si="203"/>
        <v>0</v>
      </c>
      <c r="I275" s="27">
        <f>ROUND('CFIT Schedules'!H273*-0.21,0)</f>
        <v>0</v>
      </c>
      <c r="J275" s="27">
        <f t="shared" si="204"/>
        <v>0</v>
      </c>
      <c r="K275" s="51">
        <f t="shared" si="200"/>
        <v>0.98599999999999999</v>
      </c>
      <c r="L275" s="42">
        <f t="shared" si="205"/>
        <v>0</v>
      </c>
      <c r="M275" s="18" t="str">
        <f>'CFIT Schedules'!L273</f>
        <v>ENERGY</v>
      </c>
    </row>
    <row r="276" spans="1:13" x14ac:dyDescent="0.2">
      <c r="A276" s="144">
        <f t="shared" si="162"/>
        <v>255</v>
      </c>
      <c r="B276" s="75" t="s">
        <v>108</v>
      </c>
      <c r="C276" s="78">
        <f t="shared" ref="C276:J276" si="206">SUM(C269:C275)</f>
        <v>256407</v>
      </c>
      <c r="D276" s="78">
        <f t="shared" si="206"/>
        <v>-53845</v>
      </c>
      <c r="E276" s="78">
        <f t="shared" si="206"/>
        <v>0</v>
      </c>
      <c r="F276" s="78">
        <f t="shared" si="206"/>
        <v>-53845</v>
      </c>
      <c r="G276" s="78">
        <f t="shared" ref="G276" si="207">SUM(G269:G275)</f>
        <v>0</v>
      </c>
      <c r="H276" s="78">
        <f t="shared" si="206"/>
        <v>-53845</v>
      </c>
      <c r="I276" s="78">
        <f t="shared" si="206"/>
        <v>0</v>
      </c>
      <c r="J276" s="78">
        <f t="shared" si="206"/>
        <v>-53845</v>
      </c>
      <c r="K276" s="24"/>
      <c r="L276" s="99">
        <f>SUM(L269:L275)</f>
        <v>-53091</v>
      </c>
    </row>
    <row r="277" spans="1:13" x14ac:dyDescent="0.2">
      <c r="A277" s="144">
        <f t="shared" si="162"/>
        <v>256</v>
      </c>
      <c r="B277" s="17" t="s">
        <v>0</v>
      </c>
      <c r="C277" s="36"/>
      <c r="D277" s="36"/>
      <c r="K277" s="81"/>
    </row>
    <row r="278" spans="1:13" x14ac:dyDescent="0.2">
      <c r="A278" s="144">
        <f t="shared" si="162"/>
        <v>257</v>
      </c>
      <c r="B278" s="75" t="s">
        <v>158</v>
      </c>
      <c r="C278" s="85">
        <f t="shared" ref="C278:J278" si="208">+C43+C55+C62+C71+C76+C80+C84+C90+C95+C99+C126+C173+C177+C224+C239+C244+C248+C252+C266+C276</f>
        <v>-60522659.180000007</v>
      </c>
      <c r="D278" s="85">
        <f t="shared" si="208"/>
        <v>13937611</v>
      </c>
      <c r="E278" s="85">
        <f t="shared" si="208"/>
        <v>-12328271.569999995</v>
      </c>
      <c r="F278" s="85">
        <f t="shared" si="208"/>
        <v>1609339.4300000034</v>
      </c>
      <c r="G278" s="85">
        <f t="shared" si="208"/>
        <v>0</v>
      </c>
      <c r="H278" s="85">
        <f t="shared" si="208"/>
        <v>1609339.4300000034</v>
      </c>
      <c r="I278" s="85">
        <f t="shared" si="208"/>
        <v>0</v>
      </c>
      <c r="J278" s="85">
        <f t="shared" si="208"/>
        <v>1609339.4300000034</v>
      </c>
      <c r="K278" s="24"/>
      <c r="L278" s="85">
        <f>+L43+L55+L62+L71+L76+L80+L84+L90+L95+L99+L126+L173+L177+L224+L239+L244+L248+L252+L266+L276</f>
        <v>2478223</v>
      </c>
    </row>
    <row r="279" spans="1:13" x14ac:dyDescent="0.2">
      <c r="A279" s="144">
        <f t="shared" si="162"/>
        <v>258</v>
      </c>
      <c r="B279" s="17" t="s">
        <v>0</v>
      </c>
      <c r="C279" s="36"/>
      <c r="D279" s="36"/>
      <c r="K279" s="81"/>
    </row>
    <row r="280" spans="1:13" x14ac:dyDescent="0.2">
      <c r="A280" s="144">
        <f t="shared" si="162"/>
        <v>259</v>
      </c>
      <c r="C280" s="36"/>
      <c r="D280" s="36"/>
      <c r="E280" s="27"/>
      <c r="F280" s="36"/>
      <c r="G280" s="36"/>
      <c r="H280" s="36"/>
      <c r="I280" s="36"/>
      <c r="J280" s="36"/>
      <c r="K280" s="81"/>
      <c r="L280" s="36"/>
    </row>
    <row r="281" spans="1:13" x14ac:dyDescent="0.2">
      <c r="A281" s="144">
        <f t="shared" si="162"/>
        <v>260</v>
      </c>
      <c r="C281" s="36"/>
      <c r="D281" s="36"/>
      <c r="F281" s="36"/>
      <c r="G281" s="36"/>
      <c r="H281" s="36"/>
      <c r="I281" s="36"/>
      <c r="J281" s="36"/>
      <c r="K281" s="81"/>
      <c r="L281" s="36"/>
    </row>
    <row r="282" spans="1:13" x14ac:dyDescent="0.2">
      <c r="A282" s="144">
        <f t="shared" si="162"/>
        <v>261</v>
      </c>
      <c r="B282" s="75" t="s">
        <v>159</v>
      </c>
      <c r="C282" s="36"/>
      <c r="D282" s="36"/>
      <c r="F282" s="36"/>
      <c r="G282" s="36"/>
      <c r="H282" s="36"/>
      <c r="I282" s="36"/>
      <c r="J282" s="36"/>
      <c r="K282" s="81"/>
      <c r="L282" s="36"/>
    </row>
    <row r="283" spans="1:13" x14ac:dyDescent="0.2">
      <c r="A283" s="144">
        <f t="shared" si="162"/>
        <v>262</v>
      </c>
      <c r="B283" s="17" t="s">
        <v>160</v>
      </c>
      <c r="C283" s="36">
        <v>0</v>
      </c>
      <c r="D283" s="36">
        <v>0</v>
      </c>
      <c r="E283" s="104">
        <v>-61</v>
      </c>
      <c r="F283" s="36">
        <f t="shared" ref="F283:F288" si="209">SUM(D283:E283)</f>
        <v>-61</v>
      </c>
      <c r="G283" s="27">
        <v>0</v>
      </c>
      <c r="H283" s="27">
        <f t="shared" ref="H283:H288" si="210">+F283+G283</f>
        <v>-61</v>
      </c>
      <c r="I283" s="27">
        <v>0</v>
      </c>
      <c r="J283" s="27">
        <f t="shared" ref="J283:J286" si="211">+H283+I283</f>
        <v>-61</v>
      </c>
      <c r="K283" s="51">
        <f t="shared" ref="K283:K288" si="212">VLOOKUP(M283,$C$300:$D$314,2,FALSE)</f>
        <v>0.98499999999999999</v>
      </c>
      <c r="L283" s="42">
        <f t="shared" ref="L283:L286" si="213">IF(J283*K283=0,0, ROUND(J283*K283,0))</f>
        <v>-60</v>
      </c>
      <c r="M283" s="18" t="s">
        <v>225</v>
      </c>
    </row>
    <row r="284" spans="1:13" x14ac:dyDescent="0.2">
      <c r="A284" s="144">
        <f t="shared" si="162"/>
        <v>263</v>
      </c>
      <c r="B284" s="17" t="s">
        <v>161</v>
      </c>
      <c r="C284" s="36">
        <v>0</v>
      </c>
      <c r="D284" s="36">
        <v>0</v>
      </c>
      <c r="E284" s="104">
        <v>0</v>
      </c>
      <c r="F284" s="36">
        <f t="shared" si="209"/>
        <v>0</v>
      </c>
      <c r="G284" s="27">
        <v>0</v>
      </c>
      <c r="H284" s="27">
        <f t="shared" si="210"/>
        <v>0</v>
      </c>
      <c r="I284" s="27">
        <v>0</v>
      </c>
      <c r="J284" s="27">
        <f t="shared" si="211"/>
        <v>0</v>
      </c>
      <c r="K284" s="51">
        <f t="shared" si="212"/>
        <v>0.98499999999999999</v>
      </c>
      <c r="L284" s="42">
        <f t="shared" si="213"/>
        <v>0</v>
      </c>
      <c r="M284" s="18" t="s">
        <v>225</v>
      </c>
    </row>
    <row r="285" spans="1:13" x14ac:dyDescent="0.2">
      <c r="A285" s="144">
        <f t="shared" si="162"/>
        <v>264</v>
      </c>
      <c r="B285" s="17" t="s">
        <v>347</v>
      </c>
      <c r="C285" s="36">
        <v>0</v>
      </c>
      <c r="D285" s="36">
        <v>0</v>
      </c>
      <c r="E285" s="104">
        <v>0</v>
      </c>
      <c r="F285" s="36">
        <f t="shared" si="209"/>
        <v>0</v>
      </c>
      <c r="G285" s="27">
        <v>0</v>
      </c>
      <c r="H285" s="27">
        <f t="shared" si="210"/>
        <v>0</v>
      </c>
      <c r="I285" s="27">
        <v>0</v>
      </c>
      <c r="J285" s="27">
        <f t="shared" si="211"/>
        <v>0</v>
      </c>
      <c r="K285" s="51">
        <f t="shared" si="212"/>
        <v>0.98499999999999999</v>
      </c>
      <c r="L285" s="42">
        <f t="shared" si="213"/>
        <v>0</v>
      </c>
      <c r="M285" s="18" t="s">
        <v>225</v>
      </c>
    </row>
    <row r="286" spans="1:13" x14ac:dyDescent="0.2">
      <c r="A286" s="144">
        <f t="shared" si="162"/>
        <v>265</v>
      </c>
      <c r="B286" s="17" t="s">
        <v>348</v>
      </c>
      <c r="C286" s="36">
        <v>0</v>
      </c>
      <c r="D286" s="36">
        <v>0</v>
      </c>
      <c r="E286" s="104">
        <v>0</v>
      </c>
      <c r="F286" s="36">
        <f t="shared" si="209"/>
        <v>0</v>
      </c>
      <c r="G286" s="27">
        <v>0</v>
      </c>
      <c r="H286" s="27">
        <f t="shared" si="210"/>
        <v>0</v>
      </c>
      <c r="I286" s="27">
        <v>0</v>
      </c>
      <c r="J286" s="27">
        <f t="shared" si="211"/>
        <v>0</v>
      </c>
      <c r="K286" s="51">
        <f t="shared" si="212"/>
        <v>0.98499999999999999</v>
      </c>
      <c r="L286" s="42">
        <f t="shared" si="213"/>
        <v>0</v>
      </c>
      <c r="M286" s="18" t="s">
        <v>225</v>
      </c>
    </row>
    <row r="287" spans="1:13" x14ac:dyDescent="0.2">
      <c r="A287" s="144">
        <f t="shared" si="162"/>
        <v>266</v>
      </c>
      <c r="B287" s="17" t="s">
        <v>349</v>
      </c>
      <c r="C287" s="36">
        <v>0</v>
      </c>
      <c r="D287" s="36">
        <v>0</v>
      </c>
      <c r="E287" s="104">
        <v>0</v>
      </c>
      <c r="F287" s="36">
        <f t="shared" ref="F287" si="214">SUM(D287:E287)</f>
        <v>0</v>
      </c>
      <c r="G287" s="27">
        <v>0</v>
      </c>
      <c r="H287" s="27">
        <f t="shared" ref="H287" si="215">+F287+G287</f>
        <v>0</v>
      </c>
      <c r="I287" s="27">
        <v>0</v>
      </c>
      <c r="J287" s="27">
        <f t="shared" ref="J287" si="216">+H287+I287</f>
        <v>0</v>
      </c>
      <c r="K287" s="51">
        <f t="shared" si="212"/>
        <v>0.98499999999999999</v>
      </c>
      <c r="L287" s="42">
        <f t="shared" ref="L287:L288" si="217">IF(J287*K287=0,0, ROUND(J287*K287,0))</f>
        <v>0</v>
      </c>
      <c r="M287" s="18" t="s">
        <v>225</v>
      </c>
    </row>
    <row r="288" spans="1:13" x14ac:dyDescent="0.2">
      <c r="A288" s="144">
        <f t="shared" ref="A288:A294" si="218">A287+1</f>
        <v>267</v>
      </c>
      <c r="B288" s="17" t="s">
        <v>296</v>
      </c>
      <c r="C288" s="36">
        <v>0</v>
      </c>
      <c r="D288" s="36">
        <v>0</v>
      </c>
      <c r="E288" s="58">
        <v>0</v>
      </c>
      <c r="F288" s="37">
        <f t="shared" si="209"/>
        <v>0</v>
      </c>
      <c r="G288" s="37">
        <v>0</v>
      </c>
      <c r="H288" s="27">
        <f t="shared" si="210"/>
        <v>0</v>
      </c>
      <c r="I288" s="37">
        <v>0</v>
      </c>
      <c r="J288" s="37">
        <f>+H288+I288</f>
        <v>0</v>
      </c>
      <c r="K288" s="51">
        <f t="shared" si="212"/>
        <v>0.98499999999999999</v>
      </c>
      <c r="L288" s="42">
        <f t="shared" si="217"/>
        <v>0</v>
      </c>
      <c r="M288" s="18" t="s">
        <v>225</v>
      </c>
    </row>
    <row r="289" spans="1:13" x14ac:dyDescent="0.2">
      <c r="A289" s="144">
        <f t="shared" si="218"/>
        <v>268</v>
      </c>
      <c r="B289" s="75" t="s">
        <v>216</v>
      </c>
      <c r="C289" s="78">
        <f t="shared" ref="C289:J289" si="219">SUM(C283:C288)</f>
        <v>0</v>
      </c>
      <c r="D289" s="78">
        <f t="shared" si="219"/>
        <v>0</v>
      </c>
      <c r="E289" s="78">
        <f t="shared" si="219"/>
        <v>-61</v>
      </c>
      <c r="F289" s="78">
        <f t="shared" si="219"/>
        <v>-61</v>
      </c>
      <c r="G289" s="78">
        <f t="shared" ref="G289" si="220">SUM(G283:G288)</f>
        <v>0</v>
      </c>
      <c r="H289" s="78">
        <f t="shared" si="219"/>
        <v>-61</v>
      </c>
      <c r="I289" s="78">
        <f t="shared" si="219"/>
        <v>0</v>
      </c>
      <c r="J289" s="78">
        <f t="shared" si="219"/>
        <v>-61</v>
      </c>
      <c r="K289" s="24"/>
      <c r="L289" s="78">
        <f>SUM(L283:L288)</f>
        <v>-60</v>
      </c>
      <c r="M289" s="36"/>
    </row>
    <row r="290" spans="1:13" x14ac:dyDescent="0.2">
      <c r="A290" s="144">
        <f t="shared" si="218"/>
        <v>269</v>
      </c>
      <c r="K290" s="81"/>
    </row>
    <row r="291" spans="1:13" x14ac:dyDescent="0.2">
      <c r="A291" s="144">
        <f t="shared" si="218"/>
        <v>270</v>
      </c>
    </row>
    <row r="292" spans="1:13" x14ac:dyDescent="0.2">
      <c r="A292" s="144">
        <f t="shared" si="218"/>
        <v>271</v>
      </c>
    </row>
    <row r="293" spans="1:13" ht="13.5" thickBot="1" x14ac:dyDescent="0.25">
      <c r="A293" s="144">
        <f t="shared" si="218"/>
        <v>272</v>
      </c>
      <c r="B293" s="75" t="s">
        <v>162</v>
      </c>
      <c r="C293" s="100">
        <f t="shared" ref="C293:J293" si="221">+C278+C289</f>
        <v>-60522659.180000007</v>
      </c>
      <c r="D293" s="100">
        <f t="shared" si="221"/>
        <v>13937611</v>
      </c>
      <c r="E293" s="100">
        <f t="shared" si="221"/>
        <v>-12328332.569999995</v>
      </c>
      <c r="F293" s="100">
        <f t="shared" si="221"/>
        <v>1609278.4300000034</v>
      </c>
      <c r="G293" s="100">
        <f t="shared" ref="G293" si="222">+G278+G289</f>
        <v>0</v>
      </c>
      <c r="H293" s="100">
        <f t="shared" si="221"/>
        <v>1609278.4300000034</v>
      </c>
      <c r="I293" s="100">
        <f t="shared" si="221"/>
        <v>0</v>
      </c>
      <c r="J293" s="100">
        <f t="shared" si="221"/>
        <v>1609278.4300000034</v>
      </c>
      <c r="L293" s="100">
        <f>+L278+L289</f>
        <v>2478163</v>
      </c>
    </row>
    <row r="294" spans="1:13" ht="13.5" thickTop="1" x14ac:dyDescent="0.2">
      <c r="A294" s="144">
        <f t="shared" si="218"/>
        <v>273</v>
      </c>
    </row>
    <row r="295" spans="1:13" x14ac:dyDescent="0.2">
      <c r="C295" s="36"/>
      <c r="F295" s="36"/>
      <c r="L295" s="36"/>
    </row>
    <row r="296" spans="1:13" x14ac:dyDescent="0.2">
      <c r="C296" s="27"/>
      <c r="F296" s="27"/>
    </row>
    <row r="297" spans="1:13" x14ac:dyDescent="0.2">
      <c r="F297" s="141"/>
    </row>
    <row r="298" spans="1:13" x14ac:dyDescent="0.2">
      <c r="G298" s="38"/>
      <c r="H298" s="38"/>
      <c r="I298" s="38"/>
      <c r="J298" s="38"/>
      <c r="K298" s="38"/>
    </row>
    <row r="299" spans="1:13" x14ac:dyDescent="0.2">
      <c r="C299" s="93" t="s">
        <v>226</v>
      </c>
      <c r="D299" s="94"/>
      <c r="G299" s="38"/>
      <c r="H299" s="38"/>
      <c r="I299" s="38"/>
      <c r="J299" s="38"/>
      <c r="K299" s="38"/>
    </row>
    <row r="300" spans="1:13" x14ac:dyDescent="0.2">
      <c r="C300" s="47" t="str">
        <f>'CFIT Schedules'!C308</f>
        <v>GROSS PLT</v>
      </c>
      <c r="D300" s="44">
        <f>'CFIT Schedules'!D308</f>
        <v>0.98499999999999999</v>
      </c>
      <c r="G300" s="38"/>
      <c r="H300" s="38"/>
      <c r="I300" s="38"/>
      <c r="J300" s="40"/>
      <c r="K300" s="38"/>
    </row>
    <row r="301" spans="1:13" x14ac:dyDescent="0.2">
      <c r="C301" s="47" t="str">
        <f>'CFIT Schedules'!C309</f>
        <v>NET PLANT</v>
      </c>
      <c r="D301" s="44">
        <f>'CFIT Schedules'!D309</f>
        <v>0.98499999999999999</v>
      </c>
      <c r="G301" s="38"/>
      <c r="H301" s="38"/>
      <c r="I301" s="38"/>
      <c r="J301" s="37"/>
      <c r="K301" s="38"/>
    </row>
    <row r="302" spans="1:13" x14ac:dyDescent="0.2">
      <c r="C302" s="47" t="str">
        <f>'CFIT Schedules'!C310</f>
        <v>PROD PLT</v>
      </c>
      <c r="D302" s="44">
        <f>'CFIT Schedules'!D310</f>
        <v>0.98499999999999999</v>
      </c>
      <c r="G302" s="38"/>
      <c r="H302" s="38"/>
      <c r="I302" s="38"/>
      <c r="J302" s="37"/>
      <c r="K302" s="38"/>
    </row>
    <row r="303" spans="1:13" x14ac:dyDescent="0.2">
      <c r="C303" s="47" t="str">
        <f>'CFIT Schedules'!C311</f>
        <v>TRAN PLT</v>
      </c>
      <c r="D303" s="44">
        <f>'CFIT Schedules'!D311</f>
        <v>0.98499999999999999</v>
      </c>
      <c r="G303" s="38"/>
      <c r="H303" s="38"/>
      <c r="I303" s="38"/>
      <c r="J303" s="41"/>
      <c r="K303" s="38"/>
    </row>
    <row r="304" spans="1:13" x14ac:dyDescent="0.2">
      <c r="C304" s="47" t="str">
        <f>'CFIT Schedules'!C312</f>
        <v>DIST PLT</v>
      </c>
      <c r="D304" s="44">
        <f>'CFIT Schedules'!D312</f>
        <v>0.999</v>
      </c>
      <c r="G304" s="38"/>
      <c r="H304" s="38"/>
      <c r="I304" s="38"/>
      <c r="J304" s="38"/>
      <c r="K304" s="38"/>
    </row>
    <row r="305" spans="3:11" x14ac:dyDescent="0.2">
      <c r="C305" s="47" t="str">
        <f>'CFIT Schedules'!C313</f>
        <v>T&amp;D PLT</v>
      </c>
      <c r="D305" s="44">
        <f>'CFIT Schedules'!D313</f>
        <v>0.99299999999999999</v>
      </c>
      <c r="G305" s="38"/>
      <c r="H305" s="38"/>
      <c r="I305" s="38"/>
      <c r="J305" s="38"/>
      <c r="K305" s="38"/>
    </row>
    <row r="306" spans="3:11" x14ac:dyDescent="0.2">
      <c r="C306" s="47" t="str">
        <f>'CFIT Schedules'!C314</f>
        <v>ENERGY</v>
      </c>
      <c r="D306" s="44">
        <f>'CFIT Schedules'!D314</f>
        <v>0.98599999999999999</v>
      </c>
      <c r="G306" s="38"/>
      <c r="H306" s="38"/>
      <c r="I306" s="38"/>
      <c r="J306" s="38"/>
      <c r="K306" s="38"/>
    </row>
    <row r="307" spans="3:11" x14ac:dyDescent="0.2">
      <c r="C307" s="47" t="str">
        <f>'CFIT Schedules'!C315</f>
        <v>LABOR</v>
      </c>
      <c r="D307" s="44">
        <f>'CFIT Schedules'!D315</f>
        <v>0.99</v>
      </c>
      <c r="G307" s="38"/>
      <c r="H307" s="38"/>
      <c r="I307" s="38"/>
      <c r="J307" s="37"/>
      <c r="K307" s="38"/>
    </row>
    <row r="308" spans="3:11" x14ac:dyDescent="0.2">
      <c r="C308" s="47" t="str">
        <f>'CFIT Schedules'!C316</f>
        <v>O&amp;M EXP</v>
      </c>
      <c r="D308" s="44">
        <f>'CFIT Schedules'!D316</f>
        <v>0.97899999999999998</v>
      </c>
      <c r="G308" s="38"/>
      <c r="H308" s="38"/>
      <c r="I308" s="38"/>
      <c r="J308" s="38"/>
      <c r="K308" s="38"/>
    </row>
    <row r="309" spans="3:11" x14ac:dyDescent="0.2">
      <c r="C309" s="47" t="str">
        <f>'CFIT Schedules'!C317</f>
        <v>REVENUE</v>
      </c>
      <c r="D309" s="44">
        <f>'CFIT Schedules'!D317</f>
        <v>0.99299999999999999</v>
      </c>
    </row>
    <row r="310" spans="3:11" x14ac:dyDescent="0.2">
      <c r="C310" s="47" t="str">
        <f>'CFIT Schedules'!C318</f>
        <v>REVENUE-OTH</v>
      </c>
      <c r="D310" s="44">
        <f>'CFIT Schedules'!D318</f>
        <v>0</v>
      </c>
    </row>
    <row r="311" spans="3:11" x14ac:dyDescent="0.2">
      <c r="C311" s="47" t="str">
        <f>'CFIT Schedules'!C319</f>
        <v>DEMAND</v>
      </c>
      <c r="D311" s="44">
        <f>'CFIT Schedules'!D319</f>
        <v>0.98499999999999999</v>
      </c>
    </row>
    <row r="312" spans="3:11" x14ac:dyDescent="0.2">
      <c r="C312" s="47" t="str">
        <f>'CFIT Schedules'!C320</f>
        <v>SPECIFIC</v>
      </c>
      <c r="D312" s="44">
        <f>'CFIT Schedules'!D320</f>
        <v>1</v>
      </c>
    </row>
    <row r="313" spans="3:11" x14ac:dyDescent="0.2">
      <c r="C313" s="47" t="str">
        <f>'CFIT Schedules'!C321</f>
        <v>NON-APPLIC</v>
      </c>
      <c r="D313" s="44">
        <f>'CFIT Schedules'!D321</f>
        <v>0</v>
      </c>
    </row>
    <row r="314" spans="3:11" x14ac:dyDescent="0.2">
      <c r="C314" s="47" t="str">
        <f>'CFIT Schedules'!C322</f>
        <v>NON-UTILITY</v>
      </c>
      <c r="D314" s="44">
        <f>'CFIT Schedules'!D322</f>
        <v>0</v>
      </c>
    </row>
    <row r="315" spans="3:11" x14ac:dyDescent="0.2">
      <c r="C315" s="47"/>
      <c r="D315" s="44"/>
    </row>
  </sheetData>
  <mergeCells count="5">
    <mergeCell ref="A3:K3"/>
    <mergeCell ref="A4:K4"/>
    <mergeCell ref="A5:K5"/>
    <mergeCell ref="A1:K1"/>
    <mergeCell ref="A2:K2"/>
  </mergeCells>
  <phoneticPr fontId="3" type="noConversion"/>
  <pageMargins left="0.25" right="0.25" top="1" bottom="0.5" header="0.5" footer="0.5"/>
  <pageSetup scale="48" orientation="landscape" r:id="rId1"/>
  <headerFooter alignWithMargins="0"/>
  <rowBreaks count="4" manualBreakCount="4">
    <brk id="81" max="14" man="1"/>
    <brk id="127" max="14" man="1"/>
    <brk id="178" max="14" man="1"/>
    <brk id="25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6.7109375" style="14" customWidth="1"/>
    <col min="2" max="2" width="58.5703125" style="14" customWidth="1"/>
    <col min="3" max="4" width="15.7109375" style="14" customWidth="1"/>
    <col min="5" max="5" width="16" style="14" customWidth="1"/>
    <col min="6" max="12" width="15.7109375" style="14" customWidth="1"/>
    <col min="13" max="13" width="10.28515625" style="14" bestFit="1" customWidth="1"/>
    <col min="14" max="16384" width="9.140625" style="14"/>
  </cols>
  <sheetData>
    <row r="1" spans="1:12" x14ac:dyDescent="0.2">
      <c r="B1" s="105" t="s">
        <v>286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2" x14ac:dyDescent="0.2">
      <c r="B2" s="105" t="s">
        <v>182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2" x14ac:dyDescent="0.2">
      <c r="B3" s="105" t="str">
        <f>Summary!A4</f>
        <v>Twelve Months Ended December 31, 2019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2" x14ac:dyDescent="0.2">
      <c r="C4" s="106"/>
      <c r="D4" s="106"/>
      <c r="E4" s="106"/>
      <c r="F4" s="106"/>
      <c r="G4" s="106"/>
      <c r="H4" s="106"/>
      <c r="I4" s="106"/>
      <c r="J4" s="106"/>
      <c r="K4" s="106"/>
    </row>
    <row r="5" spans="1:12" ht="13.5" thickBot="1" x14ac:dyDescent="0.25"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3.5" thickBot="1" x14ac:dyDescent="0.25">
      <c r="B6" s="120" t="s">
        <v>182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1:12" x14ac:dyDescent="0.2">
      <c r="C7" s="106"/>
      <c r="D7" s="106"/>
      <c r="E7" s="107" t="s">
        <v>114</v>
      </c>
      <c r="F7" s="107"/>
      <c r="G7" s="107" t="s">
        <v>114</v>
      </c>
      <c r="H7" s="106"/>
      <c r="I7" s="107" t="s">
        <v>114</v>
      </c>
      <c r="J7" s="107" t="s">
        <v>294</v>
      </c>
      <c r="K7" s="107" t="s">
        <v>294</v>
      </c>
    </row>
    <row r="8" spans="1:12" x14ac:dyDescent="0.2">
      <c r="C8" s="107" t="s">
        <v>114</v>
      </c>
      <c r="D8" s="107" t="s">
        <v>124</v>
      </c>
      <c r="E8" s="107" t="s">
        <v>122</v>
      </c>
      <c r="F8" s="107"/>
      <c r="G8" s="107" t="s">
        <v>122</v>
      </c>
      <c r="H8" s="107"/>
      <c r="I8" s="107" t="s">
        <v>122</v>
      </c>
      <c r="J8" s="107" t="s">
        <v>183</v>
      </c>
      <c r="K8" s="107" t="s">
        <v>183</v>
      </c>
    </row>
    <row r="9" spans="1:12" x14ac:dyDescent="0.2">
      <c r="C9" s="107" t="s">
        <v>115</v>
      </c>
      <c r="D9" s="107" t="s">
        <v>184</v>
      </c>
      <c r="E9" s="107" t="s">
        <v>185</v>
      </c>
      <c r="F9" s="107" t="s">
        <v>306</v>
      </c>
      <c r="G9" s="107" t="s">
        <v>302</v>
      </c>
      <c r="H9" s="107" t="s">
        <v>129</v>
      </c>
      <c r="I9" s="107" t="s">
        <v>302</v>
      </c>
      <c r="J9" s="107" t="s">
        <v>140</v>
      </c>
      <c r="K9" s="107" t="s">
        <v>142</v>
      </c>
    </row>
    <row r="10" spans="1:12" x14ac:dyDescent="0.2">
      <c r="A10" s="108" t="s">
        <v>223</v>
      </c>
      <c r="B10" s="74" t="s">
        <v>276</v>
      </c>
      <c r="C10" s="109" t="str">
        <f>Summary!C13</f>
        <v>12 Mo. 12/31/19</v>
      </c>
      <c r="D10" s="109" t="s">
        <v>126</v>
      </c>
      <c r="E10" s="109" t="s">
        <v>186</v>
      </c>
      <c r="F10" s="109" t="s">
        <v>130</v>
      </c>
      <c r="G10" s="109" t="s">
        <v>130</v>
      </c>
      <c r="H10" s="109" t="s">
        <v>130</v>
      </c>
      <c r="I10" s="109" t="s">
        <v>130</v>
      </c>
      <c r="J10" s="109" t="s">
        <v>141</v>
      </c>
      <c r="K10" s="109" t="s">
        <v>143</v>
      </c>
    </row>
    <row r="11" spans="1:12" ht="13.5" thickBot="1" x14ac:dyDescent="0.25"/>
    <row r="12" spans="1:12" ht="13.5" thickBot="1" x14ac:dyDescent="0.25">
      <c r="B12" s="110" t="s">
        <v>200</v>
      </c>
    </row>
    <row r="13" spans="1:12" x14ac:dyDescent="0.2">
      <c r="B13" s="111"/>
    </row>
    <row r="14" spans="1:12" x14ac:dyDescent="0.2">
      <c r="A14" s="69">
        <v>1</v>
      </c>
      <c r="B14" s="112" t="s">
        <v>214</v>
      </c>
      <c r="C14" s="10">
        <f>'CFIT Schedules'!C17</f>
        <v>53320986.090000004</v>
      </c>
      <c r="D14" s="10">
        <f>'CFIT Schedules'!D17</f>
        <v>-3337746.17</v>
      </c>
      <c r="E14" s="10">
        <f t="shared" ref="E14:E21" si="0">C14-D14</f>
        <v>56658732.260000005</v>
      </c>
      <c r="F14" s="10">
        <f>'CFIT Schedules'!F17</f>
        <v>0</v>
      </c>
      <c r="G14" s="10">
        <f>E14+F14</f>
        <v>56658732.260000005</v>
      </c>
      <c r="H14" s="10">
        <f>'CFIT Schedules'!H17</f>
        <v>0</v>
      </c>
      <c r="I14" s="10">
        <f t="shared" ref="I14:I21" si="1">G14+H14</f>
        <v>56658732.260000005</v>
      </c>
      <c r="J14" s="34" t="s">
        <v>146</v>
      </c>
      <c r="K14" s="10">
        <f>'CFIT Schedules'!K17</f>
        <v>49067482</v>
      </c>
      <c r="L14" s="34" t="s">
        <v>146</v>
      </c>
    </row>
    <row r="15" spans="1:12" x14ac:dyDescent="0.2">
      <c r="A15" s="69">
        <f>A14+1</f>
        <v>2</v>
      </c>
      <c r="B15" s="10" t="s">
        <v>187</v>
      </c>
      <c r="C15" s="10">
        <f>'CFIT Schedules'!C276</f>
        <v>-61549862.180000007</v>
      </c>
      <c r="D15" s="10">
        <f>'CFIT Schedules'!D276</f>
        <v>-1027203</v>
      </c>
      <c r="E15" s="10">
        <f t="shared" si="0"/>
        <v>-60522659.180000007</v>
      </c>
      <c r="F15" s="10">
        <f>'CFIT Schedules'!F276</f>
        <v>0</v>
      </c>
      <c r="G15" s="10">
        <f t="shared" ref="G15:G21" si="2">E15+F15</f>
        <v>-60522659.180000007</v>
      </c>
      <c r="H15" s="10">
        <f>'CFIT Schedules'!H276</f>
        <v>0</v>
      </c>
      <c r="I15" s="10">
        <f t="shared" si="1"/>
        <v>-60522659.180000007</v>
      </c>
      <c r="J15" s="34" t="s">
        <v>146</v>
      </c>
      <c r="K15" s="10">
        <f>'CFIT Schedules'!K276</f>
        <v>-59429987</v>
      </c>
      <c r="L15" s="34" t="s">
        <v>146</v>
      </c>
    </row>
    <row r="16" spans="1:12" x14ac:dyDescent="0.2">
      <c r="A16" s="69">
        <f t="shared" ref="A16:A79" si="3">A15+1</f>
        <v>3</v>
      </c>
      <c r="B16" s="10" t="s">
        <v>189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f t="shared" si="2"/>
        <v>0</v>
      </c>
      <c r="H16" s="10">
        <v>0</v>
      </c>
      <c r="I16" s="10">
        <f t="shared" si="1"/>
        <v>0</v>
      </c>
      <c r="J16" s="34" t="s">
        <v>146</v>
      </c>
      <c r="K16" s="10">
        <v>0</v>
      </c>
      <c r="L16" s="34" t="s">
        <v>146</v>
      </c>
    </row>
    <row r="17" spans="1:12" x14ac:dyDescent="0.2">
      <c r="A17" s="69">
        <f t="shared" si="3"/>
        <v>4</v>
      </c>
      <c r="B17" s="10" t="s">
        <v>190</v>
      </c>
      <c r="C17" s="10">
        <v>-13527644</v>
      </c>
      <c r="D17" s="10">
        <v>0</v>
      </c>
      <c r="E17" s="10">
        <f t="shared" si="0"/>
        <v>-13527644</v>
      </c>
      <c r="F17" s="10">
        <v>0</v>
      </c>
      <c r="G17" s="10">
        <f t="shared" si="2"/>
        <v>-13527644</v>
      </c>
      <c r="H17" s="10">
        <v>0</v>
      </c>
      <c r="I17" s="10">
        <f t="shared" si="1"/>
        <v>-13527644</v>
      </c>
      <c r="J17" s="50">
        <f>VLOOKUP(L17,$C$142:$D$155,2,FALSE)</f>
        <v>0.98499999999999999</v>
      </c>
      <c r="K17" s="10">
        <f>ROUND(I17*J17,0)</f>
        <v>-13324729</v>
      </c>
      <c r="L17" s="34" t="s">
        <v>225</v>
      </c>
    </row>
    <row r="18" spans="1:12" x14ac:dyDescent="0.2">
      <c r="A18" s="69">
        <f t="shared" si="3"/>
        <v>5</v>
      </c>
      <c r="B18" s="124" t="s">
        <v>396</v>
      </c>
      <c r="C18" s="10">
        <v>-4138781</v>
      </c>
      <c r="D18" s="10">
        <v>0</v>
      </c>
      <c r="E18" s="10">
        <f t="shared" si="0"/>
        <v>-4138781</v>
      </c>
      <c r="F18" s="10">
        <v>0</v>
      </c>
      <c r="G18" s="10">
        <f t="shared" si="2"/>
        <v>-4138781</v>
      </c>
      <c r="H18" s="10">
        <v>0</v>
      </c>
      <c r="I18" s="10">
        <f t="shared" si="1"/>
        <v>-4138781</v>
      </c>
      <c r="J18" s="50">
        <f>VLOOKUP(L18,$C$142:$D$155,2,FALSE)</f>
        <v>0.98499999999999999</v>
      </c>
      <c r="K18" s="10">
        <f>ROUND(I18*J18,0)</f>
        <v>-4076699</v>
      </c>
      <c r="L18" s="34" t="s">
        <v>225</v>
      </c>
    </row>
    <row r="19" spans="1:12" x14ac:dyDescent="0.2">
      <c r="A19" s="69">
        <f t="shared" si="3"/>
        <v>6</v>
      </c>
      <c r="B19" s="10" t="s">
        <v>191</v>
      </c>
      <c r="C19" s="10">
        <f>-'CFIT Schedules'!C234</f>
        <v>0</v>
      </c>
      <c r="D19" s="10">
        <f>-'CFIT Schedules'!D234</f>
        <v>0</v>
      </c>
      <c r="E19" s="10">
        <f t="shared" si="0"/>
        <v>0</v>
      </c>
      <c r="F19" s="10">
        <f>-'CFIT Schedules'!F234</f>
        <v>0</v>
      </c>
      <c r="G19" s="10">
        <f t="shared" si="2"/>
        <v>0</v>
      </c>
      <c r="H19" s="10">
        <f>-'CFIT Schedules'!H234</f>
        <v>0</v>
      </c>
      <c r="I19" s="10">
        <f t="shared" si="1"/>
        <v>0</v>
      </c>
      <c r="J19" s="50">
        <f>VLOOKUP(L19,$C$142:$D$155,2,FALSE)</f>
        <v>0.98499999999999999</v>
      </c>
      <c r="K19" s="10">
        <f>ROUND(I19*J19,0)</f>
        <v>0</v>
      </c>
      <c r="L19" s="34" t="s">
        <v>149</v>
      </c>
    </row>
    <row r="20" spans="1:12" x14ac:dyDescent="0.2">
      <c r="A20" s="69">
        <f t="shared" si="3"/>
        <v>7</v>
      </c>
      <c r="B20" s="10" t="s">
        <v>201</v>
      </c>
      <c r="C20" s="10">
        <v>0</v>
      </c>
      <c r="D20" s="10">
        <v>0</v>
      </c>
      <c r="E20" s="10">
        <f t="shared" si="0"/>
        <v>0</v>
      </c>
      <c r="F20" s="10">
        <v>0</v>
      </c>
      <c r="G20" s="10">
        <f t="shared" si="2"/>
        <v>0</v>
      </c>
      <c r="H20" s="10">
        <v>0</v>
      </c>
      <c r="I20" s="10">
        <f t="shared" si="1"/>
        <v>0</v>
      </c>
      <c r="J20" s="50">
        <f>VLOOKUP(L20,$C$142:$D$155,2,FALSE)</f>
        <v>0.98499999999999999</v>
      </c>
      <c r="K20" s="10">
        <f>ROUND(I20*J20,0)</f>
        <v>0</v>
      </c>
      <c r="L20" s="34" t="s">
        <v>225</v>
      </c>
    </row>
    <row r="21" spans="1:12" x14ac:dyDescent="0.2">
      <c r="A21" s="69">
        <f t="shared" si="3"/>
        <v>8</v>
      </c>
      <c r="B21" s="10" t="s">
        <v>188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f t="shared" si="2"/>
        <v>0</v>
      </c>
      <c r="H21" s="11">
        <v>0</v>
      </c>
      <c r="I21" s="11">
        <f t="shared" si="1"/>
        <v>0</v>
      </c>
      <c r="J21" s="50">
        <f>VLOOKUP(L21,$C$142:$D$155,2,FALSE)</f>
        <v>0.98499999999999999</v>
      </c>
      <c r="K21" s="11">
        <f>ROUND(I21*J21,0)</f>
        <v>0</v>
      </c>
      <c r="L21" s="34" t="s">
        <v>225</v>
      </c>
    </row>
    <row r="22" spans="1:12" x14ac:dyDescent="0.2">
      <c r="A22" s="69">
        <f t="shared" si="3"/>
        <v>9</v>
      </c>
      <c r="B22" s="10" t="s">
        <v>192</v>
      </c>
      <c r="C22" s="10">
        <f t="shared" ref="C22:I22" si="4">SUM(C14:C21)</f>
        <v>-25895301.090000004</v>
      </c>
      <c r="D22" s="10">
        <f t="shared" si="4"/>
        <v>-4364949.17</v>
      </c>
      <c r="E22" s="10">
        <f t="shared" si="4"/>
        <v>-21530351.920000002</v>
      </c>
      <c r="F22" s="10">
        <f t="shared" si="4"/>
        <v>0</v>
      </c>
      <c r="G22" s="10">
        <f t="shared" si="4"/>
        <v>-21530351.920000002</v>
      </c>
      <c r="H22" s="10">
        <f t="shared" si="4"/>
        <v>0</v>
      </c>
      <c r="I22" s="10">
        <f t="shared" si="4"/>
        <v>-21530351.920000002</v>
      </c>
      <c r="J22" s="35"/>
      <c r="K22" s="10">
        <f>SUM(K14:K21)</f>
        <v>-27763933</v>
      </c>
    </row>
    <row r="23" spans="1:12" x14ac:dyDescent="0.2">
      <c r="A23" s="69">
        <f t="shared" si="3"/>
        <v>10</v>
      </c>
      <c r="B23" s="10" t="s">
        <v>193</v>
      </c>
      <c r="C23" s="12">
        <v>0.87921800000000006</v>
      </c>
      <c r="D23" s="12"/>
      <c r="E23" s="12">
        <v>0.87921800000000006</v>
      </c>
      <c r="F23" s="12">
        <f>$E23</f>
        <v>0.87921800000000006</v>
      </c>
      <c r="G23" s="12">
        <f>$E23</f>
        <v>0.87921800000000006</v>
      </c>
      <c r="H23" s="12">
        <f>$E23</f>
        <v>0.87921800000000006</v>
      </c>
      <c r="I23" s="12">
        <f>$E23</f>
        <v>0.87921800000000006</v>
      </c>
      <c r="J23" s="31"/>
      <c r="K23" s="12">
        <f>$E23</f>
        <v>0.87921800000000006</v>
      </c>
    </row>
    <row r="24" spans="1:12" x14ac:dyDescent="0.2">
      <c r="A24" s="69">
        <f t="shared" si="3"/>
        <v>11</v>
      </c>
      <c r="B24" s="10" t="s">
        <v>194</v>
      </c>
      <c r="C24" s="10">
        <f t="shared" ref="C24:I24" si="5">ROUND(C22*C23,0)</f>
        <v>-22767615</v>
      </c>
      <c r="D24" s="10">
        <f>C24-E24</f>
        <v>-3837742</v>
      </c>
      <c r="E24" s="10">
        <f t="shared" si="5"/>
        <v>-18929873</v>
      </c>
      <c r="F24" s="10">
        <f t="shared" si="5"/>
        <v>0</v>
      </c>
      <c r="G24" s="10">
        <f t="shared" si="5"/>
        <v>-18929873</v>
      </c>
      <c r="H24" s="10">
        <f t="shared" si="5"/>
        <v>0</v>
      </c>
      <c r="I24" s="10">
        <f t="shared" si="5"/>
        <v>-18929873</v>
      </c>
      <c r="J24" s="33"/>
      <c r="K24" s="10">
        <f>ROUND(K22*K23,0)</f>
        <v>-24410550</v>
      </c>
    </row>
    <row r="25" spans="1:12" x14ac:dyDescent="0.2">
      <c r="A25" s="69">
        <f t="shared" si="3"/>
        <v>12</v>
      </c>
      <c r="B25" s="10" t="s">
        <v>283</v>
      </c>
      <c r="C25" s="11">
        <v>0</v>
      </c>
      <c r="D25" s="11">
        <v>0</v>
      </c>
      <c r="E25" s="11">
        <f t="shared" ref="E25" si="6">C25-D25</f>
        <v>0</v>
      </c>
      <c r="F25" s="11">
        <v>0</v>
      </c>
      <c r="G25" s="11">
        <f>E25+F25</f>
        <v>0</v>
      </c>
      <c r="H25" s="11">
        <v>0</v>
      </c>
      <c r="I25" s="11">
        <f t="shared" ref="I25" si="7">G25+H25</f>
        <v>0</v>
      </c>
      <c r="J25" s="50">
        <f>VLOOKUP(L25,$C$142:$D$155,2,FALSE)</f>
        <v>0.98499999999999999</v>
      </c>
      <c r="K25" s="11">
        <f>ROUND(I25*J25,0)</f>
        <v>0</v>
      </c>
      <c r="L25" s="34" t="s">
        <v>225</v>
      </c>
    </row>
    <row r="26" spans="1:12" x14ac:dyDescent="0.2">
      <c r="A26" s="69">
        <f t="shared" si="3"/>
        <v>13</v>
      </c>
      <c r="B26" s="10" t="s">
        <v>284</v>
      </c>
      <c r="C26" s="10">
        <f>C24+C25</f>
        <v>-22767615</v>
      </c>
      <c r="D26" s="10">
        <f t="shared" ref="D26:K26" si="8">D24+D25</f>
        <v>-3837742</v>
      </c>
      <c r="E26" s="10">
        <f t="shared" si="8"/>
        <v>-18929873</v>
      </c>
      <c r="F26" s="10">
        <f t="shared" si="8"/>
        <v>0</v>
      </c>
      <c r="G26" s="10">
        <f t="shared" si="8"/>
        <v>-18929873</v>
      </c>
      <c r="H26" s="10">
        <f t="shared" si="8"/>
        <v>0</v>
      </c>
      <c r="I26" s="10">
        <f t="shared" si="8"/>
        <v>-18929873</v>
      </c>
      <c r="J26" s="33"/>
      <c r="K26" s="10">
        <f t="shared" si="8"/>
        <v>-24410550</v>
      </c>
    </row>
    <row r="27" spans="1:12" x14ac:dyDescent="0.2">
      <c r="A27" s="69">
        <f t="shared" si="3"/>
        <v>14</v>
      </c>
      <c r="B27" s="10" t="s">
        <v>195</v>
      </c>
      <c r="C27" s="113">
        <v>0.05</v>
      </c>
      <c r="D27" s="13">
        <f>$C27</f>
        <v>0.05</v>
      </c>
      <c r="E27" s="13">
        <f>$C27</f>
        <v>0.05</v>
      </c>
      <c r="F27" s="13">
        <f>$C27</f>
        <v>0.05</v>
      </c>
      <c r="G27" s="13">
        <f>$C27</f>
        <v>0.05</v>
      </c>
      <c r="H27" s="13"/>
      <c r="I27" s="13">
        <f>$C27</f>
        <v>0.05</v>
      </c>
      <c r="J27" s="32"/>
      <c r="K27" s="13">
        <f>$I27</f>
        <v>0.05</v>
      </c>
    </row>
    <row r="28" spans="1:12" x14ac:dyDescent="0.2">
      <c r="A28" s="69">
        <f t="shared" si="3"/>
        <v>15</v>
      </c>
      <c r="B28" s="10" t="s">
        <v>196</v>
      </c>
      <c r="C28" s="10">
        <f>ROUND(C26*C27,0)</f>
        <v>-1138381</v>
      </c>
      <c r="D28" s="10">
        <f>ROUND(D26*D27,0)</f>
        <v>-191887</v>
      </c>
      <c r="E28" s="10">
        <f>ROUND(E26*E27,0)</f>
        <v>-946494</v>
      </c>
      <c r="F28" s="10">
        <f>ROUND(F26*F27,0)</f>
        <v>0</v>
      </c>
      <c r="G28" s="10">
        <f>ROUND(G26*G27,0)</f>
        <v>-946494</v>
      </c>
      <c r="H28" s="10">
        <f>I28-G28</f>
        <v>0</v>
      </c>
      <c r="I28" s="10">
        <f>ROUND(I26*I27,0)</f>
        <v>-946494</v>
      </c>
      <c r="J28" s="33"/>
      <c r="K28" s="10">
        <f>ROUND(K26*K27,0)</f>
        <v>-1220528</v>
      </c>
    </row>
    <row r="29" spans="1:12" x14ac:dyDescent="0.2">
      <c r="A29" s="69">
        <f t="shared" si="3"/>
        <v>16</v>
      </c>
      <c r="B29" s="10" t="s">
        <v>197</v>
      </c>
      <c r="C29" s="10">
        <v>0</v>
      </c>
      <c r="D29" s="10">
        <f>C29</f>
        <v>0</v>
      </c>
      <c r="E29" s="10">
        <f>C29-D29</f>
        <v>0</v>
      </c>
      <c r="F29" s="10">
        <v>0</v>
      </c>
      <c r="G29" s="10">
        <f t="shared" ref="G29:G32" si="9">E29+F29</f>
        <v>0</v>
      </c>
      <c r="H29" s="10">
        <v>0</v>
      </c>
      <c r="I29" s="10">
        <f>G29+H29</f>
        <v>0</v>
      </c>
      <c r="J29" s="50">
        <f>VLOOKUP(L29,$C$142:$D$155,2,FALSE)</f>
        <v>0</v>
      </c>
      <c r="K29" s="10">
        <f>ROUND(I29*J29,0)</f>
        <v>0</v>
      </c>
      <c r="L29" s="69" t="s">
        <v>152</v>
      </c>
    </row>
    <row r="30" spans="1:12" x14ac:dyDescent="0.2">
      <c r="A30" s="69">
        <f t="shared" si="3"/>
        <v>17</v>
      </c>
      <c r="B30" s="10" t="s">
        <v>272</v>
      </c>
      <c r="C30" s="10">
        <f>1141545.88+1176654.97</f>
        <v>2318200.8499999996</v>
      </c>
      <c r="D30" s="10">
        <f>233292.3-2297</f>
        <v>230995.3</v>
      </c>
      <c r="E30" s="10">
        <f>C30-D30</f>
        <v>2087205.5499999996</v>
      </c>
      <c r="F30" s="10">
        <v>0</v>
      </c>
      <c r="G30" s="10">
        <f t="shared" si="9"/>
        <v>2087205.5499999996</v>
      </c>
      <c r="H30" s="10">
        <v>0</v>
      </c>
      <c r="I30" s="10">
        <f>G30+H30</f>
        <v>2087205.5499999996</v>
      </c>
      <c r="J30" s="50">
        <f>VLOOKUP(L30,$C$142:$D$155,2,FALSE)</f>
        <v>0</v>
      </c>
      <c r="K30" s="10">
        <f>ROUND(I30*J30,0)</f>
        <v>0</v>
      </c>
      <c r="L30" s="69" t="s">
        <v>152</v>
      </c>
    </row>
    <row r="31" spans="1:12" x14ac:dyDescent="0.2">
      <c r="A31" s="69">
        <f t="shared" si="3"/>
        <v>18</v>
      </c>
      <c r="B31" s="10" t="s">
        <v>197</v>
      </c>
      <c r="C31" s="10">
        <v>0</v>
      </c>
      <c r="D31" s="10">
        <f>C31</f>
        <v>0</v>
      </c>
      <c r="E31" s="10">
        <f>C31-D31</f>
        <v>0</v>
      </c>
      <c r="F31" s="10">
        <v>0</v>
      </c>
      <c r="G31" s="10">
        <f t="shared" ref="G31" si="10">E31+F31</f>
        <v>0</v>
      </c>
      <c r="H31" s="10">
        <v>0</v>
      </c>
      <c r="I31" s="10">
        <f>G31+H31</f>
        <v>0</v>
      </c>
      <c r="J31" s="50">
        <f>VLOOKUP(L31,$C$142:$D$155,2,FALSE)</f>
        <v>0</v>
      </c>
      <c r="K31" s="10">
        <f>ROUND(I31*J31,0)</f>
        <v>0</v>
      </c>
      <c r="L31" s="69" t="s">
        <v>152</v>
      </c>
    </row>
    <row r="32" spans="1:12" x14ac:dyDescent="0.2">
      <c r="A32" s="69">
        <f t="shared" si="3"/>
        <v>19</v>
      </c>
      <c r="B32" s="10" t="s">
        <v>197</v>
      </c>
      <c r="C32" s="10">
        <v>0</v>
      </c>
      <c r="D32" s="10">
        <f>C32</f>
        <v>0</v>
      </c>
      <c r="E32" s="11">
        <f>C32-D32</f>
        <v>0</v>
      </c>
      <c r="F32" s="11">
        <v>0</v>
      </c>
      <c r="G32" s="10">
        <f t="shared" si="9"/>
        <v>0</v>
      </c>
      <c r="H32" s="11">
        <v>0</v>
      </c>
      <c r="I32" s="10">
        <f>G32+H32</f>
        <v>0</v>
      </c>
      <c r="J32" s="50">
        <f>VLOOKUP(L32,$C$142:$D$155,2,FALSE)</f>
        <v>0</v>
      </c>
      <c r="K32" s="11">
        <f>ROUND(I32*J32,0)</f>
        <v>0</v>
      </c>
      <c r="L32" s="69" t="s">
        <v>152</v>
      </c>
    </row>
    <row r="33" spans="1:12" ht="13.5" thickBot="1" x14ac:dyDescent="0.25">
      <c r="A33" s="69">
        <f t="shared" si="3"/>
        <v>20</v>
      </c>
      <c r="B33" s="10" t="s">
        <v>202</v>
      </c>
      <c r="C33" s="15">
        <f t="shared" ref="C33:I33" si="11">SUM(C28:C32)</f>
        <v>1179819.8499999996</v>
      </c>
      <c r="D33" s="15">
        <f t="shared" si="11"/>
        <v>39108.299999999988</v>
      </c>
      <c r="E33" s="15">
        <f t="shared" si="11"/>
        <v>1140711.5499999996</v>
      </c>
      <c r="F33" s="15">
        <f t="shared" si="11"/>
        <v>0</v>
      </c>
      <c r="G33" s="15">
        <f t="shared" si="11"/>
        <v>1140711.5499999996</v>
      </c>
      <c r="H33" s="15">
        <f t="shared" si="11"/>
        <v>0</v>
      </c>
      <c r="I33" s="15">
        <f t="shared" si="11"/>
        <v>1140711.5499999996</v>
      </c>
      <c r="J33" s="33"/>
      <c r="K33" s="15">
        <f>SUM(K28:K32)</f>
        <v>-1220528</v>
      </c>
    </row>
    <row r="34" spans="1:12" ht="13.5" thickTop="1" x14ac:dyDescent="0.2">
      <c r="A34" s="69">
        <f t="shared" si="3"/>
        <v>21</v>
      </c>
      <c r="B34" s="10"/>
      <c r="C34" s="10"/>
      <c r="D34" s="10"/>
      <c r="E34" s="10"/>
      <c r="F34" s="10"/>
      <c r="G34" s="10"/>
      <c r="H34" s="10"/>
      <c r="I34" s="10"/>
      <c r="J34" s="35"/>
      <c r="K34" s="10"/>
    </row>
    <row r="35" spans="1:12" x14ac:dyDescent="0.2">
      <c r="A35" s="69">
        <f t="shared" si="3"/>
        <v>22</v>
      </c>
      <c r="B35" s="10"/>
      <c r="C35" s="10"/>
      <c r="D35" s="10">
        <f>39108.11-D33</f>
        <v>-0.18999999998777639</v>
      </c>
      <c r="E35" s="10"/>
      <c r="F35" s="10"/>
      <c r="G35" s="10"/>
      <c r="H35" s="10"/>
      <c r="I35" s="10"/>
      <c r="J35" s="35"/>
      <c r="K35" s="10"/>
    </row>
    <row r="36" spans="1:12" x14ac:dyDescent="0.2">
      <c r="A36" s="69">
        <f t="shared" si="3"/>
        <v>23</v>
      </c>
      <c r="B36" s="10"/>
      <c r="C36" s="10"/>
      <c r="J36" s="69"/>
    </row>
    <row r="37" spans="1:12" ht="13.5" thickBot="1" x14ac:dyDescent="0.25">
      <c r="A37" s="69">
        <f t="shared" si="3"/>
        <v>24</v>
      </c>
      <c r="J37" s="69"/>
    </row>
    <row r="38" spans="1:12" ht="13.5" thickBot="1" x14ac:dyDescent="0.25">
      <c r="A38" s="69">
        <f t="shared" si="3"/>
        <v>25</v>
      </c>
      <c r="B38" s="110" t="s">
        <v>198</v>
      </c>
      <c r="J38" s="69"/>
    </row>
    <row r="39" spans="1:12" x14ac:dyDescent="0.2">
      <c r="A39" s="69">
        <f t="shared" si="3"/>
        <v>26</v>
      </c>
      <c r="B39" s="111"/>
      <c r="J39" s="69"/>
    </row>
    <row r="40" spans="1:12" x14ac:dyDescent="0.2">
      <c r="A40" s="69">
        <f t="shared" si="3"/>
        <v>27</v>
      </c>
      <c r="B40" s="112" t="s">
        <v>214</v>
      </c>
      <c r="C40" s="10">
        <f>C$14</f>
        <v>53320986.090000004</v>
      </c>
      <c r="D40" s="10">
        <f>D$14</f>
        <v>-3337746.17</v>
      </c>
      <c r="E40" s="10">
        <f t="shared" ref="E40:E47" si="12">C40-D40</f>
        <v>56658732.260000005</v>
      </c>
      <c r="F40" s="10">
        <f>F$14</f>
        <v>0</v>
      </c>
      <c r="G40" s="10">
        <f>E40+F40</f>
        <v>56658732.260000005</v>
      </c>
      <c r="H40" s="10">
        <f>H$14</f>
        <v>0</v>
      </c>
      <c r="I40" s="10">
        <f t="shared" ref="I40:I47" si="13">G40+H40</f>
        <v>56658732.260000005</v>
      </c>
      <c r="J40" s="34" t="s">
        <v>146</v>
      </c>
      <c r="K40" s="10">
        <f>K14</f>
        <v>49067482</v>
      </c>
      <c r="L40" s="34" t="s">
        <v>146</v>
      </c>
    </row>
    <row r="41" spans="1:12" x14ac:dyDescent="0.2">
      <c r="A41" s="69">
        <f t="shared" si="3"/>
        <v>28</v>
      </c>
      <c r="B41" s="10" t="s">
        <v>187</v>
      </c>
      <c r="C41" s="10">
        <f>C$15</f>
        <v>-61549862.180000007</v>
      </c>
      <c r="D41" s="10">
        <f>D$15</f>
        <v>-1027203</v>
      </c>
      <c r="E41" s="10">
        <f t="shared" si="12"/>
        <v>-60522659.180000007</v>
      </c>
      <c r="F41" s="10">
        <f>F$15</f>
        <v>0</v>
      </c>
      <c r="G41" s="10">
        <f t="shared" ref="G41:G47" si="14">E41+F41</f>
        <v>-60522659.180000007</v>
      </c>
      <c r="H41" s="10">
        <f>H$15</f>
        <v>0</v>
      </c>
      <c r="I41" s="10">
        <f t="shared" si="13"/>
        <v>-60522659.180000007</v>
      </c>
      <c r="J41" s="34" t="s">
        <v>146</v>
      </c>
      <c r="K41" s="10">
        <f>K15</f>
        <v>-59429987</v>
      </c>
      <c r="L41" s="34" t="s">
        <v>146</v>
      </c>
    </row>
    <row r="42" spans="1:12" x14ac:dyDescent="0.2">
      <c r="A42" s="69">
        <f t="shared" si="3"/>
        <v>29</v>
      </c>
      <c r="B42" s="10" t="s">
        <v>189</v>
      </c>
      <c r="C42" s="10">
        <f>C16</f>
        <v>0</v>
      </c>
      <c r="D42" s="10">
        <f>D16</f>
        <v>0</v>
      </c>
      <c r="E42" s="10">
        <f t="shared" si="12"/>
        <v>0</v>
      </c>
      <c r="F42" s="10">
        <f>F16</f>
        <v>0</v>
      </c>
      <c r="G42" s="10">
        <f t="shared" si="14"/>
        <v>0</v>
      </c>
      <c r="H42" s="10">
        <f>H16</f>
        <v>0</v>
      </c>
      <c r="I42" s="10">
        <f t="shared" si="13"/>
        <v>0</v>
      </c>
      <c r="J42" s="34" t="s">
        <v>146</v>
      </c>
      <c r="K42" s="10">
        <f>K16</f>
        <v>0</v>
      </c>
      <c r="L42" s="34" t="s">
        <v>146</v>
      </c>
    </row>
    <row r="43" spans="1:12" x14ac:dyDescent="0.2">
      <c r="A43" s="69">
        <f t="shared" si="3"/>
        <v>30</v>
      </c>
      <c r="B43" s="10" t="s">
        <v>190</v>
      </c>
      <c r="C43" s="10">
        <v>-11399378</v>
      </c>
      <c r="D43" s="10">
        <v>0</v>
      </c>
      <c r="E43" s="10">
        <f t="shared" si="12"/>
        <v>-11399378</v>
      </c>
      <c r="F43" s="10">
        <v>0</v>
      </c>
      <c r="G43" s="10">
        <f t="shared" si="14"/>
        <v>-11399378</v>
      </c>
      <c r="H43" s="10">
        <v>0</v>
      </c>
      <c r="I43" s="10">
        <f t="shared" si="13"/>
        <v>-11399378</v>
      </c>
      <c r="J43" s="50">
        <f>VLOOKUP(L43,$C$142:$D$155,2,FALSE)</f>
        <v>0.98499999999999999</v>
      </c>
      <c r="K43" s="10">
        <f>ROUND(I43*J43,0)</f>
        <v>-11228387</v>
      </c>
      <c r="L43" s="34" t="s">
        <v>225</v>
      </c>
    </row>
    <row r="44" spans="1:12" x14ac:dyDescent="0.2">
      <c r="A44" s="69">
        <f t="shared" si="3"/>
        <v>31</v>
      </c>
      <c r="B44" s="10" t="str">
        <f>B18</f>
        <v>Add (Subtract): Tax Depreciation Lookback</v>
      </c>
      <c r="C44" s="10">
        <v>-4138781</v>
      </c>
      <c r="D44" s="10">
        <v>0</v>
      </c>
      <c r="E44" s="10">
        <f t="shared" si="12"/>
        <v>-4138781</v>
      </c>
      <c r="F44" s="10">
        <v>0</v>
      </c>
      <c r="G44" s="10">
        <f t="shared" si="14"/>
        <v>-4138781</v>
      </c>
      <c r="H44" s="10">
        <v>0</v>
      </c>
      <c r="I44" s="10">
        <f t="shared" si="13"/>
        <v>-4138781</v>
      </c>
      <c r="J44" s="50">
        <f>VLOOKUP(L44,$C$142:$D$155,2,FALSE)</f>
        <v>0.98499999999999999</v>
      </c>
      <c r="K44" s="10">
        <f>ROUND(I44*J44,0)</f>
        <v>-4076699</v>
      </c>
      <c r="L44" s="34" t="s">
        <v>149</v>
      </c>
    </row>
    <row r="45" spans="1:12" x14ac:dyDescent="0.2">
      <c r="A45" s="69">
        <f t="shared" si="3"/>
        <v>32</v>
      </c>
      <c r="B45" s="10" t="s">
        <v>191</v>
      </c>
      <c r="C45" s="10">
        <f>C$19</f>
        <v>0</v>
      </c>
      <c r="D45" s="10">
        <f>D$19</f>
        <v>0</v>
      </c>
      <c r="E45" s="10">
        <f t="shared" si="12"/>
        <v>0</v>
      </c>
      <c r="F45" s="10">
        <f>F$19</f>
        <v>0</v>
      </c>
      <c r="G45" s="10">
        <f t="shared" si="14"/>
        <v>0</v>
      </c>
      <c r="H45" s="10">
        <f>H$19</f>
        <v>0</v>
      </c>
      <c r="I45" s="10">
        <f t="shared" si="13"/>
        <v>0</v>
      </c>
      <c r="J45" s="50">
        <f>VLOOKUP(L45,$C$142:$D$155,2,FALSE)</f>
        <v>0.98499999999999999</v>
      </c>
      <c r="K45" s="10">
        <f>ROUND(I45*J45,0)</f>
        <v>0</v>
      </c>
      <c r="L45" s="34" t="s">
        <v>149</v>
      </c>
    </row>
    <row r="46" spans="1:12" x14ac:dyDescent="0.2">
      <c r="A46" s="69">
        <f t="shared" si="3"/>
        <v>33</v>
      </c>
      <c r="B46" s="10" t="s">
        <v>188</v>
      </c>
      <c r="C46" s="10">
        <v>0</v>
      </c>
      <c r="D46" s="10">
        <v>0</v>
      </c>
      <c r="E46" s="10">
        <f t="shared" si="12"/>
        <v>0</v>
      </c>
      <c r="F46" s="10">
        <v>0</v>
      </c>
      <c r="G46" s="10">
        <f t="shared" si="14"/>
        <v>0</v>
      </c>
      <c r="H46" s="10">
        <v>0</v>
      </c>
      <c r="I46" s="10">
        <f t="shared" si="13"/>
        <v>0</v>
      </c>
      <c r="J46" s="50">
        <f>VLOOKUP(L46,$C$142:$D$155,2,FALSE)</f>
        <v>0.98499999999999999</v>
      </c>
      <c r="K46" s="10">
        <f>ROUND(I46*J46,0)</f>
        <v>0</v>
      </c>
      <c r="L46" s="34" t="s">
        <v>225</v>
      </c>
    </row>
    <row r="47" spans="1:12" x14ac:dyDescent="0.2">
      <c r="A47" s="69">
        <f t="shared" si="3"/>
        <v>34</v>
      </c>
      <c r="B47" s="10" t="s">
        <v>188</v>
      </c>
      <c r="C47" s="11">
        <v>0</v>
      </c>
      <c r="D47" s="11">
        <v>0</v>
      </c>
      <c r="E47" s="11">
        <f t="shared" si="12"/>
        <v>0</v>
      </c>
      <c r="F47" s="11">
        <v>0</v>
      </c>
      <c r="G47" s="11">
        <f t="shared" si="14"/>
        <v>0</v>
      </c>
      <c r="H47" s="11">
        <v>0</v>
      </c>
      <c r="I47" s="11">
        <f t="shared" si="13"/>
        <v>0</v>
      </c>
      <c r="J47" s="50">
        <f>VLOOKUP(L47,$C$142:$D$155,2,FALSE)</f>
        <v>0.98499999999999999</v>
      </c>
      <c r="K47" s="11">
        <f>ROUND(I47*J47,0)</f>
        <v>0</v>
      </c>
      <c r="L47" s="34" t="s">
        <v>225</v>
      </c>
    </row>
    <row r="48" spans="1:12" x14ac:dyDescent="0.2">
      <c r="A48" s="69">
        <f t="shared" si="3"/>
        <v>35</v>
      </c>
      <c r="B48" s="10" t="s">
        <v>192</v>
      </c>
      <c r="C48" s="10">
        <f t="shared" ref="C48:I48" si="15">SUM(C40:C47)</f>
        <v>-23767035.090000004</v>
      </c>
      <c r="D48" s="10">
        <f t="shared" si="15"/>
        <v>-4364949.17</v>
      </c>
      <c r="E48" s="10">
        <f t="shared" si="15"/>
        <v>-19402085.920000002</v>
      </c>
      <c r="F48" s="10">
        <f t="shared" si="15"/>
        <v>0</v>
      </c>
      <c r="G48" s="10">
        <f t="shared" si="15"/>
        <v>-19402085.920000002</v>
      </c>
      <c r="H48" s="10">
        <f t="shared" si="15"/>
        <v>0</v>
      </c>
      <c r="I48" s="10">
        <f t="shared" si="15"/>
        <v>-19402085.920000002</v>
      </c>
      <c r="J48" s="35"/>
      <c r="K48" s="10">
        <f>SUM(K40:K47)</f>
        <v>-25667591</v>
      </c>
    </row>
    <row r="49" spans="1:12" x14ac:dyDescent="0.2">
      <c r="A49" s="69">
        <f t="shared" si="3"/>
        <v>36</v>
      </c>
      <c r="B49" s="10" t="s">
        <v>193</v>
      </c>
      <c r="C49" s="12">
        <v>9.3480000000000004E-3</v>
      </c>
      <c r="D49" s="12"/>
      <c r="E49" s="12">
        <v>9.3480000000000004E-3</v>
      </c>
      <c r="F49" s="12">
        <f>$E49</f>
        <v>9.3480000000000004E-3</v>
      </c>
      <c r="G49" s="12">
        <f>$E49</f>
        <v>9.3480000000000004E-3</v>
      </c>
      <c r="H49" s="12">
        <f>$E49</f>
        <v>9.3480000000000004E-3</v>
      </c>
      <c r="I49" s="12">
        <f>$E49</f>
        <v>9.3480000000000004E-3</v>
      </c>
      <c r="J49" s="31"/>
      <c r="K49" s="12">
        <f>$E49</f>
        <v>9.3480000000000004E-3</v>
      </c>
    </row>
    <row r="50" spans="1:12" x14ac:dyDescent="0.2">
      <c r="A50" s="69">
        <f t="shared" si="3"/>
        <v>37</v>
      </c>
      <c r="B50" s="10" t="s">
        <v>194</v>
      </c>
      <c r="C50" s="10">
        <f t="shared" ref="C50:I50" si="16">ROUND(C48*C49,0)</f>
        <v>-222174</v>
      </c>
      <c r="D50" s="10">
        <f>C50-E50</f>
        <v>-40803</v>
      </c>
      <c r="E50" s="10">
        <f t="shared" si="16"/>
        <v>-181371</v>
      </c>
      <c r="F50" s="10">
        <f t="shared" si="16"/>
        <v>0</v>
      </c>
      <c r="G50" s="10">
        <f t="shared" si="16"/>
        <v>-181371</v>
      </c>
      <c r="H50" s="10">
        <f t="shared" si="16"/>
        <v>0</v>
      </c>
      <c r="I50" s="10">
        <f t="shared" si="16"/>
        <v>-181371</v>
      </c>
      <c r="J50" s="33"/>
      <c r="K50" s="10">
        <f>ROUND(K48*K49,0)</f>
        <v>-239941</v>
      </c>
    </row>
    <row r="51" spans="1:12" x14ac:dyDescent="0.2">
      <c r="A51" s="69">
        <f t="shared" si="3"/>
        <v>38</v>
      </c>
      <c r="B51" s="10" t="s">
        <v>283</v>
      </c>
      <c r="C51" s="11">
        <v>-3137</v>
      </c>
      <c r="D51" s="11">
        <f>2380.83</f>
        <v>2380.83</v>
      </c>
      <c r="E51" s="11">
        <f t="shared" ref="E51" si="17">C51-D51</f>
        <v>-5517.83</v>
      </c>
      <c r="F51" s="11">
        <v>0</v>
      </c>
      <c r="G51" s="11">
        <f>E51+F51</f>
        <v>-5517.83</v>
      </c>
      <c r="H51" s="11">
        <v>0</v>
      </c>
      <c r="I51" s="11">
        <f t="shared" ref="I51" si="18">G51+H51</f>
        <v>-5517.83</v>
      </c>
      <c r="J51" s="50">
        <f>VLOOKUP(L51,$C$142:$D$155,2,FALSE)</f>
        <v>0.98499999999999999</v>
      </c>
      <c r="K51" s="11">
        <f>ROUND(I51*J51,0)</f>
        <v>-5435</v>
      </c>
      <c r="L51" s="34" t="s">
        <v>225</v>
      </c>
    </row>
    <row r="52" spans="1:12" x14ac:dyDescent="0.2">
      <c r="A52" s="69">
        <f t="shared" si="3"/>
        <v>39</v>
      </c>
      <c r="B52" s="10" t="s">
        <v>284</v>
      </c>
      <c r="C52" s="10">
        <f>C50+C51</f>
        <v>-225311</v>
      </c>
      <c r="D52" s="10">
        <f t="shared" ref="D52" si="19">D50+D51</f>
        <v>-38422.17</v>
      </c>
      <c r="E52" s="10">
        <f t="shared" ref="E52" si="20">E50+E51</f>
        <v>-186888.83</v>
      </c>
      <c r="F52" s="10">
        <f t="shared" ref="F52" si="21">F50+F51</f>
        <v>0</v>
      </c>
      <c r="G52" s="10">
        <f t="shared" ref="G52" si="22">G50+G51</f>
        <v>-186888.83</v>
      </c>
      <c r="H52" s="10">
        <f t="shared" ref="H52" si="23">H50+H51</f>
        <v>0</v>
      </c>
      <c r="I52" s="10">
        <f t="shared" ref="I52:K52" si="24">I50+I51</f>
        <v>-186888.83</v>
      </c>
      <c r="J52" s="33"/>
      <c r="K52" s="10">
        <f t="shared" si="24"/>
        <v>-245376</v>
      </c>
    </row>
    <row r="53" spans="1:12" x14ac:dyDescent="0.2">
      <c r="A53" s="69">
        <f t="shared" si="3"/>
        <v>40</v>
      </c>
      <c r="B53" s="10" t="s">
        <v>195</v>
      </c>
      <c r="C53" s="113">
        <v>9.5000000000000001E-2</v>
      </c>
      <c r="D53" s="13">
        <f t="shared" ref="D53:I53" si="25">$C53</f>
        <v>9.5000000000000001E-2</v>
      </c>
      <c r="E53" s="13">
        <f t="shared" si="25"/>
        <v>9.5000000000000001E-2</v>
      </c>
      <c r="F53" s="13">
        <f t="shared" si="25"/>
        <v>9.5000000000000001E-2</v>
      </c>
      <c r="G53" s="13">
        <f t="shared" si="25"/>
        <v>9.5000000000000001E-2</v>
      </c>
      <c r="H53" s="13"/>
      <c r="I53" s="13">
        <f t="shared" si="25"/>
        <v>9.5000000000000001E-2</v>
      </c>
      <c r="J53" s="32"/>
      <c r="K53" s="13">
        <f>$I53</f>
        <v>9.5000000000000001E-2</v>
      </c>
    </row>
    <row r="54" spans="1:12" x14ac:dyDescent="0.2">
      <c r="A54" s="69">
        <f t="shared" si="3"/>
        <v>41</v>
      </c>
      <c r="B54" s="10" t="s">
        <v>196</v>
      </c>
      <c r="C54" s="10">
        <f>ROUND(C52*C53,0)</f>
        <v>-21405</v>
      </c>
      <c r="D54" s="10">
        <f>ROUND(D52*D53,0)</f>
        <v>-3650</v>
      </c>
      <c r="E54" s="10">
        <f>ROUND(E52*E53,0)</f>
        <v>-17754</v>
      </c>
      <c r="F54" s="10">
        <f>ROUND(F52*F53,0)</f>
        <v>0</v>
      </c>
      <c r="G54" s="10">
        <f>ROUND(G52*G53,0)</f>
        <v>-17754</v>
      </c>
      <c r="H54" s="10">
        <f>I54-G54</f>
        <v>0</v>
      </c>
      <c r="I54" s="10">
        <f>ROUND(I52*I53,0)</f>
        <v>-17754</v>
      </c>
      <c r="J54" s="33"/>
      <c r="K54" s="10">
        <f>ROUND(K52*K53,0)</f>
        <v>-23311</v>
      </c>
    </row>
    <row r="55" spans="1:12" x14ac:dyDescent="0.2">
      <c r="A55" s="69">
        <f t="shared" si="3"/>
        <v>42</v>
      </c>
      <c r="B55" s="10" t="s">
        <v>197</v>
      </c>
      <c r="C55" s="10">
        <v>0</v>
      </c>
      <c r="D55" s="10">
        <f>C55</f>
        <v>0</v>
      </c>
      <c r="E55" s="10">
        <f>C55-D55</f>
        <v>0</v>
      </c>
      <c r="F55" s="10">
        <v>0</v>
      </c>
      <c r="G55" s="10">
        <f>E55+F55</f>
        <v>0</v>
      </c>
      <c r="H55" s="10">
        <v>0</v>
      </c>
      <c r="I55" s="10">
        <f>G55+H55</f>
        <v>0</v>
      </c>
      <c r="J55" s="50">
        <f>VLOOKUP(L55,$C$142:$D$155,2,FALSE)</f>
        <v>0</v>
      </c>
      <c r="K55" s="10">
        <f>ROUND(I55*J55,0)</f>
        <v>0</v>
      </c>
      <c r="L55" s="69" t="s">
        <v>238</v>
      </c>
    </row>
    <row r="56" spans="1:12" x14ac:dyDescent="0.2">
      <c r="A56" s="69">
        <f t="shared" si="3"/>
        <v>43</v>
      </c>
      <c r="B56" s="10" t="s">
        <v>272</v>
      </c>
      <c r="C56" s="10">
        <f>16772</f>
        <v>16772</v>
      </c>
      <c r="D56" s="10">
        <f>5445.28-47</f>
        <v>5398.28</v>
      </c>
      <c r="E56" s="10">
        <f>C56-D56</f>
        <v>11373.720000000001</v>
      </c>
      <c r="F56" s="10">
        <v>0</v>
      </c>
      <c r="G56" s="10">
        <f>E56+F56</f>
        <v>11373.720000000001</v>
      </c>
      <c r="H56" s="10">
        <v>0</v>
      </c>
      <c r="I56" s="10">
        <f>G56+H56</f>
        <v>11373.720000000001</v>
      </c>
      <c r="J56" s="50">
        <f>VLOOKUP(L56,$C$142:$D$155,2,FALSE)</f>
        <v>0</v>
      </c>
      <c r="K56" s="10">
        <f>ROUND(I56*J56,0)</f>
        <v>0</v>
      </c>
      <c r="L56" s="69" t="s">
        <v>152</v>
      </c>
    </row>
    <row r="57" spans="1:12" x14ac:dyDescent="0.2">
      <c r="A57" s="69">
        <f t="shared" si="3"/>
        <v>44</v>
      </c>
      <c r="B57" s="10" t="s">
        <v>197</v>
      </c>
      <c r="C57" s="10">
        <v>0</v>
      </c>
      <c r="D57" s="10">
        <v>0</v>
      </c>
      <c r="E57" s="10">
        <f>C57-D57</f>
        <v>0</v>
      </c>
      <c r="F57" s="10">
        <v>0</v>
      </c>
      <c r="G57" s="10">
        <f>E57+F57</f>
        <v>0</v>
      </c>
      <c r="H57" s="10">
        <v>0</v>
      </c>
      <c r="I57" s="10">
        <f>G57+H57</f>
        <v>0</v>
      </c>
      <c r="J57" s="50">
        <f>VLOOKUP(L57,$C$142:$D$155,2,FALSE)</f>
        <v>0</v>
      </c>
      <c r="K57" s="10">
        <f>ROUND(I57*J57,0)</f>
        <v>0</v>
      </c>
      <c r="L57" s="69" t="s">
        <v>152</v>
      </c>
    </row>
    <row r="58" spans="1:12" x14ac:dyDescent="0.2">
      <c r="A58" s="69">
        <f t="shared" si="3"/>
        <v>45</v>
      </c>
      <c r="B58" s="10" t="s">
        <v>197</v>
      </c>
      <c r="C58" s="10">
        <v>0</v>
      </c>
      <c r="D58" s="10">
        <f>C58</f>
        <v>0</v>
      </c>
      <c r="E58" s="11">
        <f>C58-D58</f>
        <v>0</v>
      </c>
      <c r="F58" s="11">
        <v>0</v>
      </c>
      <c r="G58" s="10">
        <f>E58+F58</f>
        <v>0</v>
      </c>
      <c r="H58" s="11">
        <v>0</v>
      </c>
      <c r="I58" s="10">
        <f>G58+H58</f>
        <v>0</v>
      </c>
      <c r="J58" s="50">
        <f>VLOOKUP(L58,$C$142:$D$155,2,FALSE)</f>
        <v>0</v>
      </c>
      <c r="K58" s="11">
        <f>ROUND(I58*J58,0)</f>
        <v>0</v>
      </c>
      <c r="L58" s="69" t="s">
        <v>152</v>
      </c>
    </row>
    <row r="59" spans="1:12" ht="13.5" thickBot="1" x14ac:dyDescent="0.25">
      <c r="A59" s="69">
        <f t="shared" si="3"/>
        <v>46</v>
      </c>
      <c r="B59" s="10" t="s">
        <v>199</v>
      </c>
      <c r="C59" s="15">
        <f t="shared" ref="C59:I59" si="26">SUM(C54:C58)</f>
        <v>-4633</v>
      </c>
      <c r="D59" s="15">
        <f t="shared" si="26"/>
        <v>1748.2799999999997</v>
      </c>
      <c r="E59" s="15">
        <f t="shared" si="26"/>
        <v>-6380.2799999999988</v>
      </c>
      <c r="F59" s="15">
        <f t="shared" si="26"/>
        <v>0</v>
      </c>
      <c r="G59" s="15">
        <f t="shared" si="26"/>
        <v>-6380.2799999999988</v>
      </c>
      <c r="H59" s="15">
        <f t="shared" si="26"/>
        <v>0</v>
      </c>
      <c r="I59" s="15">
        <f t="shared" si="26"/>
        <v>-6380.2799999999988</v>
      </c>
      <c r="J59" s="33"/>
      <c r="K59" s="15">
        <f>SUM(K54:K58)</f>
        <v>-23311</v>
      </c>
    </row>
    <row r="60" spans="1:12" ht="13.5" thickTop="1" x14ac:dyDescent="0.2">
      <c r="A60" s="69">
        <f t="shared" si="3"/>
        <v>47</v>
      </c>
      <c r="B60" s="10"/>
      <c r="C60" s="10"/>
      <c r="D60" s="10"/>
      <c r="E60" s="10"/>
      <c r="F60" s="10"/>
      <c r="G60" s="10"/>
      <c r="H60" s="10"/>
      <c r="I60" s="10"/>
      <c r="J60" s="35"/>
      <c r="K60" s="10"/>
    </row>
    <row r="61" spans="1:12" x14ac:dyDescent="0.2">
      <c r="A61" s="69">
        <f t="shared" si="3"/>
        <v>48</v>
      </c>
      <c r="B61" s="10"/>
      <c r="C61" s="10"/>
      <c r="D61" s="10">
        <f>1748.67-D59</f>
        <v>0.39000000000032742</v>
      </c>
      <c r="E61" s="10"/>
      <c r="F61" s="10"/>
      <c r="G61" s="10"/>
      <c r="H61" s="10"/>
      <c r="I61" s="10"/>
      <c r="J61" s="35"/>
      <c r="K61" s="10"/>
    </row>
    <row r="62" spans="1:12" x14ac:dyDescent="0.2">
      <c r="A62" s="69">
        <f t="shared" si="3"/>
        <v>49</v>
      </c>
      <c r="J62" s="69"/>
    </row>
    <row r="63" spans="1:12" ht="13.5" thickBot="1" x14ac:dyDescent="0.25">
      <c r="A63" s="69">
        <f t="shared" si="3"/>
        <v>50</v>
      </c>
      <c r="J63" s="69"/>
    </row>
    <row r="64" spans="1:12" ht="13.5" thickBot="1" x14ac:dyDescent="0.25">
      <c r="A64" s="69">
        <f t="shared" si="3"/>
        <v>51</v>
      </c>
      <c r="B64" s="110" t="s">
        <v>203</v>
      </c>
      <c r="J64" s="69"/>
    </row>
    <row r="65" spans="1:12" x14ac:dyDescent="0.2">
      <c r="A65" s="69">
        <f t="shared" si="3"/>
        <v>52</v>
      </c>
      <c r="B65" s="111"/>
      <c r="J65" s="69"/>
    </row>
    <row r="66" spans="1:12" x14ac:dyDescent="0.2">
      <c r="A66" s="69">
        <f t="shared" si="3"/>
        <v>53</v>
      </c>
      <c r="B66" s="112" t="s">
        <v>214</v>
      </c>
      <c r="C66" s="10">
        <f>C$14</f>
        <v>53320986.090000004</v>
      </c>
      <c r="D66" s="10">
        <f>D$14</f>
        <v>-3337746.17</v>
      </c>
      <c r="E66" s="10">
        <f t="shared" ref="E66:E73" si="27">C66-D66</f>
        <v>56658732.260000005</v>
      </c>
      <c r="F66" s="10">
        <f>F$14</f>
        <v>0</v>
      </c>
      <c r="G66" s="10">
        <f t="shared" ref="G66:G73" si="28">E66+F66</f>
        <v>56658732.260000005</v>
      </c>
      <c r="H66" s="10">
        <f>H$14</f>
        <v>0</v>
      </c>
      <c r="I66" s="10">
        <f t="shared" ref="I66:I73" si="29">G66+H66</f>
        <v>56658732.260000005</v>
      </c>
      <c r="J66" s="34" t="s">
        <v>146</v>
      </c>
      <c r="K66" s="10">
        <f>K14</f>
        <v>49067482</v>
      </c>
      <c r="L66" s="34" t="s">
        <v>146</v>
      </c>
    </row>
    <row r="67" spans="1:12" x14ac:dyDescent="0.2">
      <c r="A67" s="69">
        <f t="shared" si="3"/>
        <v>54</v>
      </c>
      <c r="B67" s="10" t="s">
        <v>187</v>
      </c>
      <c r="C67" s="10">
        <f>C$15</f>
        <v>-61549862.180000007</v>
      </c>
      <c r="D67" s="10">
        <f>D$15</f>
        <v>-1027203</v>
      </c>
      <c r="E67" s="10">
        <f t="shared" si="27"/>
        <v>-60522659.180000007</v>
      </c>
      <c r="F67" s="10">
        <f>F$15</f>
        <v>0</v>
      </c>
      <c r="G67" s="10">
        <f t="shared" si="28"/>
        <v>-60522659.180000007</v>
      </c>
      <c r="H67" s="10">
        <f>H$15</f>
        <v>0</v>
      </c>
      <c r="I67" s="10">
        <f t="shared" si="29"/>
        <v>-60522659.180000007</v>
      </c>
      <c r="J67" s="34" t="s">
        <v>146</v>
      </c>
      <c r="K67" s="10">
        <f>K15</f>
        <v>-59429987</v>
      </c>
      <c r="L67" s="34" t="s">
        <v>146</v>
      </c>
    </row>
    <row r="68" spans="1:12" x14ac:dyDescent="0.2">
      <c r="A68" s="69">
        <f t="shared" si="3"/>
        <v>55</v>
      </c>
      <c r="B68" s="10" t="s">
        <v>189</v>
      </c>
      <c r="C68" s="10">
        <f>C42</f>
        <v>0</v>
      </c>
      <c r="D68" s="10">
        <v>0</v>
      </c>
      <c r="E68" s="10">
        <f t="shared" si="27"/>
        <v>0</v>
      </c>
      <c r="F68" s="10">
        <f>F16</f>
        <v>0</v>
      </c>
      <c r="G68" s="10">
        <f t="shared" si="28"/>
        <v>0</v>
      </c>
      <c r="H68" s="10">
        <f>I16</f>
        <v>0</v>
      </c>
      <c r="I68" s="10">
        <f t="shared" si="29"/>
        <v>0</v>
      </c>
      <c r="J68" s="34" t="s">
        <v>146</v>
      </c>
      <c r="K68" s="10">
        <f>K16</f>
        <v>0</v>
      </c>
      <c r="L68" s="34" t="s">
        <v>146</v>
      </c>
    </row>
    <row r="69" spans="1:12" x14ac:dyDescent="0.2">
      <c r="A69" s="69">
        <f t="shared" si="3"/>
        <v>56</v>
      </c>
      <c r="B69" s="10" t="s">
        <v>190</v>
      </c>
      <c r="C69" s="10">
        <v>-12717708</v>
      </c>
      <c r="D69" s="10"/>
      <c r="E69" s="10">
        <f t="shared" si="27"/>
        <v>-12717708</v>
      </c>
      <c r="F69" s="10">
        <v>0</v>
      </c>
      <c r="G69" s="10">
        <f t="shared" si="28"/>
        <v>-12717708</v>
      </c>
      <c r="H69" s="10">
        <v>0</v>
      </c>
      <c r="I69" s="10">
        <f t="shared" si="29"/>
        <v>-12717708</v>
      </c>
      <c r="J69" s="50">
        <f>VLOOKUP(L69,$C$142:$D$155,2,FALSE)</f>
        <v>0.98499999999999999</v>
      </c>
      <c r="K69" s="10">
        <f>ROUND(I69*J69,0)</f>
        <v>-12526942</v>
      </c>
      <c r="L69" s="34" t="s">
        <v>225</v>
      </c>
    </row>
    <row r="70" spans="1:12" x14ac:dyDescent="0.2">
      <c r="A70" s="69">
        <f t="shared" si="3"/>
        <v>57</v>
      </c>
      <c r="B70" s="10" t="str">
        <f>B44</f>
        <v>Add (Subtract): Tax Depreciation Lookback</v>
      </c>
      <c r="C70" s="10">
        <v>-4138781</v>
      </c>
      <c r="D70" s="10">
        <v>0</v>
      </c>
      <c r="E70" s="10">
        <f t="shared" si="27"/>
        <v>-4138781</v>
      </c>
      <c r="F70" s="10">
        <f>F44</f>
        <v>0</v>
      </c>
      <c r="G70" s="10">
        <f t="shared" si="28"/>
        <v>-4138781</v>
      </c>
      <c r="H70" s="10">
        <v>0</v>
      </c>
      <c r="I70" s="10">
        <f t="shared" si="29"/>
        <v>-4138781</v>
      </c>
      <c r="J70" s="50">
        <f>VLOOKUP(L70,$C$142:$D$155,2,FALSE)</f>
        <v>0.98499999999999999</v>
      </c>
      <c r="K70" s="10">
        <f>ROUND(I70*J70,0)</f>
        <v>-4076699</v>
      </c>
      <c r="L70" s="34" t="s">
        <v>149</v>
      </c>
    </row>
    <row r="71" spans="1:12" x14ac:dyDescent="0.2">
      <c r="A71" s="69">
        <f t="shared" si="3"/>
        <v>58</v>
      </c>
      <c r="B71" s="10" t="s">
        <v>201</v>
      </c>
      <c r="C71" s="10">
        <v>0</v>
      </c>
      <c r="D71" s="10">
        <v>0</v>
      </c>
      <c r="E71" s="10">
        <f t="shared" si="27"/>
        <v>0</v>
      </c>
      <c r="F71" s="10">
        <f>F20</f>
        <v>0</v>
      </c>
      <c r="G71" s="10">
        <f t="shared" si="28"/>
        <v>0</v>
      </c>
      <c r="H71" s="10">
        <f>H20</f>
        <v>0</v>
      </c>
      <c r="I71" s="10">
        <f t="shared" si="29"/>
        <v>0</v>
      </c>
      <c r="J71" s="50">
        <f>VLOOKUP(L71,$C$142:$D$155,2,FALSE)</f>
        <v>0.98499999999999999</v>
      </c>
      <c r="K71" s="10">
        <f>ROUND(I71*J71,0)</f>
        <v>0</v>
      </c>
      <c r="L71" s="34" t="s">
        <v>149</v>
      </c>
    </row>
    <row r="72" spans="1:12" x14ac:dyDescent="0.2">
      <c r="A72" s="69">
        <f t="shared" si="3"/>
        <v>59</v>
      </c>
      <c r="B72" s="10" t="s">
        <v>191</v>
      </c>
      <c r="C72" s="10">
        <f>C$19</f>
        <v>0</v>
      </c>
      <c r="D72" s="10">
        <f>D$19</f>
        <v>0</v>
      </c>
      <c r="E72" s="10">
        <f t="shared" si="27"/>
        <v>0</v>
      </c>
      <c r="F72" s="10">
        <f>F$19</f>
        <v>0</v>
      </c>
      <c r="G72" s="10">
        <f t="shared" si="28"/>
        <v>0</v>
      </c>
      <c r="H72" s="10">
        <f>H$19</f>
        <v>0</v>
      </c>
      <c r="I72" s="10">
        <f t="shared" si="29"/>
        <v>0</v>
      </c>
      <c r="J72" s="50">
        <f>VLOOKUP(L72,$C$142:$D$155,2,FALSE)</f>
        <v>0.98499999999999999</v>
      </c>
      <c r="K72" s="10">
        <f>ROUND(I72*J72,0)</f>
        <v>0</v>
      </c>
      <c r="L72" s="34" t="s">
        <v>149</v>
      </c>
    </row>
    <row r="73" spans="1:12" x14ac:dyDescent="0.2">
      <c r="A73" s="69">
        <f t="shared" si="3"/>
        <v>60</v>
      </c>
      <c r="B73" s="10" t="s">
        <v>188</v>
      </c>
      <c r="C73" s="11">
        <v>0</v>
      </c>
      <c r="D73" s="11">
        <v>0</v>
      </c>
      <c r="E73" s="11">
        <f t="shared" si="27"/>
        <v>0</v>
      </c>
      <c r="F73" s="11">
        <v>0</v>
      </c>
      <c r="G73" s="11">
        <f t="shared" si="28"/>
        <v>0</v>
      </c>
      <c r="H73" s="11">
        <v>0</v>
      </c>
      <c r="I73" s="11">
        <f t="shared" si="29"/>
        <v>0</v>
      </c>
      <c r="J73" s="50">
        <f>VLOOKUP(L73,$C$142:$D$155,2,FALSE)</f>
        <v>0.98499999999999999</v>
      </c>
      <c r="K73" s="11">
        <f>ROUND(I73*J73,0)</f>
        <v>0</v>
      </c>
      <c r="L73" s="34" t="s">
        <v>225</v>
      </c>
    </row>
    <row r="74" spans="1:12" x14ac:dyDescent="0.2">
      <c r="A74" s="69">
        <f t="shared" si="3"/>
        <v>61</v>
      </c>
      <c r="B74" s="10" t="s">
        <v>192</v>
      </c>
      <c r="C74" s="10">
        <f t="shared" ref="C74:I74" si="30">SUM(C66:C73)</f>
        <v>-25085365.090000004</v>
      </c>
      <c r="D74" s="10">
        <f t="shared" si="30"/>
        <v>-4364949.17</v>
      </c>
      <c r="E74" s="10">
        <f t="shared" si="30"/>
        <v>-20720415.920000002</v>
      </c>
      <c r="F74" s="10">
        <f t="shared" si="30"/>
        <v>0</v>
      </c>
      <c r="G74" s="10">
        <f t="shared" si="30"/>
        <v>-20720415.920000002</v>
      </c>
      <c r="H74" s="10">
        <f t="shared" si="30"/>
        <v>0</v>
      </c>
      <c r="I74" s="10">
        <f t="shared" si="30"/>
        <v>-20720415.920000002</v>
      </c>
      <c r="J74" s="35"/>
      <c r="K74" s="10">
        <f>SUM(K66:K73)</f>
        <v>-26966146</v>
      </c>
    </row>
    <row r="75" spans="1:12" x14ac:dyDescent="0.2">
      <c r="A75" s="69">
        <f t="shared" si="3"/>
        <v>62</v>
      </c>
      <c r="B75" s="10" t="s">
        <v>193</v>
      </c>
      <c r="C75" s="12">
        <v>3.2299999999999999E-4</v>
      </c>
      <c r="D75" s="12"/>
      <c r="E75" s="12">
        <v>3.2299999999999999E-4</v>
      </c>
      <c r="F75" s="12">
        <f>$E75</f>
        <v>3.2299999999999999E-4</v>
      </c>
      <c r="G75" s="12">
        <f>$E75</f>
        <v>3.2299999999999999E-4</v>
      </c>
      <c r="H75" s="12">
        <f>$E75</f>
        <v>3.2299999999999999E-4</v>
      </c>
      <c r="I75" s="12">
        <f>$E75</f>
        <v>3.2299999999999999E-4</v>
      </c>
      <c r="J75" s="31"/>
      <c r="K75" s="12">
        <f>$E75</f>
        <v>3.2299999999999999E-4</v>
      </c>
    </row>
    <row r="76" spans="1:12" x14ac:dyDescent="0.2">
      <c r="A76" s="69">
        <f t="shared" si="3"/>
        <v>63</v>
      </c>
      <c r="B76" s="10" t="s">
        <v>194</v>
      </c>
      <c r="C76" s="10">
        <f t="shared" ref="C76:I76" si="31">ROUND(C74*C75,0)</f>
        <v>-8103</v>
      </c>
      <c r="D76" s="10">
        <f>C76-E76</f>
        <v>-1410</v>
      </c>
      <c r="E76" s="10">
        <f t="shared" si="31"/>
        <v>-6693</v>
      </c>
      <c r="F76" s="10">
        <f t="shared" si="31"/>
        <v>0</v>
      </c>
      <c r="G76" s="10">
        <f t="shared" si="31"/>
        <v>-6693</v>
      </c>
      <c r="H76" s="10">
        <f t="shared" si="31"/>
        <v>0</v>
      </c>
      <c r="I76" s="10">
        <f t="shared" si="31"/>
        <v>-6693</v>
      </c>
      <c r="J76" s="33"/>
      <c r="K76" s="10">
        <f>ROUND(K74*K75,0)</f>
        <v>-8710</v>
      </c>
    </row>
    <row r="77" spans="1:12" x14ac:dyDescent="0.2">
      <c r="A77" s="69">
        <f t="shared" si="3"/>
        <v>64</v>
      </c>
      <c r="B77" s="10" t="s">
        <v>283</v>
      </c>
      <c r="C77" s="11">
        <v>0</v>
      </c>
      <c r="D77" s="11">
        <v>0</v>
      </c>
      <c r="E77" s="11">
        <f t="shared" ref="E77" si="32">C77-D77</f>
        <v>0</v>
      </c>
      <c r="F77" s="11">
        <v>0</v>
      </c>
      <c r="G77" s="11">
        <f>E77+F77</f>
        <v>0</v>
      </c>
      <c r="H77" s="11">
        <v>0</v>
      </c>
      <c r="I77" s="11">
        <f t="shared" ref="I77" si="33">G77+H77</f>
        <v>0</v>
      </c>
      <c r="J77" s="50">
        <f>VLOOKUP(L77,$C$142:$D$155,2,FALSE)</f>
        <v>0.98499999999999999</v>
      </c>
      <c r="K77" s="11">
        <f>ROUND(I77*J77,0)</f>
        <v>0</v>
      </c>
      <c r="L77" s="34" t="s">
        <v>225</v>
      </c>
    </row>
    <row r="78" spans="1:12" x14ac:dyDescent="0.2">
      <c r="A78" s="69">
        <f t="shared" si="3"/>
        <v>65</v>
      </c>
      <c r="B78" s="10" t="s">
        <v>284</v>
      </c>
      <c r="C78" s="10">
        <f>C76+C77</f>
        <v>-8103</v>
      </c>
      <c r="D78" s="10">
        <f t="shared" ref="D78" si="34">D76+D77</f>
        <v>-1410</v>
      </c>
      <c r="E78" s="10">
        <f t="shared" ref="E78" si="35">E76+E77</f>
        <v>-6693</v>
      </c>
      <c r="F78" s="10">
        <f t="shared" ref="F78" si="36">F76+F77</f>
        <v>0</v>
      </c>
      <c r="G78" s="10">
        <f t="shared" ref="G78" si="37">G76+G77</f>
        <v>-6693</v>
      </c>
      <c r="H78" s="10">
        <f t="shared" ref="H78" si="38">H76+H77</f>
        <v>0</v>
      </c>
      <c r="I78" s="10">
        <f t="shared" ref="I78:K78" si="39">I76+I77</f>
        <v>-6693</v>
      </c>
      <c r="J78" s="33"/>
      <c r="K78" s="10">
        <f t="shared" si="39"/>
        <v>-8710</v>
      </c>
    </row>
    <row r="79" spans="1:12" x14ac:dyDescent="0.2">
      <c r="A79" s="69">
        <f t="shared" si="3"/>
        <v>66</v>
      </c>
      <c r="B79" s="10" t="s">
        <v>195</v>
      </c>
      <c r="C79" s="113">
        <v>0.06</v>
      </c>
      <c r="D79" s="13">
        <f>$C79</f>
        <v>0.06</v>
      </c>
      <c r="E79" s="13">
        <f>$C79</f>
        <v>0.06</v>
      </c>
      <c r="F79" s="13">
        <f>$C79</f>
        <v>0.06</v>
      </c>
      <c r="G79" s="13">
        <f>$C79</f>
        <v>0.06</v>
      </c>
      <c r="H79" s="13"/>
      <c r="I79" s="13">
        <f>$C79</f>
        <v>0.06</v>
      </c>
      <c r="J79" s="32"/>
      <c r="K79" s="13">
        <f>$I79</f>
        <v>0.06</v>
      </c>
    </row>
    <row r="80" spans="1:12" x14ac:dyDescent="0.2">
      <c r="A80" s="69">
        <f t="shared" ref="A80:A135" si="40">A79+1</f>
        <v>67</v>
      </c>
      <c r="B80" s="10" t="s">
        <v>196</v>
      </c>
      <c r="C80" s="10">
        <f>ROUND(C78*C79,0)</f>
        <v>-486</v>
      </c>
      <c r="D80" s="10">
        <f>ROUND(D78*D79,0)</f>
        <v>-85</v>
      </c>
      <c r="E80" s="10">
        <f>ROUND(E78*E79,0)</f>
        <v>-402</v>
      </c>
      <c r="F80" s="10">
        <f>ROUND(F78*F79,0)</f>
        <v>0</v>
      </c>
      <c r="G80" s="10">
        <f>ROUND(G78*G79,0)</f>
        <v>-402</v>
      </c>
      <c r="H80" s="10">
        <f>I80-G80</f>
        <v>0</v>
      </c>
      <c r="I80" s="10">
        <f>ROUND(I78*I79,0)</f>
        <v>-402</v>
      </c>
      <c r="J80" s="33"/>
      <c r="K80" s="10">
        <f>ROUND(K78*K79,0)</f>
        <v>-523</v>
      </c>
    </row>
    <row r="81" spans="1:12" x14ac:dyDescent="0.2">
      <c r="A81" s="69">
        <f t="shared" si="40"/>
        <v>68</v>
      </c>
      <c r="B81" s="10" t="s">
        <v>215</v>
      </c>
      <c r="C81" s="10">
        <v>0</v>
      </c>
      <c r="D81" s="10">
        <v>0</v>
      </c>
      <c r="E81" s="10">
        <f>C81-D81</f>
        <v>0</v>
      </c>
      <c r="F81" s="10">
        <v>0</v>
      </c>
      <c r="G81" s="10">
        <f t="shared" ref="G81:G85" si="41">E81+F81</f>
        <v>0</v>
      </c>
      <c r="H81" s="10">
        <f>I81-G81</f>
        <v>0</v>
      </c>
      <c r="I81" s="10">
        <v>0</v>
      </c>
      <c r="J81" s="43" t="s">
        <v>222</v>
      </c>
      <c r="K81" s="10">
        <v>0</v>
      </c>
      <c r="L81" s="69" t="s">
        <v>210</v>
      </c>
    </row>
    <row r="82" spans="1:12" x14ac:dyDescent="0.2">
      <c r="A82" s="69">
        <f t="shared" si="40"/>
        <v>69</v>
      </c>
      <c r="B82" s="10" t="s">
        <v>197</v>
      </c>
      <c r="C82" s="10">
        <v>0</v>
      </c>
      <c r="D82" s="10">
        <f>C82</f>
        <v>0</v>
      </c>
      <c r="E82" s="10">
        <f>C82-D82</f>
        <v>0</v>
      </c>
      <c r="F82" s="10">
        <v>0</v>
      </c>
      <c r="G82" s="10">
        <f t="shared" si="41"/>
        <v>0</v>
      </c>
      <c r="H82" s="10">
        <v>0</v>
      </c>
      <c r="I82" s="10">
        <f>G82+H82</f>
        <v>0</v>
      </c>
      <c r="J82" s="50">
        <f>VLOOKUP(L82,$C$142:$D$155,2,FALSE)</f>
        <v>0</v>
      </c>
      <c r="K82" s="10">
        <f>ROUND(I82*J82,0)</f>
        <v>0</v>
      </c>
      <c r="L82" s="69" t="s">
        <v>238</v>
      </c>
    </row>
    <row r="83" spans="1:12" x14ac:dyDescent="0.2">
      <c r="A83" s="69">
        <f t="shared" si="40"/>
        <v>70</v>
      </c>
      <c r="B83" s="10" t="s">
        <v>272</v>
      </c>
      <c r="C83" s="10">
        <f>245</f>
        <v>245</v>
      </c>
      <c r="D83" s="10">
        <f>128.71-1</f>
        <v>127.71000000000001</v>
      </c>
      <c r="E83" s="10">
        <f>C83-D83</f>
        <v>117.28999999999999</v>
      </c>
      <c r="F83" s="10">
        <v>0</v>
      </c>
      <c r="G83" s="10">
        <f t="shared" si="41"/>
        <v>117.28999999999999</v>
      </c>
      <c r="H83" s="10">
        <v>0</v>
      </c>
      <c r="I83" s="10">
        <f>G83+H83</f>
        <v>117.28999999999999</v>
      </c>
      <c r="J83" s="50">
        <f>VLOOKUP(L83,$C$142:$D$155,2,FALSE)</f>
        <v>0</v>
      </c>
      <c r="K83" s="10">
        <f>ROUND(I83*J83,0)</f>
        <v>0</v>
      </c>
      <c r="L83" s="69" t="s">
        <v>152</v>
      </c>
    </row>
    <row r="84" spans="1:12" x14ac:dyDescent="0.2">
      <c r="A84" s="69">
        <f t="shared" si="40"/>
        <v>71</v>
      </c>
      <c r="B84" s="10" t="s">
        <v>197</v>
      </c>
      <c r="C84" s="10">
        <v>0</v>
      </c>
      <c r="D84" s="10">
        <f>C84</f>
        <v>0</v>
      </c>
      <c r="E84" s="10">
        <f>C84-D84</f>
        <v>0</v>
      </c>
      <c r="F84" s="10">
        <v>0</v>
      </c>
      <c r="G84" s="10">
        <f t="shared" si="41"/>
        <v>0</v>
      </c>
      <c r="H84" s="10">
        <f>I84-G84</f>
        <v>0</v>
      </c>
      <c r="I84" s="10">
        <v>0</v>
      </c>
      <c r="J84" s="43" t="s">
        <v>222</v>
      </c>
      <c r="K84" s="10">
        <v>0</v>
      </c>
      <c r="L84" s="69" t="s">
        <v>210</v>
      </c>
    </row>
    <row r="85" spans="1:12" x14ac:dyDescent="0.2">
      <c r="A85" s="69">
        <f t="shared" si="40"/>
        <v>72</v>
      </c>
      <c r="B85" s="10" t="s">
        <v>197</v>
      </c>
      <c r="C85" s="10">
        <v>0</v>
      </c>
      <c r="D85" s="10">
        <f>C85</f>
        <v>0</v>
      </c>
      <c r="E85" s="11">
        <f>C85-D85</f>
        <v>0</v>
      </c>
      <c r="F85" s="11">
        <v>0</v>
      </c>
      <c r="G85" s="10">
        <f t="shared" si="41"/>
        <v>0</v>
      </c>
      <c r="H85" s="11">
        <v>0</v>
      </c>
      <c r="I85" s="10">
        <f>G85+H85</f>
        <v>0</v>
      </c>
      <c r="J85" s="50">
        <f>VLOOKUP(L85,$C$142:$D$155,2,FALSE)</f>
        <v>0</v>
      </c>
      <c r="K85" s="11">
        <f>ROUND(I85*J85,0)</f>
        <v>0</v>
      </c>
      <c r="L85" s="69" t="s">
        <v>152</v>
      </c>
    </row>
    <row r="86" spans="1:12" ht="13.5" thickBot="1" x14ac:dyDescent="0.25">
      <c r="A86" s="69">
        <f t="shared" si="40"/>
        <v>73</v>
      </c>
      <c r="B86" s="10" t="s">
        <v>204</v>
      </c>
      <c r="C86" s="15">
        <f t="shared" ref="C86:I86" si="42">SUM(C80:C85)</f>
        <v>-241</v>
      </c>
      <c r="D86" s="15">
        <f t="shared" si="42"/>
        <v>42.710000000000008</v>
      </c>
      <c r="E86" s="15">
        <f t="shared" si="42"/>
        <v>-284.71000000000004</v>
      </c>
      <c r="F86" s="15">
        <f t="shared" si="42"/>
        <v>0</v>
      </c>
      <c r="G86" s="15">
        <f t="shared" si="42"/>
        <v>-284.71000000000004</v>
      </c>
      <c r="H86" s="15">
        <f t="shared" si="42"/>
        <v>0</v>
      </c>
      <c r="I86" s="15">
        <f t="shared" si="42"/>
        <v>-284.71000000000004</v>
      </c>
      <c r="J86" s="33"/>
      <c r="K86" s="15">
        <f>SUM(K80:K85)</f>
        <v>-523</v>
      </c>
    </row>
    <row r="87" spans="1:12" ht="13.5" thickTop="1" x14ac:dyDescent="0.2">
      <c r="A87" s="69">
        <f t="shared" si="40"/>
        <v>74</v>
      </c>
      <c r="B87" s="10"/>
      <c r="C87" s="10"/>
      <c r="D87" s="10"/>
      <c r="E87" s="10"/>
      <c r="F87" s="10"/>
      <c r="G87" s="10"/>
      <c r="H87" s="10"/>
      <c r="I87" s="10"/>
      <c r="J87" s="35"/>
      <c r="K87" s="10"/>
    </row>
    <row r="88" spans="1:12" x14ac:dyDescent="0.2">
      <c r="A88" s="69">
        <f t="shared" si="40"/>
        <v>75</v>
      </c>
      <c r="C88" s="14" t="s">
        <v>398</v>
      </c>
      <c r="J88" s="69"/>
    </row>
    <row r="89" spans="1:12" ht="13.5" thickBot="1" x14ac:dyDescent="0.25">
      <c r="A89" s="69">
        <f t="shared" si="40"/>
        <v>76</v>
      </c>
      <c r="J89" s="69"/>
    </row>
    <row r="90" spans="1:12" ht="13.5" thickBot="1" x14ac:dyDescent="0.25">
      <c r="A90" s="69">
        <f t="shared" si="40"/>
        <v>77</v>
      </c>
      <c r="B90" s="110" t="s">
        <v>205</v>
      </c>
      <c r="J90" s="69"/>
    </row>
    <row r="91" spans="1:12" x14ac:dyDescent="0.2">
      <c r="A91" s="69">
        <f t="shared" si="40"/>
        <v>78</v>
      </c>
      <c r="B91" s="111"/>
      <c r="J91" s="69"/>
    </row>
    <row r="92" spans="1:12" x14ac:dyDescent="0.2">
      <c r="A92" s="69">
        <f t="shared" si="40"/>
        <v>79</v>
      </c>
      <c r="B92" s="112" t="s">
        <v>214</v>
      </c>
      <c r="C92" s="10">
        <f>C$14</f>
        <v>53320986.090000004</v>
      </c>
      <c r="D92" s="10">
        <f>D$14</f>
        <v>-3337746.17</v>
      </c>
      <c r="E92" s="10">
        <f t="shared" ref="E92:E99" si="43">C92-D92</f>
        <v>56658732.260000005</v>
      </c>
      <c r="F92" s="10">
        <f>F$14</f>
        <v>0</v>
      </c>
      <c r="G92" s="10">
        <f t="shared" ref="G92:G99" si="44">E92+F92</f>
        <v>56658732.260000005</v>
      </c>
      <c r="H92" s="10">
        <f>H$14</f>
        <v>0</v>
      </c>
      <c r="I92" s="10">
        <f t="shared" ref="I92:I99" si="45">G92+H92</f>
        <v>56658732.260000005</v>
      </c>
      <c r="J92" s="34" t="s">
        <v>146</v>
      </c>
      <c r="K92" s="10">
        <f>K14</f>
        <v>49067482</v>
      </c>
      <c r="L92" s="34" t="s">
        <v>146</v>
      </c>
    </row>
    <row r="93" spans="1:12" x14ac:dyDescent="0.2">
      <c r="A93" s="69">
        <f t="shared" si="40"/>
        <v>80</v>
      </c>
      <c r="B93" s="10" t="s">
        <v>187</v>
      </c>
      <c r="C93" s="10">
        <f>C$15</f>
        <v>-61549862.180000007</v>
      </c>
      <c r="D93" s="10">
        <f>D$15</f>
        <v>-1027203</v>
      </c>
      <c r="E93" s="10">
        <f t="shared" si="43"/>
        <v>-60522659.180000007</v>
      </c>
      <c r="F93" s="10">
        <f>F$15</f>
        <v>0</v>
      </c>
      <c r="G93" s="10">
        <f t="shared" si="44"/>
        <v>-60522659.180000007</v>
      </c>
      <c r="H93" s="10">
        <f>H$15</f>
        <v>0</v>
      </c>
      <c r="I93" s="10">
        <f t="shared" si="45"/>
        <v>-60522659.180000007</v>
      </c>
      <c r="J93" s="34" t="s">
        <v>146</v>
      </c>
      <c r="K93" s="10">
        <f>K15</f>
        <v>-59429987</v>
      </c>
      <c r="L93" s="34" t="s">
        <v>146</v>
      </c>
    </row>
    <row r="94" spans="1:12" x14ac:dyDescent="0.2">
      <c r="A94" s="69">
        <f t="shared" si="40"/>
        <v>81</v>
      </c>
      <c r="B94" s="10" t="s">
        <v>189</v>
      </c>
      <c r="C94" s="10">
        <f>C16</f>
        <v>0</v>
      </c>
      <c r="D94" s="10">
        <f>D16</f>
        <v>0</v>
      </c>
      <c r="E94" s="10">
        <f t="shared" si="43"/>
        <v>0</v>
      </c>
      <c r="F94" s="10">
        <f>F16</f>
        <v>0</v>
      </c>
      <c r="G94" s="10">
        <f t="shared" si="44"/>
        <v>0</v>
      </c>
      <c r="H94" s="10">
        <f>H16</f>
        <v>0</v>
      </c>
      <c r="I94" s="10">
        <f t="shared" si="45"/>
        <v>0</v>
      </c>
      <c r="J94" s="34" t="s">
        <v>146</v>
      </c>
      <c r="K94" s="10">
        <f>K16</f>
        <v>0</v>
      </c>
      <c r="L94" s="34" t="s">
        <v>146</v>
      </c>
    </row>
    <row r="95" spans="1:12" x14ac:dyDescent="0.2">
      <c r="A95" s="69">
        <f t="shared" si="40"/>
        <v>82</v>
      </c>
      <c r="B95" s="10" t="s">
        <v>190</v>
      </c>
      <c r="C95" s="10">
        <v>0</v>
      </c>
      <c r="D95" s="10">
        <v>0</v>
      </c>
      <c r="E95" s="10">
        <f t="shared" si="43"/>
        <v>0</v>
      </c>
      <c r="F95" s="10">
        <v>0</v>
      </c>
      <c r="G95" s="10">
        <f t="shared" si="44"/>
        <v>0</v>
      </c>
      <c r="H95" s="10">
        <v>0</v>
      </c>
      <c r="I95" s="10">
        <f t="shared" si="45"/>
        <v>0</v>
      </c>
      <c r="J95" s="50">
        <f>VLOOKUP(L95,$C$142:$D$155,2,FALSE)</f>
        <v>0.98499999999999999</v>
      </c>
      <c r="K95" s="10">
        <f>ROUND(I95*J95,0)</f>
        <v>0</v>
      </c>
      <c r="L95" s="34" t="s">
        <v>225</v>
      </c>
    </row>
    <row r="96" spans="1:12" x14ac:dyDescent="0.2">
      <c r="A96" s="69">
        <f t="shared" si="40"/>
        <v>83</v>
      </c>
      <c r="B96" s="10" t="str">
        <f>B70</f>
        <v>Add (Subtract): Tax Depreciation Lookback</v>
      </c>
      <c r="C96" s="10">
        <f>C44</f>
        <v>-4138781</v>
      </c>
      <c r="D96" s="10">
        <f>D44</f>
        <v>0</v>
      </c>
      <c r="E96" s="10">
        <f t="shared" si="43"/>
        <v>-4138781</v>
      </c>
      <c r="F96" s="10">
        <f>F44</f>
        <v>0</v>
      </c>
      <c r="G96" s="10">
        <f t="shared" si="44"/>
        <v>-4138781</v>
      </c>
      <c r="H96" s="10">
        <f>H44</f>
        <v>0</v>
      </c>
      <c r="I96" s="10">
        <f t="shared" si="45"/>
        <v>-4138781</v>
      </c>
      <c r="J96" s="50">
        <f>VLOOKUP(L96,$C$142:$D$155,2,FALSE)</f>
        <v>0.98499999999999999</v>
      </c>
      <c r="K96" s="10">
        <f>ROUND(I96*J96,0)</f>
        <v>-4076699</v>
      </c>
      <c r="L96" s="34" t="s">
        <v>149</v>
      </c>
    </row>
    <row r="97" spans="1:12" x14ac:dyDescent="0.2">
      <c r="A97" s="69">
        <f t="shared" si="40"/>
        <v>84</v>
      </c>
      <c r="B97" s="10" t="s">
        <v>191</v>
      </c>
      <c r="C97" s="10">
        <f>C$19</f>
        <v>0</v>
      </c>
      <c r="D97" s="10">
        <f>D$19</f>
        <v>0</v>
      </c>
      <c r="E97" s="10">
        <f t="shared" si="43"/>
        <v>0</v>
      </c>
      <c r="F97" s="10">
        <f>F$19</f>
        <v>0</v>
      </c>
      <c r="G97" s="10">
        <f t="shared" si="44"/>
        <v>0</v>
      </c>
      <c r="H97" s="10">
        <f>H$19</f>
        <v>0</v>
      </c>
      <c r="I97" s="10">
        <f t="shared" si="45"/>
        <v>0</v>
      </c>
      <c r="J97" s="50">
        <f>VLOOKUP(L97,$C$142:$D$155,2,FALSE)</f>
        <v>0.98499999999999999</v>
      </c>
      <c r="K97" s="10">
        <f>ROUND(I97*J97,0)</f>
        <v>0</v>
      </c>
      <c r="L97" s="34" t="s">
        <v>149</v>
      </c>
    </row>
    <row r="98" spans="1:12" x14ac:dyDescent="0.2">
      <c r="A98" s="69">
        <f t="shared" si="40"/>
        <v>85</v>
      </c>
      <c r="B98" s="10" t="s">
        <v>188</v>
      </c>
      <c r="C98" s="10">
        <v>0</v>
      </c>
      <c r="D98" s="10">
        <v>0</v>
      </c>
      <c r="E98" s="10">
        <f t="shared" si="43"/>
        <v>0</v>
      </c>
      <c r="F98" s="10">
        <v>0</v>
      </c>
      <c r="G98" s="10">
        <f t="shared" si="44"/>
        <v>0</v>
      </c>
      <c r="H98" s="10">
        <v>0</v>
      </c>
      <c r="I98" s="10">
        <f t="shared" si="45"/>
        <v>0</v>
      </c>
      <c r="J98" s="50">
        <f>VLOOKUP(L98,$C$142:$D$155,2,FALSE)</f>
        <v>0.98499999999999999</v>
      </c>
      <c r="K98" s="10">
        <f>ROUND(I98*J98,0)</f>
        <v>0</v>
      </c>
      <c r="L98" s="34" t="s">
        <v>225</v>
      </c>
    </row>
    <row r="99" spans="1:12" x14ac:dyDescent="0.2">
      <c r="A99" s="69">
        <f t="shared" si="40"/>
        <v>86</v>
      </c>
      <c r="B99" s="10" t="s">
        <v>188</v>
      </c>
      <c r="C99" s="11">
        <v>0</v>
      </c>
      <c r="D99" s="11">
        <v>0</v>
      </c>
      <c r="E99" s="11">
        <f t="shared" si="43"/>
        <v>0</v>
      </c>
      <c r="F99" s="11">
        <v>0</v>
      </c>
      <c r="G99" s="11">
        <f t="shared" si="44"/>
        <v>0</v>
      </c>
      <c r="H99" s="11">
        <v>0</v>
      </c>
      <c r="I99" s="11">
        <f t="shared" si="45"/>
        <v>0</v>
      </c>
      <c r="J99" s="50">
        <f>VLOOKUP(L99,$C$142:$D$155,2,FALSE)</f>
        <v>0.98499999999999999</v>
      </c>
      <c r="K99" s="11">
        <f>ROUND(I99*J99,0)</f>
        <v>0</v>
      </c>
      <c r="L99" s="34" t="s">
        <v>225</v>
      </c>
    </row>
    <row r="100" spans="1:12" x14ac:dyDescent="0.2">
      <c r="A100" s="69">
        <f t="shared" si="40"/>
        <v>87</v>
      </c>
      <c r="B100" s="10" t="s">
        <v>192</v>
      </c>
      <c r="C100" s="10">
        <f t="shared" ref="C100:I100" si="46">SUM(C92:C99)</f>
        <v>-12367657.090000004</v>
      </c>
      <c r="D100" s="10">
        <f t="shared" si="46"/>
        <v>-4364949.17</v>
      </c>
      <c r="E100" s="10">
        <f t="shared" si="46"/>
        <v>-8002707.9200000018</v>
      </c>
      <c r="F100" s="10">
        <f t="shared" si="46"/>
        <v>0</v>
      </c>
      <c r="G100" s="10">
        <f t="shared" si="46"/>
        <v>-8002707.9200000018</v>
      </c>
      <c r="H100" s="10">
        <f t="shared" si="46"/>
        <v>0</v>
      </c>
      <c r="I100" s="10">
        <f t="shared" si="46"/>
        <v>-8002707.9200000018</v>
      </c>
      <c r="J100" s="35"/>
      <c r="K100" s="10">
        <f>SUM(K92:K99)</f>
        <v>-14439204</v>
      </c>
    </row>
    <row r="101" spans="1:12" x14ac:dyDescent="0.2">
      <c r="A101" s="69">
        <f t="shared" si="40"/>
        <v>88</v>
      </c>
      <c r="B101" s="10" t="s">
        <v>193</v>
      </c>
      <c r="C101" s="12">
        <v>0.21041799999999999</v>
      </c>
      <c r="D101" s="12">
        <f t="shared" ref="D101" si="47">$C101</f>
        <v>0.21041799999999999</v>
      </c>
      <c r="E101" s="12">
        <v>0.21041399999999999</v>
      </c>
      <c r="F101" s="12">
        <f>$E101</f>
        <v>0.21041399999999999</v>
      </c>
      <c r="G101" s="12">
        <f>$E101</f>
        <v>0.21041399999999999</v>
      </c>
      <c r="H101" s="12">
        <f>$E101</f>
        <v>0.21041399999999999</v>
      </c>
      <c r="I101" s="12">
        <f>$E101</f>
        <v>0.21041399999999999</v>
      </c>
      <c r="J101" s="31"/>
      <c r="K101" s="12">
        <f>$E101</f>
        <v>0.21041399999999999</v>
      </c>
    </row>
    <row r="102" spans="1:12" x14ac:dyDescent="0.2">
      <c r="A102" s="69">
        <f t="shared" si="40"/>
        <v>89</v>
      </c>
      <c r="B102" s="10" t="s">
        <v>194</v>
      </c>
      <c r="C102" s="10">
        <f t="shared" ref="C102:I102" si="48">ROUND(C100*C101,0)</f>
        <v>-2602378</v>
      </c>
      <c r="D102" s="10">
        <f>C102-E102</f>
        <v>-918496</v>
      </c>
      <c r="E102" s="10">
        <f t="shared" si="48"/>
        <v>-1683882</v>
      </c>
      <c r="F102" s="10">
        <f t="shared" si="48"/>
        <v>0</v>
      </c>
      <c r="G102" s="10">
        <f t="shared" si="48"/>
        <v>-1683882</v>
      </c>
      <c r="H102" s="10">
        <f t="shared" si="48"/>
        <v>0</v>
      </c>
      <c r="I102" s="10">
        <f t="shared" si="48"/>
        <v>-1683882</v>
      </c>
      <c r="J102" s="33"/>
      <c r="K102" s="10">
        <f>ROUND(K100*K101,0)</f>
        <v>-3038211</v>
      </c>
    </row>
    <row r="103" spans="1:12" x14ac:dyDescent="0.2">
      <c r="A103" s="69">
        <f t="shared" si="40"/>
        <v>90</v>
      </c>
      <c r="B103" s="10" t="s">
        <v>283</v>
      </c>
      <c r="C103" s="11">
        <v>6964799</v>
      </c>
      <c r="D103" s="11">
        <v>0</v>
      </c>
      <c r="E103" s="11">
        <f t="shared" ref="E103" si="49">C103-D103</f>
        <v>6964799</v>
      </c>
      <c r="F103" s="11">
        <v>0</v>
      </c>
      <c r="G103" s="11">
        <f>E103+F103</f>
        <v>6964799</v>
      </c>
      <c r="H103" s="11">
        <v>0</v>
      </c>
      <c r="I103" s="11">
        <f t="shared" ref="I103" si="50">G103+H103</f>
        <v>6964799</v>
      </c>
      <c r="J103" s="50">
        <f>VLOOKUP(L103,$C$142:$D$155,2,FALSE)</f>
        <v>0.98499999999999999</v>
      </c>
      <c r="K103" s="11">
        <f>ROUND(I103*J103,0)</f>
        <v>6860327</v>
      </c>
      <c r="L103" s="34" t="s">
        <v>225</v>
      </c>
    </row>
    <row r="104" spans="1:12" x14ac:dyDescent="0.2">
      <c r="A104" s="69">
        <f t="shared" si="40"/>
        <v>91</v>
      </c>
      <c r="B104" s="10" t="s">
        <v>284</v>
      </c>
      <c r="C104" s="10">
        <f>C102+C103</f>
        <v>4362421</v>
      </c>
      <c r="D104" s="10">
        <f t="shared" ref="D104" si="51">D102+D103</f>
        <v>-918496</v>
      </c>
      <c r="E104" s="10">
        <f t="shared" ref="E104" si="52">E102+E103</f>
        <v>5280917</v>
      </c>
      <c r="F104" s="10">
        <f t="shared" ref="F104" si="53">F102+F103</f>
        <v>0</v>
      </c>
      <c r="G104" s="10">
        <f t="shared" ref="G104" si="54">G102+G103</f>
        <v>5280917</v>
      </c>
      <c r="H104" s="10">
        <f t="shared" ref="H104" si="55">H102+H103</f>
        <v>0</v>
      </c>
      <c r="I104" s="10">
        <f t="shared" ref="I104:K104" si="56">I102+I103</f>
        <v>5280917</v>
      </c>
      <c r="J104" s="33"/>
      <c r="K104" s="10">
        <f t="shared" si="56"/>
        <v>3822116</v>
      </c>
    </row>
    <row r="105" spans="1:12" x14ac:dyDescent="0.2">
      <c r="A105" s="69">
        <f t="shared" si="40"/>
        <v>92</v>
      </c>
      <c r="B105" s="10" t="s">
        <v>195</v>
      </c>
      <c r="C105" s="113">
        <v>6.5000000000000002E-2</v>
      </c>
      <c r="D105" s="13">
        <f>$C105</f>
        <v>6.5000000000000002E-2</v>
      </c>
      <c r="E105" s="13">
        <f>$C105</f>
        <v>6.5000000000000002E-2</v>
      </c>
      <c r="F105" s="13">
        <f>$C105</f>
        <v>6.5000000000000002E-2</v>
      </c>
      <c r="G105" s="13">
        <f>$C105</f>
        <v>6.5000000000000002E-2</v>
      </c>
      <c r="H105" s="13"/>
      <c r="I105" s="13">
        <f>$C105</f>
        <v>6.5000000000000002E-2</v>
      </c>
      <c r="J105" s="32"/>
      <c r="K105" s="13">
        <f>$I105</f>
        <v>6.5000000000000002E-2</v>
      </c>
    </row>
    <row r="106" spans="1:12" x14ac:dyDescent="0.2">
      <c r="A106" s="69">
        <f t="shared" si="40"/>
        <v>93</v>
      </c>
      <c r="B106" s="10" t="s">
        <v>196</v>
      </c>
      <c r="C106" s="10">
        <f>ROUND(C104*C105,0)</f>
        <v>283557</v>
      </c>
      <c r="D106" s="10">
        <f>ROUND(D104*D105,0)</f>
        <v>-59702</v>
      </c>
      <c r="E106" s="10">
        <f>ROUND(E104*E105,0)</f>
        <v>343260</v>
      </c>
      <c r="F106" s="10">
        <f>ROUND(F104*F105,0)</f>
        <v>0</v>
      </c>
      <c r="G106" s="10">
        <f>ROUND(G104*G105,0)</f>
        <v>343260</v>
      </c>
      <c r="H106" s="10">
        <f>I106-G106</f>
        <v>0</v>
      </c>
      <c r="I106" s="10">
        <f>ROUND(I104*I105,0)</f>
        <v>343260</v>
      </c>
      <c r="J106" s="33"/>
      <c r="K106" s="10">
        <f>ROUND(K104*K105,0)</f>
        <v>248438</v>
      </c>
    </row>
    <row r="107" spans="1:12" x14ac:dyDescent="0.2">
      <c r="A107" s="69">
        <f t="shared" si="40"/>
        <v>94</v>
      </c>
      <c r="B107" s="10" t="s">
        <v>314</v>
      </c>
      <c r="C107" s="10">
        <f>ROUND(C103*C105*-1,0)</f>
        <v>-452712</v>
      </c>
      <c r="D107" s="10">
        <f>ROUND(D103*D105*-1,0)</f>
        <v>0</v>
      </c>
      <c r="E107" s="10">
        <f>C107-D107</f>
        <v>-452712</v>
      </c>
      <c r="F107" s="10">
        <f>ROUND(F103*F105*-1,0)</f>
        <v>0</v>
      </c>
      <c r="G107" s="10">
        <f t="shared" ref="G107:G110" si="57">E107+F107</f>
        <v>-452712</v>
      </c>
      <c r="H107" s="10">
        <v>0</v>
      </c>
      <c r="I107" s="10">
        <f>G107+H107</f>
        <v>-452712</v>
      </c>
      <c r="J107" s="50">
        <f>VLOOKUP(L107,$C$142:$D$155,2,FALSE)</f>
        <v>0.98499999999999999</v>
      </c>
      <c r="K107" s="10">
        <f>ROUND(I107*J107,0)</f>
        <v>-445921</v>
      </c>
      <c r="L107" s="34" t="s">
        <v>225</v>
      </c>
    </row>
    <row r="108" spans="1:12" x14ac:dyDescent="0.2">
      <c r="A108" s="69">
        <f t="shared" si="40"/>
        <v>95</v>
      </c>
      <c r="B108" s="10" t="s">
        <v>272</v>
      </c>
      <c r="C108" s="10">
        <v>232103</v>
      </c>
      <c r="D108" s="10">
        <f>71768.36-713</f>
        <v>71055.360000000001</v>
      </c>
      <c r="E108" s="10">
        <f>C108-D108</f>
        <v>161047.64000000001</v>
      </c>
      <c r="F108" s="10">
        <v>0</v>
      </c>
      <c r="G108" s="10">
        <f t="shared" si="57"/>
        <v>161047.64000000001</v>
      </c>
      <c r="H108" s="10">
        <v>0</v>
      </c>
      <c r="I108" s="10">
        <f>G108+H108</f>
        <v>161047.64000000001</v>
      </c>
      <c r="J108" s="50">
        <f>VLOOKUP(L108,$C$142:$D$155,2,FALSE)</f>
        <v>0</v>
      </c>
      <c r="K108" s="10">
        <f>ROUND(I108*J108,0)</f>
        <v>0</v>
      </c>
      <c r="L108" s="69" t="s">
        <v>152</v>
      </c>
    </row>
    <row r="109" spans="1:12" x14ac:dyDescent="0.2">
      <c r="A109" s="69">
        <f t="shared" si="40"/>
        <v>96</v>
      </c>
      <c r="B109" s="10" t="s">
        <v>197</v>
      </c>
      <c r="C109" s="10">
        <v>0</v>
      </c>
      <c r="D109" s="10">
        <v>0</v>
      </c>
      <c r="E109" s="10">
        <f>C109-D109</f>
        <v>0</v>
      </c>
      <c r="F109" s="10">
        <v>0</v>
      </c>
      <c r="G109" s="10">
        <f t="shared" si="57"/>
        <v>0</v>
      </c>
      <c r="H109" s="10">
        <v>0</v>
      </c>
      <c r="I109" s="10">
        <f>G109+H109</f>
        <v>0</v>
      </c>
      <c r="J109" s="50">
        <f>VLOOKUP(L109,$C$142:$D$155,2,FALSE)</f>
        <v>0</v>
      </c>
      <c r="K109" s="10">
        <f>ROUND(I109*J109,0)</f>
        <v>0</v>
      </c>
      <c r="L109" s="69" t="s">
        <v>152</v>
      </c>
    </row>
    <row r="110" spans="1:12" x14ac:dyDescent="0.2">
      <c r="A110" s="69">
        <f t="shared" si="40"/>
        <v>97</v>
      </c>
      <c r="B110" s="10" t="s">
        <v>197</v>
      </c>
      <c r="C110" s="10">
        <v>0</v>
      </c>
      <c r="D110" s="10">
        <f>C110</f>
        <v>0</v>
      </c>
      <c r="E110" s="11">
        <f>C110-D110</f>
        <v>0</v>
      </c>
      <c r="F110" s="11">
        <v>0</v>
      </c>
      <c r="G110" s="10">
        <f t="shared" si="57"/>
        <v>0</v>
      </c>
      <c r="H110" s="11">
        <v>0</v>
      </c>
      <c r="I110" s="10">
        <f>G110+H110</f>
        <v>0</v>
      </c>
      <c r="J110" s="50">
        <f>VLOOKUP(L110,$C$142:$D$155,2,FALSE)</f>
        <v>0</v>
      </c>
      <c r="K110" s="11">
        <f>ROUND(I110*J110,0)</f>
        <v>0</v>
      </c>
      <c r="L110" s="69" t="s">
        <v>152</v>
      </c>
    </row>
    <row r="111" spans="1:12" ht="13.5" thickBot="1" x14ac:dyDescent="0.25">
      <c r="A111" s="69">
        <f t="shared" si="40"/>
        <v>98</v>
      </c>
      <c r="B111" s="10" t="s">
        <v>206</v>
      </c>
      <c r="C111" s="15">
        <f t="shared" ref="C111:I111" si="58">SUM(C106:C110)</f>
        <v>62948</v>
      </c>
      <c r="D111" s="15">
        <f t="shared" si="58"/>
        <v>11353.36</v>
      </c>
      <c r="E111" s="15">
        <f t="shared" si="58"/>
        <v>51595.640000000014</v>
      </c>
      <c r="F111" s="15">
        <f t="shared" si="58"/>
        <v>0</v>
      </c>
      <c r="G111" s="15">
        <f t="shared" si="58"/>
        <v>51595.640000000014</v>
      </c>
      <c r="H111" s="15">
        <f t="shared" si="58"/>
        <v>0</v>
      </c>
      <c r="I111" s="15">
        <f t="shared" si="58"/>
        <v>51595.640000000014</v>
      </c>
      <c r="J111" s="33"/>
      <c r="K111" s="15">
        <f>SUM(K106:K110)</f>
        <v>-197483</v>
      </c>
    </row>
    <row r="112" spans="1:12" ht="13.5" thickTop="1" x14ac:dyDescent="0.2">
      <c r="A112" s="69">
        <f t="shared" si="40"/>
        <v>99</v>
      </c>
      <c r="B112" s="10"/>
      <c r="C112" s="10"/>
      <c r="D112" s="10"/>
      <c r="E112" s="10"/>
      <c r="F112" s="10"/>
      <c r="G112" s="10"/>
      <c r="H112" s="10"/>
      <c r="I112" s="10"/>
      <c r="J112" s="69"/>
      <c r="K112" s="10"/>
    </row>
    <row r="113" spans="1:12" x14ac:dyDescent="0.2">
      <c r="A113" s="69">
        <f t="shared" si="40"/>
        <v>100</v>
      </c>
      <c r="B113" s="10"/>
      <c r="C113" s="10"/>
      <c r="D113" s="10">
        <f>11353.53-D111</f>
        <v>0.17000000000007276</v>
      </c>
      <c r="E113" s="10"/>
      <c r="F113" s="10"/>
      <c r="G113" s="10"/>
      <c r="H113" s="10"/>
      <c r="I113" s="10"/>
      <c r="J113" s="69"/>
      <c r="K113" s="10"/>
    </row>
    <row r="114" spans="1:12" x14ac:dyDescent="0.2">
      <c r="A114" s="69">
        <f t="shared" si="40"/>
        <v>101</v>
      </c>
      <c r="B114" s="10"/>
      <c r="C114" s="10"/>
      <c r="D114" s="10"/>
      <c r="E114" s="10"/>
      <c r="F114" s="10"/>
      <c r="G114" s="10"/>
      <c r="H114" s="10"/>
      <c r="I114" s="10"/>
      <c r="J114" s="69"/>
      <c r="K114" s="10"/>
    </row>
    <row r="115" spans="1:12" ht="13.5" thickBot="1" x14ac:dyDescent="0.25">
      <c r="A115" s="69">
        <f t="shared" si="40"/>
        <v>102</v>
      </c>
      <c r="B115" s="10"/>
      <c r="C115" s="10"/>
      <c r="D115" s="10"/>
      <c r="E115" s="10"/>
      <c r="F115" s="10"/>
      <c r="G115" s="10"/>
      <c r="H115" s="10"/>
      <c r="I115" s="10"/>
      <c r="J115" s="69"/>
      <c r="K115" s="10"/>
    </row>
    <row r="116" spans="1:12" ht="13.5" thickBot="1" x14ac:dyDescent="0.25">
      <c r="A116" s="69">
        <f t="shared" si="40"/>
        <v>103</v>
      </c>
      <c r="B116" s="110" t="s">
        <v>207</v>
      </c>
      <c r="C116" s="10"/>
      <c r="J116" s="69"/>
    </row>
    <row r="117" spans="1:12" x14ac:dyDescent="0.2">
      <c r="A117" s="69">
        <f t="shared" si="40"/>
        <v>104</v>
      </c>
      <c r="B117" s="111"/>
      <c r="C117" s="10"/>
      <c r="J117" s="69"/>
    </row>
    <row r="118" spans="1:12" x14ac:dyDescent="0.2">
      <c r="A118" s="69">
        <f t="shared" si="40"/>
        <v>105</v>
      </c>
      <c r="B118" s="10"/>
      <c r="C118" s="10"/>
      <c r="J118" s="69"/>
    </row>
    <row r="119" spans="1:12" x14ac:dyDescent="0.2">
      <c r="A119" s="69">
        <f t="shared" si="40"/>
        <v>106</v>
      </c>
      <c r="B119" s="10"/>
      <c r="C119" s="10"/>
      <c r="J119" s="69"/>
    </row>
    <row r="120" spans="1:12" x14ac:dyDescent="0.2">
      <c r="A120" s="69">
        <f t="shared" si="40"/>
        <v>107</v>
      </c>
      <c r="B120" s="10" t="s">
        <v>270</v>
      </c>
      <c r="C120" s="53">
        <v>49346</v>
      </c>
      <c r="D120" s="53">
        <v>0</v>
      </c>
      <c r="E120" s="53">
        <f>C120-D120</f>
        <v>49346</v>
      </c>
      <c r="F120" s="53">
        <v>0</v>
      </c>
      <c r="G120" s="10">
        <f>E120+F120</f>
        <v>49346</v>
      </c>
      <c r="H120" s="53">
        <v>0</v>
      </c>
      <c r="I120" s="53">
        <f>G120+H120</f>
        <v>49346</v>
      </c>
      <c r="J120" s="43">
        <f>VLOOKUP(L120,$C$142:$D$155,2,FALSE)</f>
        <v>0</v>
      </c>
      <c r="K120" s="53">
        <f>ROUND(I120*J120,0)</f>
        <v>0</v>
      </c>
      <c r="L120" s="69" t="s">
        <v>152</v>
      </c>
    </row>
    <row r="121" spans="1:12" x14ac:dyDescent="0.2">
      <c r="A121" s="69">
        <f t="shared" si="40"/>
        <v>108</v>
      </c>
      <c r="B121" s="10" t="s">
        <v>400</v>
      </c>
      <c r="C121" s="53">
        <f>-1200909-C107</f>
        <v>-748197</v>
      </c>
      <c r="D121" s="53">
        <f>C121</f>
        <v>-748197</v>
      </c>
      <c r="E121" s="53">
        <f>C121-D121</f>
        <v>0</v>
      </c>
      <c r="F121" s="53">
        <v>0</v>
      </c>
      <c r="G121" s="10">
        <f>E121+F121</f>
        <v>0</v>
      </c>
      <c r="H121" s="53">
        <v>0</v>
      </c>
      <c r="I121" s="53">
        <f>G121+H121</f>
        <v>0</v>
      </c>
      <c r="J121" s="43">
        <f>VLOOKUP(L121,$C$142:$D$155,2,FALSE)</f>
        <v>0.98499999999999999</v>
      </c>
      <c r="K121" s="53">
        <f>ROUND(I121*J121,0)</f>
        <v>0</v>
      </c>
      <c r="L121" s="34" t="s">
        <v>225</v>
      </c>
    </row>
    <row r="122" spans="1:12" x14ac:dyDescent="0.2">
      <c r="A122" s="69">
        <f t="shared" si="40"/>
        <v>109</v>
      </c>
      <c r="B122" s="10" t="s">
        <v>207</v>
      </c>
      <c r="C122" s="53">
        <v>0</v>
      </c>
      <c r="D122" s="53">
        <v>0</v>
      </c>
      <c r="E122" s="53">
        <f>C122-D122</f>
        <v>0</v>
      </c>
      <c r="F122" s="53">
        <v>0</v>
      </c>
      <c r="G122" s="10">
        <f>E122+F122</f>
        <v>0</v>
      </c>
      <c r="H122" s="53">
        <v>0</v>
      </c>
      <c r="I122" s="53">
        <f>G122+H122</f>
        <v>0</v>
      </c>
      <c r="J122" s="43">
        <f>VLOOKUP(L122,$C$142:$D$155,2,FALSE)</f>
        <v>0.98499999999999999</v>
      </c>
      <c r="K122" s="53">
        <f>ROUND(I122*J122,0)</f>
        <v>0</v>
      </c>
      <c r="L122" s="34" t="s">
        <v>225</v>
      </c>
    </row>
    <row r="123" spans="1:12" ht="13.5" thickBot="1" x14ac:dyDescent="0.25">
      <c r="A123" s="69">
        <f t="shared" si="40"/>
        <v>110</v>
      </c>
      <c r="B123" s="10" t="s">
        <v>271</v>
      </c>
      <c r="C123" s="15">
        <f t="shared" ref="C123:I123" si="59">SUM(C120:C122)</f>
        <v>-698851</v>
      </c>
      <c r="D123" s="15">
        <f t="shared" si="59"/>
        <v>-748197</v>
      </c>
      <c r="E123" s="15">
        <f t="shared" si="59"/>
        <v>49346</v>
      </c>
      <c r="F123" s="15">
        <f t="shared" si="59"/>
        <v>0</v>
      </c>
      <c r="G123" s="15">
        <f t="shared" si="59"/>
        <v>49346</v>
      </c>
      <c r="H123" s="15">
        <f t="shared" si="59"/>
        <v>0</v>
      </c>
      <c r="I123" s="15">
        <f t="shared" si="59"/>
        <v>49346</v>
      </c>
      <c r="J123" s="50"/>
      <c r="K123" s="15">
        <f>SUM(K120:K122)</f>
        <v>0</v>
      </c>
      <c r="L123" s="34"/>
    </row>
    <row r="124" spans="1:12" ht="13.5" thickTop="1" x14ac:dyDescent="0.2">
      <c r="A124" s="69">
        <f t="shared" si="40"/>
        <v>111</v>
      </c>
      <c r="B124" s="10"/>
      <c r="C124" s="10"/>
      <c r="J124" s="69"/>
    </row>
    <row r="125" spans="1:12" x14ac:dyDescent="0.2">
      <c r="A125" s="69">
        <f t="shared" si="40"/>
        <v>112</v>
      </c>
      <c r="B125" s="10"/>
      <c r="C125" s="10"/>
      <c r="J125" s="69"/>
    </row>
    <row r="126" spans="1:12" x14ac:dyDescent="0.2">
      <c r="A126" s="69">
        <f t="shared" si="40"/>
        <v>113</v>
      </c>
      <c r="B126" s="10"/>
      <c r="C126" s="10"/>
      <c r="J126" s="69"/>
    </row>
    <row r="127" spans="1:12" x14ac:dyDescent="0.2">
      <c r="A127" s="69">
        <f t="shared" si="40"/>
        <v>114</v>
      </c>
      <c r="J127" s="69"/>
    </row>
    <row r="128" spans="1:12" x14ac:dyDescent="0.2">
      <c r="A128" s="69">
        <f t="shared" si="40"/>
        <v>115</v>
      </c>
      <c r="J128" s="114"/>
    </row>
    <row r="129" spans="1:13" ht="13.5" thickBot="1" x14ac:dyDescent="0.25">
      <c r="A129" s="69">
        <f t="shared" si="40"/>
        <v>116</v>
      </c>
      <c r="B129" s="70" t="s">
        <v>208</v>
      </c>
      <c r="C129" s="16">
        <f>C33+C59+C86+C111+C123</f>
        <v>539042.84999999963</v>
      </c>
      <c r="D129" s="16">
        <f>D33+D59+D86+D111+D123</f>
        <v>-695944.35</v>
      </c>
      <c r="E129" s="16">
        <f>E33+E59+E86+E111+E123</f>
        <v>1234988.1999999997</v>
      </c>
      <c r="F129" s="16">
        <f t="shared" ref="F129:I129" si="60">F33+F59+F86+F111+F123</f>
        <v>0</v>
      </c>
      <c r="G129" s="16">
        <f t="shared" si="60"/>
        <v>1234988.1999999997</v>
      </c>
      <c r="H129" s="16">
        <f t="shared" si="60"/>
        <v>0</v>
      </c>
      <c r="I129" s="16">
        <f t="shared" si="60"/>
        <v>1234988.1999999997</v>
      </c>
      <c r="J129" s="33"/>
      <c r="K129" s="16">
        <f>K33+K59+K86+K111+K123</f>
        <v>-1441845</v>
      </c>
    </row>
    <row r="130" spans="1:13" ht="15" thickTop="1" x14ac:dyDescent="0.2">
      <c r="A130" s="69">
        <f t="shared" si="40"/>
        <v>117</v>
      </c>
      <c r="C130" s="130"/>
      <c r="D130" s="130"/>
      <c r="E130" s="128"/>
      <c r="G130" s="115"/>
      <c r="J130" s="71"/>
    </row>
    <row r="131" spans="1:13" ht="14.25" x14ac:dyDescent="0.2">
      <c r="A131" s="69">
        <f t="shared" si="40"/>
        <v>118</v>
      </c>
      <c r="B131" s="127"/>
      <c r="D131" s="130"/>
      <c r="G131" s="115"/>
      <c r="J131" s="71"/>
    </row>
    <row r="132" spans="1:13" ht="13.5" thickBot="1" x14ac:dyDescent="0.25">
      <c r="A132" s="69">
        <f t="shared" si="40"/>
        <v>119</v>
      </c>
      <c r="B132" s="70" t="s">
        <v>356</v>
      </c>
      <c r="C132" s="16">
        <f t="shared" ref="C132:I132" si="61">C129-C135</f>
        <v>1739951.4699999997</v>
      </c>
      <c r="D132" s="16">
        <f t="shared" si="61"/>
        <v>-695944.35</v>
      </c>
      <c r="E132" s="16">
        <f t="shared" si="61"/>
        <v>1687700.1999999997</v>
      </c>
      <c r="F132" s="16">
        <f t="shared" si="61"/>
        <v>0</v>
      </c>
      <c r="G132" s="16">
        <f t="shared" si="61"/>
        <v>1687700.1999999997</v>
      </c>
      <c r="H132" s="16">
        <f t="shared" si="61"/>
        <v>0</v>
      </c>
      <c r="I132" s="16">
        <f t="shared" si="61"/>
        <v>1687700.1999999997</v>
      </c>
      <c r="J132" s="71"/>
      <c r="K132" s="16">
        <f>K129-K135</f>
        <v>-995924</v>
      </c>
    </row>
    <row r="133" spans="1:13" ht="13.5" thickTop="1" x14ac:dyDescent="0.2">
      <c r="A133" s="69">
        <f t="shared" si="40"/>
        <v>120</v>
      </c>
      <c r="C133" s="129"/>
      <c r="D133" s="129"/>
      <c r="E133" s="129"/>
      <c r="J133" s="71"/>
    </row>
    <row r="134" spans="1:13" x14ac:dyDescent="0.2">
      <c r="A134" s="69">
        <f t="shared" si="40"/>
        <v>121</v>
      </c>
      <c r="D134" s="130"/>
      <c r="J134" s="71"/>
    </row>
    <row r="135" spans="1:13" ht="13.5" thickBot="1" x14ac:dyDescent="0.25">
      <c r="A135" s="69">
        <f t="shared" si="40"/>
        <v>122</v>
      </c>
      <c r="B135" s="70" t="s">
        <v>357</v>
      </c>
      <c r="C135" s="16">
        <v>-1200908.6200000001</v>
      </c>
      <c r="D135" s="16">
        <v>0</v>
      </c>
      <c r="E135" s="16">
        <f>E107+E121</f>
        <v>-452712</v>
      </c>
      <c r="F135" s="16">
        <f>F107+F121</f>
        <v>0</v>
      </c>
      <c r="G135" s="16">
        <f>G107+G121</f>
        <v>-452712</v>
      </c>
      <c r="H135" s="16">
        <f>H107+H121</f>
        <v>0</v>
      </c>
      <c r="I135" s="16">
        <f>I107+I121</f>
        <v>-452712</v>
      </c>
      <c r="J135" s="71"/>
      <c r="K135" s="16">
        <f>K107+K121</f>
        <v>-445921</v>
      </c>
    </row>
    <row r="136" spans="1:13" ht="15" thickTop="1" x14ac:dyDescent="0.2">
      <c r="C136" s="129"/>
      <c r="D136" s="129"/>
      <c r="E136" s="129"/>
      <c r="G136" s="115"/>
      <c r="J136" s="71"/>
    </row>
    <row r="137" spans="1:13" ht="14.25" x14ac:dyDescent="0.2">
      <c r="C137" s="10"/>
      <c r="G137" s="115"/>
      <c r="J137" s="53"/>
    </row>
    <row r="138" spans="1:13" x14ac:dyDescent="0.2">
      <c r="E138" s="71"/>
      <c r="F138" s="71"/>
      <c r="G138" s="71"/>
      <c r="M138" s="127"/>
    </row>
    <row r="139" spans="1:13" x14ac:dyDescent="0.2">
      <c r="E139" s="134"/>
      <c r="F139" s="71"/>
      <c r="G139" s="71"/>
      <c r="J139" s="10"/>
    </row>
    <row r="140" spans="1:13" x14ac:dyDescent="0.2">
      <c r="E140" s="134"/>
      <c r="F140" s="150"/>
      <c r="G140" s="53"/>
      <c r="H140" s="10"/>
      <c r="I140" s="10"/>
      <c r="K140" s="10"/>
    </row>
    <row r="141" spans="1:13" x14ac:dyDescent="0.2">
      <c r="C141" s="116" t="s">
        <v>226</v>
      </c>
      <c r="D141" s="117"/>
      <c r="E141" s="135"/>
      <c r="F141" s="53"/>
      <c r="G141" s="53"/>
      <c r="H141" s="10"/>
      <c r="I141" s="10"/>
      <c r="K141" s="10"/>
    </row>
    <row r="142" spans="1:13" x14ac:dyDescent="0.2">
      <c r="A142" s="118"/>
      <c r="C142" s="48" t="str">
        <f>'CFIT Schedules'!C308</f>
        <v>GROSS PLT</v>
      </c>
      <c r="D142" s="45">
        <f>'CFIT Schedules'!D308</f>
        <v>0.98499999999999999</v>
      </c>
      <c r="E142" s="71"/>
      <c r="F142" s="53"/>
      <c r="G142" s="53"/>
      <c r="H142" s="10"/>
      <c r="I142" s="10"/>
      <c r="K142" s="10"/>
    </row>
    <row r="143" spans="1:13" x14ac:dyDescent="0.2">
      <c r="C143" s="48" t="str">
        <f>'CFIT Schedules'!C309</f>
        <v>NET PLANT</v>
      </c>
      <c r="D143" s="45">
        <f>'CFIT Schedules'!D309</f>
        <v>0.98499999999999999</v>
      </c>
      <c r="E143" s="71"/>
      <c r="F143" s="53"/>
      <c r="G143" s="53"/>
      <c r="H143" s="10"/>
      <c r="I143" s="10"/>
      <c r="K143" s="10"/>
    </row>
    <row r="144" spans="1:13" x14ac:dyDescent="0.2">
      <c r="C144" s="48" t="str">
        <f>'CFIT Schedules'!C310</f>
        <v>PROD PLT</v>
      </c>
      <c r="D144" s="45">
        <f>'CFIT Schedules'!D310</f>
        <v>0.98499999999999999</v>
      </c>
      <c r="E144" s="134"/>
      <c r="F144" s="150"/>
      <c r="G144" s="53"/>
      <c r="H144" s="10"/>
      <c r="I144" s="10"/>
      <c r="K144" s="10"/>
    </row>
    <row r="145" spans="2:11" x14ac:dyDescent="0.2">
      <c r="C145" s="48" t="str">
        <f>'CFIT Schedules'!C311</f>
        <v>TRAN PLT</v>
      </c>
      <c r="D145" s="45">
        <f>'CFIT Schedules'!D311</f>
        <v>0.98499999999999999</v>
      </c>
      <c r="E145" s="134"/>
      <c r="F145" s="150"/>
      <c r="G145" s="53"/>
      <c r="H145" s="10"/>
      <c r="I145" s="10"/>
      <c r="K145" s="10"/>
    </row>
    <row r="146" spans="2:11" x14ac:dyDescent="0.2">
      <c r="C146" s="48" t="str">
        <f>'CFIT Schedules'!C312</f>
        <v>DIST PLT</v>
      </c>
      <c r="D146" s="45">
        <f>'CFIT Schedules'!D312</f>
        <v>0.999</v>
      </c>
      <c r="E146" s="134"/>
      <c r="F146" s="150"/>
      <c r="G146" s="53"/>
      <c r="H146" s="10"/>
      <c r="I146" s="10"/>
      <c r="K146" s="10"/>
    </row>
    <row r="147" spans="2:11" x14ac:dyDescent="0.2">
      <c r="C147" s="48" t="str">
        <f>'CFIT Schedules'!C313</f>
        <v>T&amp;D PLT</v>
      </c>
      <c r="D147" s="45">
        <f>'CFIT Schedules'!D313</f>
        <v>0.99299999999999999</v>
      </c>
      <c r="E147" s="134"/>
      <c r="F147" s="150"/>
      <c r="G147" s="53"/>
      <c r="H147" s="10"/>
      <c r="I147" s="10"/>
      <c r="K147" s="10"/>
    </row>
    <row r="148" spans="2:11" x14ac:dyDescent="0.2">
      <c r="C148" s="48" t="str">
        <f>'CFIT Schedules'!C314</f>
        <v>ENERGY</v>
      </c>
      <c r="D148" s="45">
        <f>'CFIT Schedules'!D314</f>
        <v>0.98599999999999999</v>
      </c>
      <c r="E148" s="135"/>
      <c r="F148" s="53"/>
      <c r="G148" s="53"/>
      <c r="H148" s="10"/>
      <c r="I148" s="10"/>
      <c r="K148" s="10"/>
    </row>
    <row r="149" spans="2:11" x14ac:dyDescent="0.2">
      <c r="C149" s="48" t="str">
        <f>'CFIT Schedules'!C315</f>
        <v>LABOR</v>
      </c>
      <c r="D149" s="45">
        <f>'CFIT Schedules'!D315</f>
        <v>0.99</v>
      </c>
      <c r="E149" s="71"/>
      <c r="F149" s="53"/>
      <c r="G149" s="53"/>
      <c r="H149" s="10"/>
      <c r="I149" s="10"/>
      <c r="K149" s="10"/>
    </row>
    <row r="150" spans="2:11" x14ac:dyDescent="0.2">
      <c r="C150" s="48" t="str">
        <f>'CFIT Schedules'!C316</f>
        <v>O&amp;M EXP</v>
      </c>
      <c r="D150" s="45">
        <f>'CFIT Schedules'!D316</f>
        <v>0.97899999999999998</v>
      </c>
    </row>
    <row r="151" spans="2:11" x14ac:dyDescent="0.2">
      <c r="C151" s="48" t="str">
        <f>'CFIT Schedules'!C317</f>
        <v>REVENUE</v>
      </c>
      <c r="D151" s="45">
        <f>'CFIT Schedules'!D317</f>
        <v>0.99299999999999999</v>
      </c>
    </row>
    <row r="152" spans="2:11" x14ac:dyDescent="0.2">
      <c r="C152" s="48" t="str">
        <f>'CFIT Schedules'!C318</f>
        <v>REVENUE-OTH</v>
      </c>
      <c r="D152" s="45">
        <f>'CFIT Schedules'!D318</f>
        <v>0</v>
      </c>
    </row>
    <row r="153" spans="2:11" x14ac:dyDescent="0.2">
      <c r="C153" s="48" t="str">
        <f>'CFIT Schedules'!C320</f>
        <v>SPECIFIC</v>
      </c>
      <c r="D153" s="45">
        <f>'CFIT Schedules'!D320</f>
        <v>1</v>
      </c>
    </row>
    <row r="154" spans="2:11" x14ac:dyDescent="0.2">
      <c r="C154" s="48" t="str">
        <f>'CFIT Schedules'!C321</f>
        <v>NON-APPLIC</v>
      </c>
      <c r="D154" s="45">
        <f>'CFIT Schedules'!D321</f>
        <v>0</v>
      </c>
    </row>
    <row r="155" spans="2:11" x14ac:dyDescent="0.2">
      <c r="C155" s="48" t="str">
        <f>'CFIT Schedules'!C322</f>
        <v>NON-UTILITY</v>
      </c>
      <c r="D155" s="45">
        <f>'CFIT Schedules'!D322</f>
        <v>0</v>
      </c>
    </row>
    <row r="156" spans="2:11" x14ac:dyDescent="0.2">
      <c r="C156" s="48"/>
      <c r="D156" s="45"/>
    </row>
    <row r="157" spans="2:11" x14ac:dyDescent="0.2">
      <c r="C157" s="48"/>
      <c r="D157" s="45"/>
    </row>
    <row r="158" spans="2:11" x14ac:dyDescent="0.2">
      <c r="C158" s="48"/>
      <c r="D158" s="45"/>
    </row>
    <row r="159" spans="2:11" x14ac:dyDescent="0.2">
      <c r="C159" s="95"/>
      <c r="D159" s="39"/>
    </row>
    <row r="160" spans="2:11" x14ac:dyDescent="0.2">
      <c r="B160" s="55" t="s">
        <v>275</v>
      </c>
      <c r="C160" s="95"/>
      <c r="D160" s="39"/>
    </row>
    <row r="161" spans="2:4" ht="63.75" x14ac:dyDescent="0.2">
      <c r="B161" s="119" t="s">
        <v>358</v>
      </c>
      <c r="C161" s="95"/>
      <c r="D161" s="39"/>
    </row>
    <row r="162" spans="2:4" x14ac:dyDescent="0.2">
      <c r="C162" s="95"/>
      <c r="D162" s="39"/>
    </row>
  </sheetData>
  <phoneticPr fontId="3" type="noConversion"/>
  <pageMargins left="0.25" right="0.25" top="1" bottom="0.75" header="0.5" footer="0.5"/>
  <pageSetup scale="52" orientation="landscape" r:id="rId1"/>
  <headerFooter alignWithMargins="0"/>
  <rowBreaks count="3" manualBreakCount="3">
    <brk id="62" max="13" man="1"/>
    <brk id="114" max="13" man="1"/>
    <brk id="161" max="13" man="1"/>
  </rowBreaks>
  <ignoredErrors>
    <ignoredError sqref="D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B90D7BAB-E61B-4E12-ADE1-960D600252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Summary</vt:lpstr>
      <vt:lpstr>Schedule M-2</vt:lpstr>
      <vt:lpstr>CFIT Schedules</vt:lpstr>
      <vt:lpstr>DFIT-Per Books as Adjusted</vt:lpstr>
      <vt:lpstr>DFIT Computations</vt:lpstr>
      <vt:lpstr>SIT Schedules</vt:lpstr>
      <vt:lpstr>'CFIT Schedules'!Print_Area</vt:lpstr>
      <vt:lpstr>'DFIT Computations'!Print_Area</vt:lpstr>
      <vt:lpstr>'DFIT-Per Books as Adjusted'!Print_Area</vt:lpstr>
      <vt:lpstr>'Schedule M-2'!Print_Area</vt:lpstr>
      <vt:lpstr>'SIT Schedules'!Print_Area</vt:lpstr>
      <vt:lpstr>Summary!Print_Area</vt:lpstr>
      <vt:lpstr>'CFIT Schedules'!Print_Titles</vt:lpstr>
      <vt:lpstr>'DFIT Computations'!Print_Titles</vt:lpstr>
      <vt:lpstr>'DFIT-Per Books as Adjusted'!Print_Titles</vt:lpstr>
      <vt:lpstr>'SIT Schedules'!Print_Titles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 Bartsch</dc:creator>
  <cp:keywords/>
  <cp:lastModifiedBy>s290792</cp:lastModifiedBy>
  <cp:lastPrinted>2020-07-17T18:10:32Z</cp:lastPrinted>
  <dcterms:created xsi:type="dcterms:W3CDTF">2007-04-24T16:12:23Z</dcterms:created>
  <dcterms:modified xsi:type="dcterms:W3CDTF">2020-07-21T13:10:46Z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48e7b454-9c92-4a22-bc60-f596ff7fef88</vt:lpwstr>
  </property>
  <property fmtid="{D5CDD505-2E9C-101B-9397-08002B2CF9AE}" pid="3" name="bjSaver">
    <vt:lpwstr>+oNObCRuBlQbmshL+Jfw70Gv6AQAEokq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