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icing\Rate Cases\KPCo\2020 Base Case\JCOS\Discovery\QA-45163\"/>
    </mc:Choice>
  </mc:AlternateContent>
  <bookViews>
    <workbookView xWindow="0" yWindow="0" windowWidth="19200" windowHeight="7050" activeTab="17"/>
  </bookViews>
  <sheets>
    <sheet name="Summary" sheetId="23" r:id="rId1"/>
    <sheet name="Sch 1" sheetId="8" r:id="rId2"/>
    <sheet name="Sch 2" sheetId="9" r:id="rId3"/>
    <sheet name="2 P1" sheetId="10" r:id="rId4"/>
    <sheet name="2 P2" sheetId="11" r:id="rId5"/>
    <sheet name="2 P3" sheetId="12" r:id="rId6"/>
    <sheet name="Sch 3" sheetId="13" r:id="rId7"/>
    <sheet name="3 P1" sheetId="14" r:id="rId8"/>
    <sheet name="3 P2" sheetId="15" r:id="rId9"/>
    <sheet name="3 P3" sheetId="17" r:id="rId10"/>
    <sheet name="Sch 4" sheetId="1" r:id="rId11"/>
    <sheet name="Sch 5" sheetId="4" r:id="rId12"/>
    <sheet name="Sch 6" sheetId="5" r:id="rId13"/>
    <sheet name="Sch 7" sheetId="6" r:id="rId14"/>
    <sheet name="Sch 8" sheetId="7" r:id="rId15"/>
    <sheet name="Sch 9" sheetId="18" r:id="rId16"/>
    <sheet name="Sch 10" sheetId="19" r:id="rId17"/>
    <sheet name="Allocation Factors" sheetId="3" r:id="rId18"/>
    <sheet name="Olive Hill - Vanceburg" sheetId="20" r:id="rId19"/>
  </sheets>
  <externalReferences>
    <externalReference r:id="rId20"/>
    <externalReference r:id="rId21"/>
  </externalReferences>
  <definedNames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8">'3 P2'!$A$1:$F$43</definedName>
    <definedName name="_xlnm.Print_Area" localSheetId="9">'3 P3'!$A$1:$I$45</definedName>
    <definedName name="_xlnm.Print_Area" localSheetId="17">'Allocation Factors'!$A$1:$K$40</definedName>
    <definedName name="_xlnm.Print_Area" localSheetId="1">'Sch 1'!$A$1:$J$53</definedName>
    <definedName name="_xlnm.Print_Area" localSheetId="16">'Sch 10'!$B$1:$P$43</definedName>
    <definedName name="_xlnm.Print_Area" localSheetId="6">'Sch 3'!$A$1:$AF$32</definedName>
    <definedName name="_xlnm.Print_Area" localSheetId="10">'Sch 4'!$A$1:$I$523</definedName>
    <definedName name="_xlnm.Print_Area" localSheetId="11">'Sch 5'!$A$1:$AZ$510</definedName>
    <definedName name="_xlnm.Print_Area" localSheetId="12">'Sch 6'!$A$1:$N$59</definedName>
    <definedName name="_xlnm.Print_Area" localSheetId="14">'Sch 8'!$A$1:$AG$57</definedName>
    <definedName name="_xlnm.Print_Area" localSheetId="15">'Sch 9'!$B$1:$Q$46</definedName>
    <definedName name="_xlnm.Print_Area" localSheetId="0">Summary!$A$1:$F$25</definedName>
    <definedName name="_xlnm.Print_Titles" localSheetId="8">'3 P2'!$1:$9</definedName>
    <definedName name="_xlnm.Print_Titles" localSheetId="1">'Sch 1'!$1:$9</definedName>
    <definedName name="_xlnm.Print_Titles" localSheetId="10">'Sch 4'!$1:$5</definedName>
    <definedName name="_xlnm.Print_Titles" localSheetId="11">'Sch 5'!$A:$B,'Sch 5'!$1:$4</definedName>
    <definedName name="search_directory_name">"R:\fcm90prd\nvision\rpts\Fin_Reports\"</definedName>
  </definedNames>
  <calcPr calcId="162913" iterate="1"/>
</workbook>
</file>

<file path=xl/calcChain.xml><?xml version="1.0" encoding="utf-8"?>
<calcChain xmlns="http://schemas.openxmlformats.org/spreadsheetml/2006/main">
  <c r="G16" i="11" l="1"/>
  <c r="N30" i="14" l="1"/>
  <c r="D10" i="23" l="1"/>
  <c r="O42" i="7" l="1"/>
  <c r="G50" i="5"/>
  <c r="G49" i="5" l="1"/>
  <c r="G53" i="5" l="1"/>
  <c r="U10" i="13" l="1"/>
  <c r="S10" i="13"/>
  <c r="Q10" i="13"/>
  <c r="O10" i="13"/>
  <c r="AF2" i="4" l="1"/>
  <c r="G53" i="11" l="1"/>
  <c r="E16" i="11" s="1"/>
  <c r="G36" i="11"/>
  <c r="G11" i="11"/>
  <c r="G14" i="11" s="1"/>
  <c r="G19" i="11" l="1"/>
  <c r="G21" i="11" l="1"/>
  <c r="G23" i="11" s="1"/>
  <c r="G25" i="11" s="1"/>
  <c r="G51" i="11" l="1"/>
  <c r="G46" i="11"/>
  <c r="G41" i="11"/>
  <c r="AM240" i="4" l="1"/>
  <c r="W746" i="4" l="1"/>
  <c r="W747" i="4" s="1"/>
  <c r="U750" i="4"/>
  <c r="U747" i="4"/>
  <c r="Z334" i="4"/>
  <c r="Z280" i="4" l="1"/>
  <c r="E31" i="1" l="1"/>
  <c r="E30" i="1"/>
  <c r="C330" i="4"/>
  <c r="F343" i="1" s="1"/>
  <c r="E505" i="4" l="1"/>
  <c r="X505" i="4" l="1"/>
  <c r="C505" i="4" s="1"/>
  <c r="E20" i="17" l="1"/>
  <c r="E18" i="17"/>
  <c r="AB18" i="13" l="1"/>
  <c r="AB16" i="13"/>
  <c r="AB14" i="13"/>
  <c r="AB12" i="13"/>
  <c r="H7" i="4" l="1"/>
  <c r="AP500" i="4" l="1"/>
  <c r="AP494" i="4"/>
  <c r="AP29" i="4" s="1"/>
  <c r="AP464" i="4"/>
  <c r="AP476" i="4" s="1"/>
  <c r="AP26" i="4" s="1"/>
  <c r="AP455" i="4"/>
  <c r="AP457" i="4" s="1"/>
  <c r="AP25" i="4" s="1"/>
  <c r="AP451" i="4"/>
  <c r="AP443" i="4"/>
  <c r="AP420" i="4"/>
  <c r="AP424" i="4" s="1"/>
  <c r="AP403" i="4"/>
  <c r="AP19" i="4" s="1"/>
  <c r="AP396" i="4"/>
  <c r="AP389" i="4"/>
  <c r="AP378" i="4"/>
  <c r="AP365" i="4"/>
  <c r="AP350" i="4"/>
  <c r="AP340" i="4"/>
  <c r="AP323" i="4"/>
  <c r="AP314" i="4"/>
  <c r="AP316" i="4" s="1"/>
  <c r="AP429" i="4" s="1"/>
  <c r="AP307" i="4"/>
  <c r="AP286" i="4"/>
  <c r="AP274" i="4"/>
  <c r="AP288" i="4" s="1"/>
  <c r="AP10" i="4" s="1"/>
  <c r="AP259" i="4"/>
  <c r="AP11" i="4" s="1"/>
  <c r="AP246" i="4"/>
  <c r="AP236" i="4"/>
  <c r="AP231" i="4"/>
  <c r="AP223" i="4"/>
  <c r="AP46" i="4" s="1"/>
  <c r="AP214" i="4"/>
  <c r="AP210" i="4"/>
  <c r="AP206" i="4"/>
  <c r="AP202" i="4"/>
  <c r="AP198" i="4"/>
  <c r="AP189" i="4"/>
  <c r="AP186" i="4"/>
  <c r="AP178" i="4"/>
  <c r="AP169" i="4"/>
  <c r="AP165" i="4"/>
  <c r="AP157" i="4"/>
  <c r="AP142" i="4"/>
  <c r="AP124" i="4"/>
  <c r="AP110" i="4"/>
  <c r="AP104" i="4"/>
  <c r="AP94" i="4"/>
  <c r="AP83" i="4"/>
  <c r="AP74" i="4"/>
  <c r="AP62" i="4"/>
  <c r="AP52" i="4"/>
  <c r="AP51" i="4"/>
  <c r="AP50" i="4"/>
  <c r="AP48" i="4"/>
  <c r="AP47" i="4"/>
  <c r="AP40" i="4"/>
  <c r="AP36" i="4"/>
  <c r="AP35" i="4"/>
  <c r="AP34" i="4"/>
  <c r="AP28" i="4"/>
  <c r="AP20" i="4"/>
  <c r="AP18" i="4"/>
  <c r="AP9" i="4"/>
  <c r="AP8" i="4"/>
  <c r="AP7" i="4"/>
  <c r="AP191" i="4" l="1"/>
  <c r="AP380" i="4"/>
  <c r="AP431" i="4" s="1"/>
  <c r="AP44" i="4"/>
  <c r="AP12" i="4"/>
  <c r="AP325" i="4"/>
  <c r="AP15" i="4" s="1"/>
  <c r="AP106" i="4"/>
  <c r="AP171" i="4" s="1"/>
  <c r="AP216" i="4"/>
  <c r="AP290" i="4"/>
  <c r="AP430" i="4"/>
  <c r="AP432" i="4"/>
  <c r="AP433" i="4"/>
  <c r="AP21" i="4"/>
  <c r="AP352" i="4"/>
  <c r="AP16" i="4" s="1"/>
  <c r="AP17" i="4" l="1"/>
  <c r="AP434" i="4"/>
  <c r="AP435" i="4" s="1"/>
  <c r="AP49" i="4" s="1"/>
  <c r="AP23" i="4"/>
  <c r="AP193" i="4"/>
  <c r="AP248" i="4" s="1"/>
  <c r="AP43" i="4"/>
  <c r="AP45" i="4" s="1"/>
  <c r="AP426" i="4"/>
  <c r="AP53" i="4" l="1"/>
  <c r="AT329" i="4" l="1"/>
  <c r="E484" i="1"/>
  <c r="E486" i="1"/>
  <c r="AQ409" i="4" l="1"/>
  <c r="AE395" i="4" l="1"/>
  <c r="AA329" i="4"/>
  <c r="R28" i="4" l="1"/>
  <c r="I298" i="4" l="1"/>
  <c r="AD313" i="4" l="1"/>
  <c r="S24" i="13" l="1"/>
  <c r="Q24" i="13"/>
  <c r="S18" i="13"/>
  <c r="Q18" i="13"/>
  <c r="S12" i="13"/>
  <c r="Q12" i="13"/>
  <c r="M27" i="13"/>
  <c r="O24" i="13"/>
  <c r="O18" i="13"/>
  <c r="O12" i="13"/>
  <c r="M12" i="13"/>
  <c r="J333" i="1"/>
  <c r="J406" i="1"/>
  <c r="E469" i="1"/>
  <c r="D469" i="1" s="1"/>
  <c r="C108" i="1"/>
  <c r="D108" i="1"/>
  <c r="E108" i="1"/>
  <c r="J351" i="1"/>
  <c r="E351" i="1"/>
  <c r="E333" i="1" l="1"/>
  <c r="C171" i="1" l="1"/>
  <c r="AQ394" i="4" l="1"/>
  <c r="C502" i="4" l="1"/>
  <c r="C501" i="4"/>
  <c r="C493" i="4"/>
  <c r="C492" i="4"/>
  <c r="C491" i="4"/>
  <c r="C490" i="4"/>
  <c r="C489" i="4"/>
  <c r="C488" i="4"/>
  <c r="C487" i="4"/>
  <c r="C486" i="4"/>
  <c r="C485" i="4"/>
  <c r="C483" i="4"/>
  <c r="C482" i="4"/>
  <c r="C481" i="4"/>
  <c r="C480" i="4"/>
  <c r="C479" i="4"/>
  <c r="C478" i="4"/>
  <c r="C475" i="4"/>
  <c r="C474" i="4"/>
  <c r="C473" i="4"/>
  <c r="C472" i="4"/>
  <c r="C471" i="4"/>
  <c r="C470" i="4"/>
  <c r="C469" i="4"/>
  <c r="C468" i="4"/>
  <c r="C467" i="4"/>
  <c r="C466" i="4"/>
  <c r="C463" i="4"/>
  <c r="C462" i="4"/>
  <c r="C454" i="4"/>
  <c r="C450" i="4"/>
  <c r="C449" i="4"/>
  <c r="C448" i="4"/>
  <c r="C447" i="4"/>
  <c r="C446" i="4"/>
  <c r="C442" i="4"/>
  <c r="C441" i="4"/>
  <c r="C440" i="4"/>
  <c r="C439" i="4"/>
  <c r="C423" i="4"/>
  <c r="C419" i="4"/>
  <c r="C417" i="4"/>
  <c r="C415" i="4"/>
  <c r="C414" i="4"/>
  <c r="C413" i="4"/>
  <c r="C411" i="4"/>
  <c r="C410" i="4"/>
  <c r="C409" i="4"/>
  <c r="C408" i="4"/>
  <c r="C407" i="4"/>
  <c r="C402" i="4"/>
  <c r="C401" i="4"/>
  <c r="C400" i="4"/>
  <c r="C399" i="4"/>
  <c r="C394" i="4"/>
  <c r="C388" i="4"/>
  <c r="C387" i="4"/>
  <c r="C386" i="4"/>
  <c r="C372" i="4"/>
  <c r="C371" i="4"/>
  <c r="C367" i="4"/>
  <c r="C364" i="4"/>
  <c r="C357" i="4"/>
  <c r="C356" i="4"/>
  <c r="C349" i="4"/>
  <c r="C348" i="4"/>
  <c r="C347" i="4"/>
  <c r="C346" i="4"/>
  <c r="C344" i="4"/>
  <c r="C343" i="4"/>
  <c r="C339" i="4"/>
  <c r="C337" i="4"/>
  <c r="C336" i="4"/>
  <c r="C335" i="4"/>
  <c r="C333" i="4"/>
  <c r="C332" i="4"/>
  <c r="C322" i="4"/>
  <c r="C321" i="4"/>
  <c r="C320" i="4"/>
  <c r="C319" i="4"/>
  <c r="C313" i="4"/>
  <c r="C306" i="4"/>
  <c r="C305" i="4"/>
  <c r="C304" i="4"/>
  <c r="C301" i="4"/>
  <c r="C300" i="4"/>
  <c r="C298" i="4"/>
  <c r="C297" i="4"/>
  <c r="C296" i="4"/>
  <c r="C285" i="4"/>
  <c r="C284" i="4"/>
  <c r="C283" i="4"/>
  <c r="C282" i="4"/>
  <c r="C281" i="4"/>
  <c r="C279" i="4"/>
  <c r="C278" i="4"/>
  <c r="C277" i="4"/>
  <c r="C273" i="4"/>
  <c r="C272" i="4"/>
  <c r="C271" i="4"/>
  <c r="C270" i="4"/>
  <c r="C269" i="4"/>
  <c r="C268" i="4"/>
  <c r="C267" i="4"/>
  <c r="C266" i="4"/>
  <c r="C265" i="4"/>
  <c r="C263" i="4"/>
  <c r="C262" i="4"/>
  <c r="C257" i="4"/>
  <c r="C256" i="4"/>
  <c r="C253" i="4"/>
  <c r="C252" i="4"/>
  <c r="C245" i="4"/>
  <c r="C244" i="4"/>
  <c r="C243" i="4"/>
  <c r="C242" i="4"/>
  <c r="C241" i="4"/>
  <c r="C240" i="4"/>
  <c r="C235" i="4"/>
  <c r="C234" i="4"/>
  <c r="C230" i="4"/>
  <c r="C229" i="4"/>
  <c r="C228" i="4"/>
  <c r="C227" i="4"/>
  <c r="C226" i="4"/>
  <c r="C222" i="4"/>
  <c r="C221" i="4"/>
  <c r="C220" i="4"/>
  <c r="C219" i="4"/>
  <c r="C213" i="4"/>
  <c r="C212" i="4"/>
  <c r="C209" i="4"/>
  <c r="C208" i="4"/>
  <c r="C205" i="4"/>
  <c r="C204" i="4"/>
  <c r="C201" i="4"/>
  <c r="C200" i="4"/>
  <c r="C197" i="4"/>
  <c r="C196" i="4"/>
  <c r="C188" i="4"/>
  <c r="C185" i="4"/>
  <c r="C184" i="4"/>
  <c r="C183" i="4"/>
  <c r="C182" i="4"/>
  <c r="C181" i="4"/>
  <c r="C177" i="4"/>
  <c r="C176" i="4"/>
  <c r="C175" i="4"/>
  <c r="C174" i="4"/>
  <c r="C168" i="4"/>
  <c r="C167" i="4"/>
  <c r="C164" i="4"/>
  <c r="C163" i="4"/>
  <c r="C162" i="4"/>
  <c r="C161" i="4"/>
  <c r="C160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3" i="4"/>
  <c r="C122" i="4"/>
  <c r="C121" i="4"/>
  <c r="C120" i="4"/>
  <c r="C119" i="4"/>
  <c r="C118" i="4"/>
  <c r="C117" i="4"/>
  <c r="C116" i="4"/>
  <c r="C115" i="4"/>
  <c r="C114" i="4"/>
  <c r="C113" i="4"/>
  <c r="C109" i="4"/>
  <c r="C108" i="4"/>
  <c r="C103" i="4"/>
  <c r="C102" i="4"/>
  <c r="C101" i="4"/>
  <c r="C100" i="4"/>
  <c r="C99" i="4"/>
  <c r="C98" i="4"/>
  <c r="C97" i="4"/>
  <c r="C93" i="4"/>
  <c r="C92" i="4"/>
  <c r="C91" i="4"/>
  <c r="C90" i="4"/>
  <c r="C89" i="4"/>
  <c r="C88" i="4"/>
  <c r="C87" i="4"/>
  <c r="C86" i="4"/>
  <c r="C82" i="4"/>
  <c r="C81" i="4"/>
  <c r="C80" i="4"/>
  <c r="C79" i="4"/>
  <c r="C78" i="4"/>
  <c r="C77" i="4"/>
  <c r="C73" i="4"/>
  <c r="C72" i="4"/>
  <c r="C71" i="4"/>
  <c r="C70" i="4"/>
  <c r="C69" i="4"/>
  <c r="C68" i="4"/>
  <c r="C67" i="4"/>
  <c r="C66" i="4"/>
  <c r="C61" i="4"/>
  <c r="C60" i="4"/>
  <c r="C22" i="4"/>
  <c r="BL500" i="4"/>
  <c r="BL34" i="4" s="1"/>
  <c r="BK500" i="4"/>
  <c r="BK34" i="4" s="1"/>
  <c r="BJ500" i="4"/>
  <c r="BJ34" i="4" s="1"/>
  <c r="BI500" i="4"/>
  <c r="BI34" i="4" s="1"/>
  <c r="BH500" i="4"/>
  <c r="BH34" i="4" s="1"/>
  <c r="BD500" i="4"/>
  <c r="BD34" i="4" s="1"/>
  <c r="BL494" i="4"/>
  <c r="BL29" i="4" s="1"/>
  <c r="BK494" i="4"/>
  <c r="BK29" i="4" s="1"/>
  <c r="BJ494" i="4"/>
  <c r="BJ29" i="4" s="1"/>
  <c r="BI494" i="4"/>
  <c r="BI29" i="4" s="1"/>
  <c r="BH494" i="4"/>
  <c r="BH29" i="4" s="1"/>
  <c r="BD494" i="4"/>
  <c r="BD29" i="4" s="1"/>
  <c r="BC494" i="4"/>
  <c r="BC29" i="4" s="1"/>
  <c r="BL464" i="4"/>
  <c r="BL476" i="4" s="1"/>
  <c r="BL26" i="4" s="1"/>
  <c r="BK464" i="4"/>
  <c r="BK476" i="4" s="1"/>
  <c r="BK26" i="4" s="1"/>
  <c r="BJ464" i="4"/>
  <c r="BJ476" i="4" s="1"/>
  <c r="BJ26" i="4" s="1"/>
  <c r="BI464" i="4"/>
  <c r="BI476" i="4" s="1"/>
  <c r="BI26" i="4" s="1"/>
  <c r="BH464" i="4"/>
  <c r="BH476" i="4" s="1"/>
  <c r="BH26" i="4" s="1"/>
  <c r="BD464" i="4"/>
  <c r="BD476" i="4" s="1"/>
  <c r="BD26" i="4" s="1"/>
  <c r="BC464" i="4"/>
  <c r="BC476" i="4" s="1"/>
  <c r="BC26" i="4" s="1"/>
  <c r="BL455" i="4"/>
  <c r="BK455" i="4"/>
  <c r="BJ455" i="4"/>
  <c r="BI455" i="4"/>
  <c r="BH455" i="4"/>
  <c r="BD455" i="4"/>
  <c r="BC455" i="4"/>
  <c r="BL451" i="4"/>
  <c r="BK451" i="4"/>
  <c r="BJ451" i="4"/>
  <c r="BI451" i="4"/>
  <c r="BH451" i="4"/>
  <c r="BD451" i="4"/>
  <c r="BC451" i="4"/>
  <c r="BL443" i="4"/>
  <c r="BK443" i="4"/>
  <c r="BK457" i="4" s="1"/>
  <c r="BK25" i="4" s="1"/>
  <c r="BJ443" i="4"/>
  <c r="BI443" i="4"/>
  <c r="BH443" i="4"/>
  <c r="BD443" i="4"/>
  <c r="BD457" i="4" s="1"/>
  <c r="BD25" i="4" s="1"/>
  <c r="BC443" i="4"/>
  <c r="BL420" i="4"/>
  <c r="BL424" i="4" s="1"/>
  <c r="BK420" i="4"/>
  <c r="BK424" i="4" s="1"/>
  <c r="BJ420" i="4"/>
  <c r="BJ424" i="4" s="1"/>
  <c r="BI420" i="4"/>
  <c r="BI424" i="4" s="1"/>
  <c r="BI21" i="4" s="1"/>
  <c r="BH420" i="4"/>
  <c r="BH424" i="4" s="1"/>
  <c r="BD420" i="4"/>
  <c r="BD424" i="4" s="1"/>
  <c r="BC420" i="4"/>
  <c r="BC424" i="4" s="1"/>
  <c r="BL403" i="4"/>
  <c r="BL19" i="4" s="1"/>
  <c r="BK403" i="4"/>
  <c r="BK19" i="4" s="1"/>
  <c r="BJ403" i="4"/>
  <c r="BJ19" i="4" s="1"/>
  <c r="BI403" i="4"/>
  <c r="BI19" i="4" s="1"/>
  <c r="BH403" i="4"/>
  <c r="BH19" i="4" s="1"/>
  <c r="BD403" i="4"/>
  <c r="BD19" i="4" s="1"/>
  <c r="BC403" i="4"/>
  <c r="BC19" i="4" s="1"/>
  <c r="BL396" i="4"/>
  <c r="BL20" i="4" s="1"/>
  <c r="BK396" i="4"/>
  <c r="BK20" i="4" s="1"/>
  <c r="BJ396" i="4"/>
  <c r="BJ20" i="4" s="1"/>
  <c r="BI396" i="4"/>
  <c r="BI20" i="4" s="1"/>
  <c r="BH396" i="4"/>
  <c r="BH20" i="4" s="1"/>
  <c r="BD396" i="4"/>
  <c r="BD20" i="4" s="1"/>
  <c r="BC396" i="4"/>
  <c r="BC20" i="4" s="1"/>
  <c r="BL389" i="4"/>
  <c r="BK389" i="4"/>
  <c r="BJ389" i="4"/>
  <c r="BI389" i="4"/>
  <c r="BH389" i="4"/>
  <c r="BD389" i="4"/>
  <c r="BC389" i="4"/>
  <c r="BL378" i="4"/>
  <c r="BK378" i="4"/>
  <c r="BJ378" i="4"/>
  <c r="BI378" i="4"/>
  <c r="BH378" i="4"/>
  <c r="BD378" i="4"/>
  <c r="BC378" i="4"/>
  <c r="BL365" i="4"/>
  <c r="BK365" i="4"/>
  <c r="BJ365" i="4"/>
  <c r="BI365" i="4"/>
  <c r="BI380" i="4" s="1"/>
  <c r="BI431" i="4" s="1"/>
  <c r="BH365" i="4"/>
  <c r="BD365" i="4"/>
  <c r="BC365" i="4"/>
  <c r="BL350" i="4"/>
  <c r="BK350" i="4"/>
  <c r="BJ350" i="4"/>
  <c r="BI350" i="4"/>
  <c r="BH350" i="4"/>
  <c r="BD350" i="4"/>
  <c r="BC350" i="4"/>
  <c r="BL340" i="4"/>
  <c r="BK340" i="4"/>
  <c r="BK430" i="4" s="1"/>
  <c r="BJ340" i="4"/>
  <c r="BI340" i="4"/>
  <c r="BH340" i="4"/>
  <c r="BD340" i="4"/>
  <c r="BD430" i="4" s="1"/>
  <c r="BC340" i="4"/>
  <c r="BL323" i="4"/>
  <c r="BK323" i="4"/>
  <c r="BJ323" i="4"/>
  <c r="BI323" i="4"/>
  <c r="BH323" i="4"/>
  <c r="BD323" i="4"/>
  <c r="BC323" i="4"/>
  <c r="BL314" i="4"/>
  <c r="BK314" i="4"/>
  <c r="BJ314" i="4"/>
  <c r="BI314" i="4"/>
  <c r="BH314" i="4"/>
  <c r="BD314" i="4"/>
  <c r="BC314" i="4"/>
  <c r="BL307" i="4"/>
  <c r="BK307" i="4"/>
  <c r="BJ307" i="4"/>
  <c r="BI307" i="4"/>
  <c r="BH307" i="4"/>
  <c r="BD307" i="4"/>
  <c r="BC307" i="4"/>
  <c r="BL286" i="4"/>
  <c r="BK286" i="4"/>
  <c r="BJ286" i="4"/>
  <c r="BI286" i="4"/>
  <c r="BH286" i="4"/>
  <c r="BD286" i="4"/>
  <c r="BC286" i="4"/>
  <c r="BL274" i="4"/>
  <c r="BK274" i="4"/>
  <c r="BJ274" i="4"/>
  <c r="BJ288" i="4" s="1"/>
  <c r="BJ10" i="4" s="1"/>
  <c r="BI274" i="4"/>
  <c r="BH274" i="4"/>
  <c r="BD274" i="4"/>
  <c r="BC274" i="4"/>
  <c r="BC288" i="4" s="1"/>
  <c r="BL259" i="4"/>
  <c r="BK259" i="4"/>
  <c r="BJ259" i="4"/>
  <c r="BI259" i="4"/>
  <c r="BH259" i="4"/>
  <c r="BD259" i="4"/>
  <c r="BC259" i="4"/>
  <c r="BC11" i="4" s="1"/>
  <c r="BL246" i="4"/>
  <c r="BK246" i="4"/>
  <c r="BJ246" i="4"/>
  <c r="BI246" i="4"/>
  <c r="BH246" i="4"/>
  <c r="BD246" i="4"/>
  <c r="BC246" i="4"/>
  <c r="BL236" i="4"/>
  <c r="BK236" i="4"/>
  <c r="BJ236" i="4"/>
  <c r="BI236" i="4"/>
  <c r="BH236" i="4"/>
  <c r="BD236" i="4"/>
  <c r="BC236" i="4"/>
  <c r="BL231" i="4"/>
  <c r="BK231" i="4"/>
  <c r="BJ231" i="4"/>
  <c r="BI231" i="4"/>
  <c r="BH231" i="4"/>
  <c r="BD231" i="4"/>
  <c r="BC231" i="4"/>
  <c r="BL223" i="4"/>
  <c r="BK223" i="4"/>
  <c r="BK46" i="4" s="1"/>
  <c r="BJ223" i="4"/>
  <c r="BJ46" i="4" s="1"/>
  <c r="BI223" i="4"/>
  <c r="BI46" i="4" s="1"/>
  <c r="BH223" i="4"/>
  <c r="BH46" i="4" s="1"/>
  <c r="BD223" i="4"/>
  <c r="BD46" i="4" s="1"/>
  <c r="BC223" i="4"/>
  <c r="BC46" i="4" s="1"/>
  <c r="BL214" i="4"/>
  <c r="BK214" i="4"/>
  <c r="BJ214" i="4"/>
  <c r="BI214" i="4"/>
  <c r="BH214" i="4"/>
  <c r="BD214" i="4"/>
  <c r="BC214" i="4"/>
  <c r="BL210" i="4"/>
  <c r="BK210" i="4"/>
  <c r="BJ210" i="4"/>
  <c r="BI210" i="4"/>
  <c r="BH210" i="4"/>
  <c r="BD210" i="4"/>
  <c r="BC210" i="4"/>
  <c r="BL206" i="4"/>
  <c r="BK206" i="4"/>
  <c r="BJ206" i="4"/>
  <c r="BI206" i="4"/>
  <c r="BH206" i="4"/>
  <c r="BD206" i="4"/>
  <c r="BC206" i="4"/>
  <c r="BL202" i="4"/>
  <c r="BK202" i="4"/>
  <c r="BJ202" i="4"/>
  <c r="BI202" i="4"/>
  <c r="BH202" i="4"/>
  <c r="BD202" i="4"/>
  <c r="BC202" i="4"/>
  <c r="BL198" i="4"/>
  <c r="BK198" i="4"/>
  <c r="BJ198" i="4"/>
  <c r="BI198" i="4"/>
  <c r="BH198" i="4"/>
  <c r="BD198" i="4"/>
  <c r="BC198" i="4"/>
  <c r="BL189" i="4"/>
  <c r="BK189" i="4"/>
  <c r="BJ189" i="4"/>
  <c r="BI189" i="4"/>
  <c r="BH189" i="4"/>
  <c r="BD189" i="4"/>
  <c r="BC189" i="4"/>
  <c r="BL186" i="4"/>
  <c r="BK186" i="4"/>
  <c r="BJ186" i="4"/>
  <c r="BI186" i="4"/>
  <c r="BH186" i="4"/>
  <c r="BD186" i="4"/>
  <c r="BC186" i="4"/>
  <c r="BL178" i="4"/>
  <c r="BK178" i="4"/>
  <c r="BJ178" i="4"/>
  <c r="BI178" i="4"/>
  <c r="BH178" i="4"/>
  <c r="BD178" i="4"/>
  <c r="BC178" i="4"/>
  <c r="BL169" i="4"/>
  <c r="BK169" i="4"/>
  <c r="BJ169" i="4"/>
  <c r="BI169" i="4"/>
  <c r="BH169" i="4"/>
  <c r="BD169" i="4"/>
  <c r="BC169" i="4"/>
  <c r="BL165" i="4"/>
  <c r="BK165" i="4"/>
  <c r="BJ165" i="4"/>
  <c r="BI165" i="4"/>
  <c r="BH165" i="4"/>
  <c r="BD165" i="4"/>
  <c r="BC165" i="4"/>
  <c r="BL157" i="4"/>
  <c r="BK157" i="4"/>
  <c r="BJ157" i="4"/>
  <c r="BI157" i="4"/>
  <c r="BH157" i="4"/>
  <c r="BD157" i="4"/>
  <c r="BC157" i="4"/>
  <c r="BL142" i="4"/>
  <c r="BK142" i="4"/>
  <c r="BJ142" i="4"/>
  <c r="BI142" i="4"/>
  <c r="BH142" i="4"/>
  <c r="BD142" i="4"/>
  <c r="BC142" i="4"/>
  <c r="BL124" i="4"/>
  <c r="BK124" i="4"/>
  <c r="BJ124" i="4"/>
  <c r="BI124" i="4"/>
  <c r="BH124" i="4"/>
  <c r="BD124" i="4"/>
  <c r="BC124" i="4"/>
  <c r="BL110" i="4"/>
  <c r="BK110" i="4"/>
  <c r="BJ110" i="4"/>
  <c r="BI110" i="4"/>
  <c r="BH110" i="4"/>
  <c r="BD110" i="4"/>
  <c r="BC110" i="4"/>
  <c r="BL104" i="4"/>
  <c r="BK104" i="4"/>
  <c r="BJ104" i="4"/>
  <c r="BI104" i="4"/>
  <c r="BH104" i="4"/>
  <c r="BD104" i="4"/>
  <c r="BC104" i="4"/>
  <c r="BL94" i="4"/>
  <c r="BK94" i="4"/>
  <c r="BJ94" i="4"/>
  <c r="BI94" i="4"/>
  <c r="BH94" i="4"/>
  <c r="BD94" i="4"/>
  <c r="BC94" i="4"/>
  <c r="BL83" i="4"/>
  <c r="BK83" i="4"/>
  <c r="BJ83" i="4"/>
  <c r="BI83" i="4"/>
  <c r="BH83" i="4"/>
  <c r="BD83" i="4"/>
  <c r="BC83" i="4"/>
  <c r="BL74" i="4"/>
  <c r="BK74" i="4"/>
  <c r="BJ74" i="4"/>
  <c r="BI74" i="4"/>
  <c r="BH74" i="4"/>
  <c r="BD74" i="4"/>
  <c r="BC74" i="4"/>
  <c r="BL62" i="4"/>
  <c r="BK62" i="4"/>
  <c r="BJ62" i="4"/>
  <c r="BI62" i="4"/>
  <c r="BH62" i="4"/>
  <c r="BD62" i="4"/>
  <c r="BC62" i="4"/>
  <c r="BL52" i="4"/>
  <c r="BK52" i="4"/>
  <c r="BJ52" i="4"/>
  <c r="BI52" i="4"/>
  <c r="BH52" i="4"/>
  <c r="BD52" i="4"/>
  <c r="BC52" i="4"/>
  <c r="BL51" i="4"/>
  <c r="BK51" i="4"/>
  <c r="BJ51" i="4"/>
  <c r="BI51" i="4"/>
  <c r="BH51" i="4"/>
  <c r="BD51" i="4"/>
  <c r="BC51" i="4"/>
  <c r="BL50" i="4"/>
  <c r="BK50" i="4"/>
  <c r="BJ50" i="4"/>
  <c r="BI50" i="4"/>
  <c r="BH50" i="4"/>
  <c r="BD50" i="4"/>
  <c r="BC50" i="4"/>
  <c r="BL48" i="4"/>
  <c r="BK48" i="4"/>
  <c r="BJ48" i="4"/>
  <c r="BI48" i="4"/>
  <c r="BH48" i="4"/>
  <c r="BD48" i="4"/>
  <c r="BC48" i="4"/>
  <c r="BL47" i="4"/>
  <c r="BK47" i="4"/>
  <c r="BJ47" i="4"/>
  <c r="BI47" i="4"/>
  <c r="BH47" i="4"/>
  <c r="BD47" i="4"/>
  <c r="BC47" i="4"/>
  <c r="BL46" i="4"/>
  <c r="BL40" i="4"/>
  <c r="BK40" i="4"/>
  <c r="BJ40" i="4"/>
  <c r="BI40" i="4"/>
  <c r="BH40" i="4"/>
  <c r="BD40" i="4"/>
  <c r="BC40" i="4"/>
  <c r="BL36" i="4"/>
  <c r="BK36" i="4"/>
  <c r="BJ36" i="4"/>
  <c r="BI36" i="4"/>
  <c r="BH36" i="4"/>
  <c r="BD36" i="4"/>
  <c r="BC36" i="4"/>
  <c r="BL35" i="4"/>
  <c r="BK35" i="4"/>
  <c r="BJ35" i="4"/>
  <c r="BI35" i="4"/>
  <c r="BH35" i="4"/>
  <c r="BD35" i="4"/>
  <c r="BC35" i="4"/>
  <c r="BC34" i="4"/>
  <c r="BL28" i="4"/>
  <c r="BK28" i="4"/>
  <c r="BJ28" i="4"/>
  <c r="BI28" i="4"/>
  <c r="BH28" i="4"/>
  <c r="BD28" i="4"/>
  <c r="BC28" i="4"/>
  <c r="BL27" i="4"/>
  <c r="BK27" i="4"/>
  <c r="BJ27" i="4"/>
  <c r="BC18" i="4"/>
  <c r="BL9" i="4"/>
  <c r="BK9" i="4"/>
  <c r="BJ9" i="4"/>
  <c r="BI9" i="4"/>
  <c r="BH9" i="4"/>
  <c r="BD9" i="4"/>
  <c r="BC9" i="4"/>
  <c r="BL8" i="4"/>
  <c r="BK8" i="4"/>
  <c r="BJ8" i="4"/>
  <c r="BI8" i="4"/>
  <c r="BH8" i="4"/>
  <c r="BD8" i="4"/>
  <c r="BC8" i="4"/>
  <c r="BL7" i="4"/>
  <c r="BK7" i="4"/>
  <c r="BJ7" i="4"/>
  <c r="BI7" i="4"/>
  <c r="BH7" i="4"/>
  <c r="BD7" i="4"/>
  <c r="BC7" i="4"/>
  <c r="BD44" i="4" l="1"/>
  <c r="BC44" i="4"/>
  <c r="BD288" i="4"/>
  <c r="BD10" i="4" s="1"/>
  <c r="BH430" i="4"/>
  <c r="BJ380" i="4"/>
  <c r="BJ17" i="4" s="1"/>
  <c r="BH432" i="4"/>
  <c r="BJ44" i="4"/>
  <c r="BK288" i="4"/>
  <c r="BK10" i="4" s="1"/>
  <c r="BL430" i="4"/>
  <c r="BC380" i="4"/>
  <c r="BC431" i="4" s="1"/>
  <c r="BL432" i="4"/>
  <c r="BC432" i="4"/>
  <c r="BH288" i="4"/>
  <c r="BH10" i="4" s="1"/>
  <c r="BK380" i="4"/>
  <c r="BK17" i="4" s="1"/>
  <c r="BI432" i="4"/>
  <c r="BH457" i="4"/>
  <c r="BH25" i="4" s="1"/>
  <c r="BH44" i="4"/>
  <c r="BL44" i="4"/>
  <c r="BI288" i="4"/>
  <c r="BI10" i="4" s="1"/>
  <c r="BC352" i="4"/>
  <c r="BC16" i="4" s="1"/>
  <c r="BH380" i="4"/>
  <c r="BL380" i="4"/>
  <c r="BL17" i="4" s="1"/>
  <c r="BI457" i="4"/>
  <c r="BI25" i="4" s="1"/>
  <c r="BK44" i="4"/>
  <c r="BD380" i="4"/>
  <c r="BD431" i="4" s="1"/>
  <c r="BI44" i="4"/>
  <c r="BD432" i="4"/>
  <c r="BK432" i="4"/>
  <c r="BC457" i="4"/>
  <c r="BC25" i="4" s="1"/>
  <c r="BJ457" i="4"/>
  <c r="BJ25" i="4" s="1"/>
  <c r="BD18" i="4"/>
  <c r="BL288" i="4"/>
  <c r="BL10" i="4" s="1"/>
  <c r="BD11" i="4"/>
  <c r="BK18" i="4"/>
  <c r="BK11" i="4"/>
  <c r="BJ290" i="4"/>
  <c r="BJ432" i="4"/>
  <c r="BJ18" i="4"/>
  <c r="BI11" i="4"/>
  <c r="BJ11" i="4"/>
  <c r="BJ12" i="4" s="1"/>
  <c r="BI18" i="4"/>
  <c r="BL191" i="4"/>
  <c r="BL216" i="4"/>
  <c r="BL316" i="4"/>
  <c r="BL429" i="4" s="1"/>
  <c r="BH11" i="4"/>
  <c r="BL11" i="4"/>
  <c r="BI106" i="4"/>
  <c r="BI171" i="4" s="1"/>
  <c r="BH106" i="4"/>
  <c r="BH171" i="4" s="1"/>
  <c r="BH216" i="4"/>
  <c r="BH18" i="4"/>
  <c r="BL18" i="4"/>
  <c r="BC106" i="4"/>
  <c r="BC171" i="4" s="1"/>
  <c r="BC191" i="4"/>
  <c r="BC216" i="4"/>
  <c r="BC316" i="4"/>
  <c r="BC429" i="4" s="1"/>
  <c r="BC430" i="4"/>
  <c r="BL106" i="4"/>
  <c r="BL171" i="4" s="1"/>
  <c r="BH191" i="4"/>
  <c r="BH316" i="4"/>
  <c r="BH429" i="4" s="1"/>
  <c r="BL457" i="4"/>
  <c r="BL25" i="4" s="1"/>
  <c r="BD106" i="4"/>
  <c r="BD171" i="4" s="1"/>
  <c r="BD43" i="4" s="1"/>
  <c r="BD45" i="4" s="1"/>
  <c r="BK106" i="4"/>
  <c r="BK171" i="4" s="1"/>
  <c r="BD191" i="4"/>
  <c r="BK191" i="4"/>
  <c r="BD216" i="4"/>
  <c r="BK216" i="4"/>
  <c r="BD316" i="4"/>
  <c r="BD429" i="4" s="1"/>
  <c r="BK316" i="4"/>
  <c r="BK429" i="4" s="1"/>
  <c r="BC10" i="4"/>
  <c r="BC12" i="4" s="1"/>
  <c r="BC290" i="4"/>
  <c r="BC17" i="4"/>
  <c r="BC433" i="4"/>
  <c r="BC21" i="4"/>
  <c r="BI17" i="4"/>
  <c r="BJ106" i="4"/>
  <c r="BJ171" i="4" s="1"/>
  <c r="BI191" i="4"/>
  <c r="BI216" i="4"/>
  <c r="BI316" i="4"/>
  <c r="BI429" i="4" s="1"/>
  <c r="BI430" i="4"/>
  <c r="BI352" i="4"/>
  <c r="BI16" i="4" s="1"/>
  <c r="BI433" i="4"/>
  <c r="BJ191" i="4"/>
  <c r="BJ216" i="4"/>
  <c r="BJ316" i="4"/>
  <c r="BJ429" i="4" s="1"/>
  <c r="BJ430" i="4"/>
  <c r="BJ352" i="4"/>
  <c r="BJ16" i="4" s="1"/>
  <c r="BJ433" i="4"/>
  <c r="BJ21" i="4"/>
  <c r="BK431" i="4"/>
  <c r="BD433" i="4"/>
  <c r="BD21" i="4"/>
  <c r="BK433" i="4"/>
  <c r="BK21" i="4"/>
  <c r="BH431" i="4"/>
  <c r="BH17" i="4"/>
  <c r="BL431" i="4"/>
  <c r="BH433" i="4"/>
  <c r="BH21" i="4"/>
  <c r="BL433" i="4"/>
  <c r="BL21" i="4"/>
  <c r="BD352" i="4"/>
  <c r="BD16" i="4" s="1"/>
  <c r="BK352" i="4"/>
  <c r="BK16" i="4" s="1"/>
  <c r="BH352" i="4"/>
  <c r="BH16" i="4" s="1"/>
  <c r="BL352" i="4"/>
  <c r="BL16" i="4" s="1"/>
  <c r="BG500" i="4"/>
  <c r="BG34" i="4" s="1"/>
  <c r="BF500" i="4"/>
  <c r="BF34" i="4" s="1"/>
  <c r="BE500" i="4"/>
  <c r="BE34" i="4" s="1"/>
  <c r="BG494" i="4"/>
  <c r="BG29" i="4" s="1"/>
  <c r="BF494" i="4"/>
  <c r="BF29" i="4" s="1"/>
  <c r="BE494" i="4"/>
  <c r="BE29" i="4" s="1"/>
  <c r="BG464" i="4"/>
  <c r="BG476" i="4" s="1"/>
  <c r="BG26" i="4" s="1"/>
  <c r="BF464" i="4"/>
  <c r="BF476" i="4" s="1"/>
  <c r="BF26" i="4" s="1"/>
  <c r="BE464" i="4"/>
  <c r="BE476" i="4" s="1"/>
  <c r="BE26" i="4" s="1"/>
  <c r="BG455" i="4"/>
  <c r="BF455" i="4"/>
  <c r="BE455" i="4"/>
  <c r="BG451" i="4"/>
  <c r="BF451" i="4"/>
  <c r="BE451" i="4"/>
  <c r="BG443" i="4"/>
  <c r="BF443" i="4"/>
  <c r="BE443" i="4"/>
  <c r="BG420" i="4"/>
  <c r="BG424" i="4" s="1"/>
  <c r="BF420" i="4"/>
  <c r="BF424" i="4" s="1"/>
  <c r="BE420" i="4"/>
  <c r="BE424" i="4" s="1"/>
  <c r="BG403" i="4"/>
  <c r="BF403" i="4"/>
  <c r="BF19" i="4" s="1"/>
  <c r="BE403" i="4"/>
  <c r="BE19" i="4" s="1"/>
  <c r="BG396" i="4"/>
  <c r="BG20" i="4" s="1"/>
  <c r="BF396" i="4"/>
  <c r="BF20" i="4" s="1"/>
  <c r="BE396" i="4"/>
  <c r="BE20" i="4" s="1"/>
  <c r="BG389" i="4"/>
  <c r="BF389" i="4"/>
  <c r="BE389" i="4"/>
  <c r="BE18" i="4" s="1"/>
  <c r="BG378" i="4"/>
  <c r="BF378" i="4"/>
  <c r="BE378" i="4"/>
  <c r="BG365" i="4"/>
  <c r="BF365" i="4"/>
  <c r="BE365" i="4"/>
  <c r="BG350" i="4"/>
  <c r="BF350" i="4"/>
  <c r="BE350" i="4"/>
  <c r="BG340" i="4"/>
  <c r="BF340" i="4"/>
  <c r="BE340" i="4"/>
  <c r="BG323" i="4"/>
  <c r="BF323" i="4"/>
  <c r="BE323" i="4"/>
  <c r="BG314" i="4"/>
  <c r="BF314" i="4"/>
  <c r="BE314" i="4"/>
  <c r="BG307" i="4"/>
  <c r="BF307" i="4"/>
  <c r="BE307" i="4"/>
  <c r="BG286" i="4"/>
  <c r="BF286" i="4"/>
  <c r="BE286" i="4"/>
  <c r="BG274" i="4"/>
  <c r="BF274" i="4"/>
  <c r="BE274" i="4"/>
  <c r="BG259" i="4"/>
  <c r="BG11" i="4" s="1"/>
  <c r="BF259" i="4"/>
  <c r="BF11" i="4" s="1"/>
  <c r="BE259" i="4"/>
  <c r="BE11" i="4" s="1"/>
  <c r="BG246" i="4"/>
  <c r="BF246" i="4"/>
  <c r="BE246" i="4"/>
  <c r="BG236" i="4"/>
  <c r="BF236" i="4"/>
  <c r="BE236" i="4"/>
  <c r="BG231" i="4"/>
  <c r="BF231" i="4"/>
  <c r="BE231" i="4"/>
  <c r="BG223" i="4"/>
  <c r="BG46" i="4" s="1"/>
  <c r="BF223" i="4"/>
  <c r="BF46" i="4" s="1"/>
  <c r="BE223" i="4"/>
  <c r="BE46" i="4" s="1"/>
  <c r="BG214" i="4"/>
  <c r="BF214" i="4"/>
  <c r="BE214" i="4"/>
  <c r="BG210" i="4"/>
  <c r="BF210" i="4"/>
  <c r="BE210" i="4"/>
  <c r="BG206" i="4"/>
  <c r="BF206" i="4"/>
  <c r="BE206" i="4"/>
  <c r="BG202" i="4"/>
  <c r="BF202" i="4"/>
  <c r="BE202" i="4"/>
  <c r="BG198" i="4"/>
  <c r="BF198" i="4"/>
  <c r="BE198" i="4"/>
  <c r="BG189" i="4"/>
  <c r="BF189" i="4"/>
  <c r="BE189" i="4"/>
  <c r="BG186" i="4"/>
  <c r="BF186" i="4"/>
  <c r="BE186" i="4"/>
  <c r="BG178" i="4"/>
  <c r="BF178" i="4"/>
  <c r="BE178" i="4"/>
  <c r="BG169" i="4"/>
  <c r="BF169" i="4"/>
  <c r="BE169" i="4"/>
  <c r="BG165" i="4"/>
  <c r="BF165" i="4"/>
  <c r="BE165" i="4"/>
  <c r="BG157" i="4"/>
  <c r="BF157" i="4"/>
  <c r="BE157" i="4"/>
  <c r="BG142" i="4"/>
  <c r="BF142" i="4"/>
  <c r="BE142" i="4"/>
  <c r="BG124" i="4"/>
  <c r="BF124" i="4"/>
  <c r="BE124" i="4"/>
  <c r="BG110" i="4"/>
  <c r="BF110" i="4"/>
  <c r="BE110" i="4"/>
  <c r="BG104" i="4"/>
  <c r="BF104" i="4"/>
  <c r="BE104" i="4"/>
  <c r="BG94" i="4"/>
  <c r="BF94" i="4"/>
  <c r="BE94" i="4"/>
  <c r="BG83" i="4"/>
  <c r="BF83" i="4"/>
  <c r="BE83" i="4"/>
  <c r="BG74" i="4"/>
  <c r="BF74" i="4"/>
  <c r="BE74" i="4"/>
  <c r="BG62" i="4"/>
  <c r="BF62" i="4"/>
  <c r="BE62" i="4"/>
  <c r="BG52" i="4"/>
  <c r="BF52" i="4"/>
  <c r="BE52" i="4"/>
  <c r="BG51" i="4"/>
  <c r="BF51" i="4"/>
  <c r="BE51" i="4"/>
  <c r="BG50" i="4"/>
  <c r="BF50" i="4"/>
  <c r="BE50" i="4"/>
  <c r="BG48" i="4"/>
  <c r="BF48" i="4"/>
  <c r="BE48" i="4"/>
  <c r="BG47" i="4"/>
  <c r="BF47" i="4"/>
  <c r="BE47" i="4"/>
  <c r="BG40" i="4"/>
  <c r="BF40" i="4"/>
  <c r="BE40" i="4"/>
  <c r="BG36" i="4"/>
  <c r="BF36" i="4"/>
  <c r="BE36" i="4"/>
  <c r="BG35" i="4"/>
  <c r="BF35" i="4"/>
  <c r="BE35" i="4"/>
  <c r="BG28" i="4"/>
  <c r="BF28" i="4"/>
  <c r="BE28" i="4"/>
  <c r="BG19" i="4"/>
  <c r="BG9" i="4"/>
  <c r="BF9" i="4"/>
  <c r="BE9" i="4"/>
  <c r="BG8" i="4"/>
  <c r="BF8" i="4"/>
  <c r="BE8" i="4"/>
  <c r="BG7" i="4"/>
  <c r="BF7" i="4"/>
  <c r="BE7" i="4"/>
  <c r="C329" i="4"/>
  <c r="BD12" i="4" l="1"/>
  <c r="BJ431" i="4"/>
  <c r="BK290" i="4"/>
  <c r="BH290" i="4"/>
  <c r="BH12" i="4"/>
  <c r="BK12" i="4"/>
  <c r="BD290" i="4"/>
  <c r="BD17" i="4"/>
  <c r="BI12" i="4"/>
  <c r="BI290" i="4"/>
  <c r="BL290" i="4"/>
  <c r="BL12" i="4"/>
  <c r="BE316" i="4"/>
  <c r="BE325" i="4" s="1"/>
  <c r="BE15" i="4" s="1"/>
  <c r="BL325" i="4"/>
  <c r="BL15" i="4" s="1"/>
  <c r="BL23" i="4" s="1"/>
  <c r="BE288" i="4"/>
  <c r="BE10" i="4" s="1"/>
  <c r="BF430" i="4"/>
  <c r="BE44" i="4"/>
  <c r="BG44" i="4"/>
  <c r="BF316" i="4"/>
  <c r="BF429" i="4" s="1"/>
  <c r="BK434" i="4"/>
  <c r="BK435" i="4" s="1"/>
  <c r="BK49" i="4" s="1"/>
  <c r="BL434" i="4"/>
  <c r="BL435" i="4" s="1"/>
  <c r="BL49" i="4" s="1"/>
  <c r="BD193" i="4"/>
  <c r="BD248" i="4" s="1"/>
  <c r="BC325" i="4"/>
  <c r="BC15" i="4" s="1"/>
  <c r="BC23" i="4" s="1"/>
  <c r="BE106" i="4"/>
  <c r="BE171" i="4" s="1"/>
  <c r="BE43" i="4" s="1"/>
  <c r="BE191" i="4"/>
  <c r="BF432" i="4"/>
  <c r="BF457" i="4"/>
  <c r="BF25" i="4" s="1"/>
  <c r="BD325" i="4"/>
  <c r="BD15" i="4" s="1"/>
  <c r="BD23" i="4" s="1"/>
  <c r="BK193" i="4"/>
  <c r="BK248" i="4" s="1"/>
  <c r="BK43" i="4"/>
  <c r="BK45" i="4" s="1"/>
  <c r="BE12" i="4"/>
  <c r="BF18" i="4"/>
  <c r="BF288" i="4"/>
  <c r="BF10" i="4" s="1"/>
  <c r="BF12" i="4" s="1"/>
  <c r="BG430" i="4"/>
  <c r="BG432" i="4"/>
  <c r="BG457" i="4"/>
  <c r="BG25" i="4" s="1"/>
  <c r="BF191" i="4"/>
  <c r="BE380" i="4"/>
  <c r="BE431" i="4" s="1"/>
  <c r="BH434" i="4"/>
  <c r="BH435" i="4" s="1"/>
  <c r="BH49" i="4" s="1"/>
  <c r="BF216" i="4"/>
  <c r="BG288" i="4"/>
  <c r="BG10" i="4" s="1"/>
  <c r="BG12" i="4" s="1"/>
  <c r="BF380" i="4"/>
  <c r="BF431" i="4" s="1"/>
  <c r="BD434" i="4"/>
  <c r="BD435" i="4" s="1"/>
  <c r="BD49" i="4" s="1"/>
  <c r="BD53" i="4" s="1"/>
  <c r="BF106" i="4"/>
  <c r="BF171" i="4" s="1"/>
  <c r="BE216" i="4"/>
  <c r="BC434" i="4"/>
  <c r="BC435" i="4" s="1"/>
  <c r="BC49" i="4" s="1"/>
  <c r="BG18" i="4"/>
  <c r="BG106" i="4"/>
  <c r="BG171" i="4" s="1"/>
  <c r="BG191" i="4"/>
  <c r="BG216" i="4"/>
  <c r="BG316" i="4"/>
  <c r="BG429" i="4" s="1"/>
  <c r="BE430" i="4"/>
  <c r="BG380" i="4"/>
  <c r="BG431" i="4" s="1"/>
  <c r="BE432" i="4"/>
  <c r="BE457" i="4"/>
  <c r="BE25" i="4" s="1"/>
  <c r="BH325" i="4"/>
  <c r="BK325" i="4"/>
  <c r="BK15" i="4" s="1"/>
  <c r="BK23" i="4" s="1"/>
  <c r="BJ193" i="4"/>
  <c r="BJ248" i="4" s="1"/>
  <c r="BJ43" i="4"/>
  <c r="BJ45" i="4" s="1"/>
  <c r="BI193" i="4"/>
  <c r="BI248" i="4" s="1"/>
  <c r="BI43" i="4"/>
  <c r="BI45" i="4" s="1"/>
  <c r="BC43" i="4"/>
  <c r="BC45" i="4" s="1"/>
  <c r="BC193" i="4"/>
  <c r="BC248" i="4" s="1"/>
  <c r="BJ434" i="4"/>
  <c r="BJ435" i="4" s="1"/>
  <c r="BJ49" i="4" s="1"/>
  <c r="BJ325" i="4"/>
  <c r="BL193" i="4"/>
  <c r="BL248" i="4" s="1"/>
  <c r="BL43" i="4"/>
  <c r="BL45" i="4" s="1"/>
  <c r="BH193" i="4"/>
  <c r="BH248" i="4" s="1"/>
  <c r="BH43" i="4"/>
  <c r="BH45" i="4" s="1"/>
  <c r="BI434" i="4"/>
  <c r="BI435" i="4" s="1"/>
  <c r="BI49" i="4" s="1"/>
  <c r="BI325" i="4"/>
  <c r="BI15" i="4" s="1"/>
  <c r="BI23" i="4" s="1"/>
  <c r="BF44" i="4"/>
  <c r="BG433" i="4"/>
  <c r="BG21" i="4"/>
  <c r="BE433" i="4"/>
  <c r="BE21" i="4"/>
  <c r="BF433" i="4"/>
  <c r="BF21" i="4"/>
  <c r="BF352" i="4"/>
  <c r="BF16" i="4" s="1"/>
  <c r="BG352" i="4"/>
  <c r="BG16" i="4" s="1"/>
  <c r="BE352" i="4"/>
  <c r="BE16" i="4" s="1"/>
  <c r="BE290" i="4" l="1"/>
  <c r="BK53" i="4"/>
  <c r="BE429" i="4"/>
  <c r="BE434" i="4" s="1"/>
  <c r="BE435" i="4" s="1"/>
  <c r="BE49" i="4" s="1"/>
  <c r="BL426" i="4"/>
  <c r="BF325" i="4"/>
  <c r="BF15" i="4" s="1"/>
  <c r="BC426" i="4"/>
  <c r="BD426" i="4"/>
  <c r="BK426" i="4"/>
  <c r="BL53" i="4"/>
  <c r="BC53" i="4"/>
  <c r="BG434" i="4"/>
  <c r="BG435" i="4" s="1"/>
  <c r="BG49" i="4" s="1"/>
  <c r="BG17" i="4"/>
  <c r="BH53" i="4"/>
  <c r="BE193" i="4"/>
  <c r="BE248" i="4" s="1"/>
  <c r="BG325" i="4"/>
  <c r="BG15" i="4" s="1"/>
  <c r="BF290" i="4"/>
  <c r="BH15" i="4"/>
  <c r="BH23" i="4" s="1"/>
  <c r="BH426" i="4"/>
  <c r="BE17" i="4"/>
  <c r="BE23" i="4" s="1"/>
  <c r="BF17" i="4"/>
  <c r="BG290" i="4"/>
  <c r="BI53" i="4"/>
  <c r="BF434" i="4"/>
  <c r="BF435" i="4" s="1"/>
  <c r="BF49" i="4" s="1"/>
  <c r="BE45" i="4"/>
  <c r="BJ15" i="4"/>
  <c r="BJ23" i="4" s="1"/>
  <c r="BJ426" i="4"/>
  <c r="BI426" i="4"/>
  <c r="BJ53" i="4"/>
  <c r="BL499" i="4"/>
  <c r="BL30" i="4"/>
  <c r="BK499" i="4"/>
  <c r="BK30" i="4"/>
  <c r="BG193" i="4"/>
  <c r="BG248" i="4" s="1"/>
  <c r="BG43" i="4"/>
  <c r="BG45" i="4" s="1"/>
  <c r="BE426" i="4"/>
  <c r="BF193" i="4"/>
  <c r="BF248" i="4" s="1"/>
  <c r="BF43" i="4"/>
  <c r="BG23" i="4" l="1"/>
  <c r="BF23" i="4"/>
  <c r="BG426" i="4"/>
  <c r="BF426" i="4"/>
  <c r="BG53" i="4"/>
  <c r="BE53" i="4"/>
  <c r="BF45" i="4"/>
  <c r="BF53" i="4" s="1"/>
  <c r="BK503" i="4"/>
  <c r="BK33" i="4"/>
  <c r="BK37" i="4" s="1"/>
  <c r="BK39" i="4" s="1"/>
  <c r="BK41" i="4" s="1"/>
  <c r="BJ499" i="4"/>
  <c r="BJ30" i="4"/>
  <c r="BL503" i="4"/>
  <c r="BL33" i="4"/>
  <c r="BL37" i="4" s="1"/>
  <c r="BL39" i="4" s="1"/>
  <c r="BL41" i="4" s="1"/>
  <c r="BJ503" i="4" l="1"/>
  <c r="BJ33" i="4"/>
  <c r="BJ37" i="4" s="1"/>
  <c r="BJ39" i="4" s="1"/>
  <c r="BJ41" i="4" s="1"/>
  <c r="AF438" i="4" l="1"/>
  <c r="C438" i="4" s="1"/>
  <c r="AD461" i="4" l="1"/>
  <c r="C461" i="4" s="1"/>
  <c r="AD412" i="4" l="1"/>
  <c r="C412" i="4" s="1"/>
  <c r="AD422" i="4"/>
  <c r="C422" i="4" s="1"/>
  <c r="AD418" i="4"/>
  <c r="C418" i="4" s="1"/>
  <c r="AD416" i="4"/>
  <c r="C416" i="4" s="1"/>
  <c r="AD406" i="4"/>
  <c r="C406" i="4" s="1"/>
  <c r="AD395" i="4"/>
  <c r="C395" i="4" s="1"/>
  <c r="AD393" i="4"/>
  <c r="C393" i="4" s="1"/>
  <c r="AD392" i="4"/>
  <c r="C392" i="4" s="1"/>
  <c r="AD385" i="4"/>
  <c r="C385" i="4" s="1"/>
  <c r="AD384" i="4"/>
  <c r="C384" i="4" s="1"/>
  <c r="AD383" i="4"/>
  <c r="C383" i="4" s="1"/>
  <c r="AD377" i="4"/>
  <c r="C377" i="4" s="1"/>
  <c r="AD376" i="4"/>
  <c r="C376" i="4" s="1"/>
  <c r="AD375" i="4"/>
  <c r="C375" i="4" s="1"/>
  <c r="AD374" i="4"/>
  <c r="C374" i="4" s="1"/>
  <c r="AD373" i="4"/>
  <c r="C373" i="4" s="1"/>
  <c r="AD370" i="4"/>
  <c r="C370" i="4" s="1"/>
  <c r="AD368" i="4"/>
  <c r="C368" i="4" s="1"/>
  <c r="AD363" i="4"/>
  <c r="C363" i="4" s="1"/>
  <c r="AD362" i="4"/>
  <c r="C362" i="4" s="1"/>
  <c r="AD361" i="4"/>
  <c r="C361" i="4" s="1"/>
  <c r="AD360" i="4"/>
  <c r="C360" i="4" s="1"/>
  <c r="AD359" i="4"/>
  <c r="C359" i="4" s="1"/>
  <c r="AD358" i="4"/>
  <c r="C358" i="4" s="1"/>
  <c r="AD355" i="4"/>
  <c r="C355" i="4" s="1"/>
  <c r="AD345" i="4"/>
  <c r="C345" i="4" s="1"/>
  <c r="AD338" i="4"/>
  <c r="AD331" i="4"/>
  <c r="C331" i="4" s="1"/>
  <c r="F344" i="1" s="1"/>
  <c r="AD328" i="4"/>
  <c r="C328" i="4" s="1"/>
  <c r="AD312" i="4"/>
  <c r="C312" i="4" s="1"/>
  <c r="AD311" i="4"/>
  <c r="C311" i="4" s="1"/>
  <c r="AD310" i="4"/>
  <c r="C310" i="4" s="1"/>
  <c r="AD309" i="4"/>
  <c r="C309" i="4" s="1"/>
  <c r="AD303" i="4"/>
  <c r="C303" i="4" s="1"/>
  <c r="AD302" i="4"/>
  <c r="C302" i="4" s="1"/>
  <c r="AD299" i="4"/>
  <c r="C299" i="4" s="1"/>
  <c r="AD295" i="4"/>
  <c r="C295" i="4" s="1"/>
  <c r="AD294" i="4"/>
  <c r="C294" i="4" s="1"/>
  <c r="AD369" i="4"/>
  <c r="C369" i="4" s="1"/>
  <c r="O38" i="14" l="1"/>
  <c r="H38" i="14"/>
  <c r="O36" i="14"/>
  <c r="L36" i="14"/>
  <c r="J36" i="14"/>
  <c r="H36" i="14"/>
  <c r="K338" i="4" l="1"/>
  <c r="C338" i="4" s="1"/>
  <c r="C334" i="4" l="1"/>
  <c r="C280" i="4"/>
  <c r="D251" i="4" l="1"/>
  <c r="C251" i="4" s="1"/>
  <c r="AY500" i="4" l="1"/>
  <c r="AX500" i="4"/>
  <c r="AX34" i="4" s="1"/>
  <c r="AW500" i="4"/>
  <c r="AW34" i="4" s="1"/>
  <c r="AV500" i="4"/>
  <c r="AV34" i="4" s="1"/>
  <c r="AU500" i="4"/>
  <c r="AT500" i="4"/>
  <c r="AS500" i="4"/>
  <c r="AS34" i="4" s="1"/>
  <c r="AY494" i="4"/>
  <c r="AY29" i="4" s="1"/>
  <c r="AX494" i="4"/>
  <c r="AX29" i="4" s="1"/>
  <c r="AW494" i="4"/>
  <c r="AV494" i="4"/>
  <c r="AV29" i="4" s="1"/>
  <c r="AU494" i="4"/>
  <c r="AU29" i="4" s="1"/>
  <c r="AT494" i="4"/>
  <c r="AT29" i="4" s="1"/>
  <c r="AS494" i="4"/>
  <c r="AS29" i="4" s="1"/>
  <c r="AY464" i="4"/>
  <c r="AY476" i="4" s="1"/>
  <c r="AY26" i="4" s="1"/>
  <c r="AX464" i="4"/>
  <c r="AX476" i="4" s="1"/>
  <c r="AX26" i="4" s="1"/>
  <c r="AW464" i="4"/>
  <c r="AW476" i="4" s="1"/>
  <c r="AW26" i="4" s="1"/>
  <c r="AV464" i="4"/>
  <c r="AV476" i="4" s="1"/>
  <c r="AV26" i="4" s="1"/>
  <c r="AU464" i="4"/>
  <c r="AU476" i="4" s="1"/>
  <c r="AU26" i="4" s="1"/>
  <c r="AT464" i="4"/>
  <c r="AT476" i="4" s="1"/>
  <c r="AT26" i="4" s="1"/>
  <c r="AS464" i="4"/>
  <c r="AS476" i="4" s="1"/>
  <c r="AS26" i="4" s="1"/>
  <c r="AY455" i="4"/>
  <c r="AX455" i="4"/>
  <c r="AW455" i="4"/>
  <c r="AV455" i="4"/>
  <c r="AU455" i="4"/>
  <c r="AT455" i="4"/>
  <c r="AS455" i="4"/>
  <c r="AY451" i="4"/>
  <c r="AX451" i="4"/>
  <c r="AW451" i="4"/>
  <c r="AV451" i="4"/>
  <c r="AU451" i="4"/>
  <c r="AT451" i="4"/>
  <c r="AS451" i="4"/>
  <c r="AY443" i="4"/>
  <c r="AX443" i="4"/>
  <c r="AW443" i="4"/>
  <c r="AV443" i="4"/>
  <c r="AU443" i="4"/>
  <c r="AT443" i="4"/>
  <c r="AS443" i="4"/>
  <c r="AY420" i="4"/>
  <c r="AY424" i="4" s="1"/>
  <c r="AY433" i="4" s="1"/>
  <c r="AX420" i="4"/>
  <c r="AX424" i="4" s="1"/>
  <c r="AW420" i="4"/>
  <c r="AW424" i="4" s="1"/>
  <c r="AV420" i="4"/>
  <c r="AV424" i="4" s="1"/>
  <c r="AV21" i="4" s="1"/>
  <c r="AU420" i="4"/>
  <c r="AU424" i="4" s="1"/>
  <c r="AU433" i="4" s="1"/>
  <c r="AT420" i="4"/>
  <c r="AT424" i="4" s="1"/>
  <c r="AS420" i="4"/>
  <c r="AS424" i="4" s="1"/>
  <c r="AY403" i="4"/>
  <c r="AX403" i="4"/>
  <c r="AX19" i="4" s="1"/>
  <c r="AW403" i="4"/>
  <c r="AW19" i="4" s="1"/>
  <c r="AV403" i="4"/>
  <c r="AV19" i="4" s="1"/>
  <c r="AU403" i="4"/>
  <c r="AU19" i="4" s="1"/>
  <c r="AT403" i="4"/>
  <c r="AT19" i="4" s="1"/>
  <c r="AS403" i="4"/>
  <c r="AS19" i="4" s="1"/>
  <c r="AY396" i="4"/>
  <c r="AY20" i="4" s="1"/>
  <c r="AX396" i="4"/>
  <c r="AX20" i="4" s="1"/>
  <c r="AW396" i="4"/>
  <c r="AW20" i="4" s="1"/>
  <c r="AV396" i="4"/>
  <c r="AU396" i="4"/>
  <c r="AU20" i="4" s="1"/>
  <c r="AT396" i="4"/>
  <c r="AT20" i="4" s="1"/>
  <c r="AS396" i="4"/>
  <c r="AS20" i="4" s="1"/>
  <c r="AY389" i="4"/>
  <c r="AY18" i="4" s="1"/>
  <c r="AX389" i="4"/>
  <c r="AW389" i="4"/>
  <c r="AV389" i="4"/>
  <c r="AV18" i="4" s="1"/>
  <c r="AU389" i="4"/>
  <c r="AU18" i="4" s="1"/>
  <c r="AT389" i="4"/>
  <c r="AS389" i="4"/>
  <c r="AY378" i="4"/>
  <c r="AX378" i="4"/>
  <c r="AW378" i="4"/>
  <c r="AV378" i="4"/>
  <c r="AU378" i="4"/>
  <c r="AT378" i="4"/>
  <c r="AS378" i="4"/>
  <c r="AY365" i="4"/>
  <c r="AX365" i="4"/>
  <c r="AW365" i="4"/>
  <c r="AV365" i="4"/>
  <c r="AU365" i="4"/>
  <c r="AT365" i="4"/>
  <c r="AS365" i="4"/>
  <c r="AY350" i="4"/>
  <c r="AX350" i="4"/>
  <c r="AW350" i="4"/>
  <c r="AV350" i="4"/>
  <c r="AU350" i="4"/>
  <c r="AT350" i="4"/>
  <c r="AS350" i="4"/>
  <c r="AY340" i="4"/>
  <c r="AX340" i="4"/>
  <c r="AW340" i="4"/>
  <c r="AV340" i="4"/>
  <c r="AU340" i="4"/>
  <c r="AT340" i="4"/>
  <c r="AS340" i="4"/>
  <c r="AY323" i="4"/>
  <c r="AX323" i="4"/>
  <c r="AW323" i="4"/>
  <c r="AV323" i="4"/>
  <c r="AU323" i="4"/>
  <c r="AT323" i="4"/>
  <c r="AS323" i="4"/>
  <c r="AY314" i="4"/>
  <c r="AX314" i="4"/>
  <c r="AW314" i="4"/>
  <c r="AV314" i="4"/>
  <c r="AU314" i="4"/>
  <c r="AT314" i="4"/>
  <c r="AS314" i="4"/>
  <c r="AY307" i="4"/>
  <c r="AX307" i="4"/>
  <c r="AW307" i="4"/>
  <c r="AV307" i="4"/>
  <c r="AU307" i="4"/>
  <c r="AT307" i="4"/>
  <c r="AS307" i="4"/>
  <c r="AY286" i="4"/>
  <c r="AX286" i="4"/>
  <c r="AW286" i="4"/>
  <c r="AV286" i="4"/>
  <c r="AU286" i="4"/>
  <c r="AT286" i="4"/>
  <c r="AS286" i="4"/>
  <c r="AY274" i="4"/>
  <c r="AX274" i="4"/>
  <c r="AW274" i="4"/>
  <c r="AV274" i="4"/>
  <c r="AU274" i="4"/>
  <c r="AT274" i="4"/>
  <c r="AS274" i="4"/>
  <c r="AY259" i="4"/>
  <c r="AX259" i="4"/>
  <c r="AW259" i="4"/>
  <c r="AW11" i="4" s="1"/>
  <c r="AV259" i="4"/>
  <c r="AV11" i="4" s="1"/>
  <c r="AU259" i="4"/>
  <c r="AT259" i="4"/>
  <c r="AS259" i="4"/>
  <c r="AS11" i="4" s="1"/>
  <c r="AY246" i="4"/>
  <c r="AX246" i="4"/>
  <c r="AW246" i="4"/>
  <c r="AV246" i="4"/>
  <c r="AU246" i="4"/>
  <c r="AT246" i="4"/>
  <c r="AS246" i="4"/>
  <c r="AY236" i="4"/>
  <c r="AX236" i="4"/>
  <c r="AW236" i="4"/>
  <c r="AV236" i="4"/>
  <c r="AU236" i="4"/>
  <c r="AT236" i="4"/>
  <c r="AS236" i="4"/>
  <c r="AY231" i="4"/>
  <c r="AX231" i="4"/>
  <c r="AW231" i="4"/>
  <c r="AV231" i="4"/>
  <c r="AU231" i="4"/>
  <c r="AT231" i="4"/>
  <c r="AS231" i="4"/>
  <c r="AY223" i="4"/>
  <c r="AY46" i="4" s="1"/>
  <c r="AX223" i="4"/>
  <c r="AX46" i="4" s="1"/>
  <c r="AW223" i="4"/>
  <c r="AW46" i="4" s="1"/>
  <c r="AV223" i="4"/>
  <c r="AV46" i="4" s="1"/>
  <c r="AU223" i="4"/>
  <c r="AU46" i="4" s="1"/>
  <c r="AT223" i="4"/>
  <c r="AT46" i="4" s="1"/>
  <c r="AS223" i="4"/>
  <c r="AS46" i="4" s="1"/>
  <c r="AY214" i="4"/>
  <c r="AX214" i="4"/>
  <c r="AW214" i="4"/>
  <c r="AV214" i="4"/>
  <c r="AU214" i="4"/>
  <c r="AT214" i="4"/>
  <c r="AS214" i="4"/>
  <c r="AY210" i="4"/>
  <c r="AX210" i="4"/>
  <c r="AW210" i="4"/>
  <c r="AV210" i="4"/>
  <c r="AU210" i="4"/>
  <c r="AT210" i="4"/>
  <c r="AS210" i="4"/>
  <c r="AY206" i="4"/>
  <c r="AX206" i="4"/>
  <c r="AW206" i="4"/>
  <c r="AV206" i="4"/>
  <c r="AU206" i="4"/>
  <c r="AT206" i="4"/>
  <c r="AS206" i="4"/>
  <c r="AY202" i="4"/>
  <c r="AX202" i="4"/>
  <c r="AW202" i="4"/>
  <c r="AV202" i="4"/>
  <c r="AU202" i="4"/>
  <c r="AT202" i="4"/>
  <c r="AS202" i="4"/>
  <c r="AY198" i="4"/>
  <c r="AX198" i="4"/>
  <c r="AW198" i="4"/>
  <c r="AV198" i="4"/>
  <c r="AU198" i="4"/>
  <c r="AT198" i="4"/>
  <c r="AS198" i="4"/>
  <c r="AY189" i="4"/>
  <c r="AX189" i="4"/>
  <c r="AW189" i="4"/>
  <c r="AV189" i="4"/>
  <c r="AU189" i="4"/>
  <c r="AT189" i="4"/>
  <c r="AS189" i="4"/>
  <c r="AY186" i="4"/>
  <c r="AX186" i="4"/>
  <c r="AW186" i="4"/>
  <c r="AV186" i="4"/>
  <c r="AU186" i="4"/>
  <c r="AT186" i="4"/>
  <c r="AS186" i="4"/>
  <c r="AY178" i="4"/>
  <c r="AX178" i="4"/>
  <c r="AW178" i="4"/>
  <c r="AV178" i="4"/>
  <c r="AU178" i="4"/>
  <c r="AT178" i="4"/>
  <c r="AS178" i="4"/>
  <c r="AY169" i="4"/>
  <c r="AX169" i="4"/>
  <c r="AW169" i="4"/>
  <c r="AV169" i="4"/>
  <c r="AU169" i="4"/>
  <c r="AT169" i="4"/>
  <c r="AS169" i="4"/>
  <c r="AY165" i="4"/>
  <c r="AX165" i="4"/>
  <c r="AW165" i="4"/>
  <c r="AV165" i="4"/>
  <c r="AU165" i="4"/>
  <c r="AT165" i="4"/>
  <c r="AS165" i="4"/>
  <c r="AY157" i="4"/>
  <c r="AX157" i="4"/>
  <c r="AW157" i="4"/>
  <c r="AV157" i="4"/>
  <c r="AU157" i="4"/>
  <c r="AT157" i="4"/>
  <c r="AS157" i="4"/>
  <c r="AY142" i="4"/>
  <c r="AX142" i="4"/>
  <c r="AW142" i="4"/>
  <c r="AV142" i="4"/>
  <c r="AU142" i="4"/>
  <c r="AT142" i="4"/>
  <c r="AS142" i="4"/>
  <c r="AY124" i="4"/>
  <c r="AX124" i="4"/>
  <c r="AW124" i="4"/>
  <c r="AV124" i="4"/>
  <c r="AU124" i="4"/>
  <c r="AT124" i="4"/>
  <c r="AS124" i="4"/>
  <c r="AY110" i="4"/>
  <c r="AX110" i="4"/>
  <c r="AW110" i="4"/>
  <c r="AV110" i="4"/>
  <c r="AU110" i="4"/>
  <c r="AT110" i="4"/>
  <c r="AS110" i="4"/>
  <c r="AY104" i="4"/>
  <c r="AX104" i="4"/>
  <c r="AW104" i="4"/>
  <c r="AV104" i="4"/>
  <c r="AU104" i="4"/>
  <c r="AT104" i="4"/>
  <c r="AS104" i="4"/>
  <c r="AY94" i="4"/>
  <c r="AX94" i="4"/>
  <c r="AW94" i="4"/>
  <c r="AV94" i="4"/>
  <c r="AU94" i="4"/>
  <c r="AT94" i="4"/>
  <c r="AS94" i="4"/>
  <c r="AY83" i="4"/>
  <c r="AX83" i="4"/>
  <c r="AW83" i="4"/>
  <c r="AV83" i="4"/>
  <c r="AU83" i="4"/>
  <c r="AT83" i="4"/>
  <c r="AS83" i="4"/>
  <c r="AY74" i="4"/>
  <c r="AX74" i="4"/>
  <c r="AW74" i="4"/>
  <c r="AV74" i="4"/>
  <c r="AU74" i="4"/>
  <c r="AT74" i="4"/>
  <c r="AS74" i="4"/>
  <c r="AY62" i="4"/>
  <c r="AX62" i="4"/>
  <c r="AW62" i="4"/>
  <c r="AV62" i="4"/>
  <c r="AU62" i="4"/>
  <c r="AT62" i="4"/>
  <c r="AS62" i="4"/>
  <c r="AY52" i="4"/>
  <c r="AX52" i="4"/>
  <c r="AW52" i="4"/>
  <c r="AV52" i="4"/>
  <c r="AU52" i="4"/>
  <c r="AT52" i="4"/>
  <c r="AS52" i="4"/>
  <c r="AY51" i="4"/>
  <c r="AX51" i="4"/>
  <c r="AW51" i="4"/>
  <c r="AV51" i="4"/>
  <c r="AU51" i="4"/>
  <c r="AT51" i="4"/>
  <c r="AS51" i="4"/>
  <c r="AY50" i="4"/>
  <c r="AX50" i="4"/>
  <c r="AW50" i="4"/>
  <c r="AV50" i="4"/>
  <c r="AU50" i="4"/>
  <c r="AT50" i="4"/>
  <c r="AS50" i="4"/>
  <c r="AY48" i="4"/>
  <c r="AX48" i="4"/>
  <c r="AW48" i="4"/>
  <c r="AV48" i="4"/>
  <c r="AU48" i="4"/>
  <c r="AT48" i="4"/>
  <c r="AS48" i="4"/>
  <c r="AY47" i="4"/>
  <c r="AX47" i="4"/>
  <c r="AW47" i="4"/>
  <c r="AV47" i="4"/>
  <c r="AU47" i="4"/>
  <c r="AT47" i="4"/>
  <c r="AS47" i="4"/>
  <c r="AY40" i="4"/>
  <c r="AX40" i="4"/>
  <c r="AW40" i="4"/>
  <c r="AV40" i="4"/>
  <c r="AU40" i="4"/>
  <c r="AT40" i="4"/>
  <c r="AS40" i="4"/>
  <c r="AY36" i="4"/>
  <c r="AX36" i="4"/>
  <c r="AW36" i="4"/>
  <c r="AV36" i="4"/>
  <c r="AU36" i="4"/>
  <c r="AT36" i="4"/>
  <c r="AS36" i="4"/>
  <c r="AY35" i="4"/>
  <c r="AX35" i="4"/>
  <c r="AW35" i="4"/>
  <c r="AV35" i="4"/>
  <c r="AU35" i="4"/>
  <c r="AT35" i="4"/>
  <c r="AS35" i="4"/>
  <c r="AY34" i="4"/>
  <c r="AU34" i="4"/>
  <c r="AT34" i="4"/>
  <c r="AW29" i="4"/>
  <c r="AY28" i="4"/>
  <c r="AX28" i="4"/>
  <c r="AW28" i="4"/>
  <c r="AV28" i="4"/>
  <c r="AU28" i="4"/>
  <c r="AT28" i="4"/>
  <c r="AS28" i="4"/>
  <c r="AY9" i="4"/>
  <c r="AX9" i="4"/>
  <c r="AW9" i="4"/>
  <c r="AV9" i="4"/>
  <c r="AU9" i="4"/>
  <c r="AT9" i="4"/>
  <c r="AS9" i="4"/>
  <c r="AY8" i="4"/>
  <c r="AX8" i="4"/>
  <c r="AW8" i="4"/>
  <c r="AV8" i="4"/>
  <c r="AU8" i="4"/>
  <c r="AT8" i="4"/>
  <c r="AS8" i="4"/>
  <c r="AY7" i="4"/>
  <c r="AX7" i="4"/>
  <c r="AW7" i="4"/>
  <c r="AV7" i="4"/>
  <c r="AU7" i="4"/>
  <c r="AT7" i="4"/>
  <c r="AS7" i="4"/>
  <c r="AT316" i="4" l="1"/>
  <c r="AX316" i="4"/>
  <c r="AW430" i="4"/>
  <c r="AT288" i="4"/>
  <c r="AT10" i="4" s="1"/>
  <c r="AS380" i="4"/>
  <c r="AS431" i="4" s="1"/>
  <c r="AY288" i="4"/>
  <c r="AY10" i="4" s="1"/>
  <c r="AT380" i="4"/>
  <c r="AT431" i="4" s="1"/>
  <c r="AY44" i="4"/>
  <c r="AU288" i="4"/>
  <c r="AU10" i="4" s="1"/>
  <c r="AX380" i="4"/>
  <c r="AX431" i="4" s="1"/>
  <c r="AU106" i="4"/>
  <c r="AU171" i="4" s="1"/>
  <c r="AY106" i="4"/>
  <c r="AY171" i="4" s="1"/>
  <c r="AS106" i="4"/>
  <c r="AS171" i="4" s="1"/>
  <c r="AS43" i="4" s="1"/>
  <c r="AW106" i="4"/>
  <c r="AW171" i="4" s="1"/>
  <c r="AV44" i="4"/>
  <c r="AW191" i="4"/>
  <c r="AS288" i="4"/>
  <c r="AS10" i="4" s="1"/>
  <c r="AS12" i="4" s="1"/>
  <c r="AX288" i="4"/>
  <c r="AX10" i="4" s="1"/>
  <c r="AW380" i="4"/>
  <c r="AW17" i="4" s="1"/>
  <c r="AX191" i="4"/>
  <c r="AU44" i="4"/>
  <c r="AS432" i="4"/>
  <c r="AW432" i="4"/>
  <c r="AY432" i="4"/>
  <c r="AT457" i="4"/>
  <c r="AT25" i="4" s="1"/>
  <c r="AX457" i="4"/>
  <c r="AX25" i="4" s="1"/>
  <c r="AW288" i="4"/>
  <c r="AW10" i="4" s="1"/>
  <c r="AW12" i="4" s="1"/>
  <c r="AY352" i="4"/>
  <c r="AY16" i="4" s="1"/>
  <c r="AY19" i="4"/>
  <c r="AX106" i="4"/>
  <c r="AX171" i="4" s="1"/>
  <c r="AU430" i="4"/>
  <c r="AU352" i="4"/>
  <c r="AU16" i="4" s="1"/>
  <c r="AX325" i="4"/>
  <c r="AX15" i="4" s="1"/>
  <c r="AU380" i="4"/>
  <c r="AU431" i="4" s="1"/>
  <c r="AT44" i="4"/>
  <c r="AX44" i="4"/>
  <c r="AV216" i="4"/>
  <c r="AU432" i="4"/>
  <c r="AW18" i="4"/>
  <c r="AT106" i="4"/>
  <c r="AT171" i="4" s="1"/>
  <c r="AY430" i="4"/>
  <c r="AY380" i="4"/>
  <c r="AY11" i="4"/>
  <c r="AS18" i="4"/>
  <c r="AU21" i="4"/>
  <c r="AU11" i="4"/>
  <c r="AV191" i="4"/>
  <c r="AS44" i="4"/>
  <c r="AW44" i="4"/>
  <c r="AS216" i="4"/>
  <c r="AW216" i="4"/>
  <c r="AS316" i="4"/>
  <c r="AS325" i="4" s="1"/>
  <c r="AS15" i="4" s="1"/>
  <c r="AW316" i="4"/>
  <c r="AW429" i="4" s="1"/>
  <c r="AX430" i="4"/>
  <c r="AU457" i="4"/>
  <c r="AU25" i="4" s="1"/>
  <c r="AY457" i="4"/>
  <c r="AY25" i="4" s="1"/>
  <c r="AT430" i="4"/>
  <c r="AT429" i="4"/>
  <c r="AX433" i="4"/>
  <c r="AX21" i="4"/>
  <c r="AT325" i="4"/>
  <c r="AT15" i="4" s="1"/>
  <c r="AS352" i="4"/>
  <c r="AS16" i="4" s="1"/>
  <c r="AX352" i="4"/>
  <c r="AX16" i="4" s="1"/>
  <c r="AT433" i="4"/>
  <c r="AV433" i="4"/>
  <c r="AV457" i="4"/>
  <c r="AV25" i="4" s="1"/>
  <c r="AT11" i="4"/>
  <c r="AX11" i="4"/>
  <c r="AT21" i="4"/>
  <c r="AU191" i="4"/>
  <c r="AY191" i="4"/>
  <c r="AS191" i="4"/>
  <c r="AT216" i="4"/>
  <c r="AX216" i="4"/>
  <c r="AV288" i="4"/>
  <c r="AV10" i="4" s="1"/>
  <c r="AV12" i="4" s="1"/>
  <c r="AU316" i="4"/>
  <c r="AU429" i="4" s="1"/>
  <c r="AY316" i="4"/>
  <c r="AX429" i="4"/>
  <c r="AV380" i="4"/>
  <c r="AT432" i="4"/>
  <c r="AT18" i="4"/>
  <c r="AX432" i="4"/>
  <c r="AX18" i="4"/>
  <c r="AS21" i="4"/>
  <c r="AS433" i="4"/>
  <c r="AW21" i="4"/>
  <c r="AW433" i="4"/>
  <c r="AS457" i="4"/>
  <c r="AS25" i="4" s="1"/>
  <c r="AW457" i="4"/>
  <c r="AW25" i="4" s="1"/>
  <c r="AV430" i="4"/>
  <c r="AV352" i="4"/>
  <c r="AV16" i="4" s="1"/>
  <c r="AY21" i="4"/>
  <c r="AW352" i="4"/>
  <c r="AW16" i="4" s="1"/>
  <c r="AV106" i="4"/>
  <c r="AV171" i="4" s="1"/>
  <c r="AT191" i="4"/>
  <c r="AU216" i="4"/>
  <c r="AY216" i="4"/>
  <c r="AV316" i="4"/>
  <c r="AT352" i="4"/>
  <c r="AT16" i="4" s="1"/>
  <c r="AV20" i="4"/>
  <c r="AV432" i="4"/>
  <c r="AS430" i="4"/>
  <c r="Q36" i="14"/>
  <c r="Q35" i="14"/>
  <c r="B13" i="14"/>
  <c r="D13" i="14"/>
  <c r="E13" i="14"/>
  <c r="F13" i="14"/>
  <c r="G13" i="14" s="1"/>
  <c r="H13" i="14" s="1"/>
  <c r="J13" i="14" s="1"/>
  <c r="L13" i="14" s="1"/>
  <c r="M13" i="14" s="1"/>
  <c r="N13" i="14" s="1"/>
  <c r="O13" i="14" s="1"/>
  <c r="Q13" i="14" s="1"/>
  <c r="L16" i="14"/>
  <c r="M16" i="14"/>
  <c r="Q16" i="14"/>
  <c r="L17" i="14"/>
  <c r="M17" i="14" s="1"/>
  <c r="Q17" i="14"/>
  <c r="L18" i="14"/>
  <c r="M18" i="14" s="1"/>
  <c r="Q18" i="14"/>
  <c r="L19" i="14"/>
  <c r="M19" i="14"/>
  <c r="Q19" i="14"/>
  <c r="L20" i="14"/>
  <c r="M20" i="14" s="1"/>
  <c r="Q20" i="14"/>
  <c r="L21" i="14"/>
  <c r="M21" i="14" s="1"/>
  <c r="Q21" i="14"/>
  <c r="L22" i="14"/>
  <c r="M22" i="14"/>
  <c r="Q22" i="14"/>
  <c r="L23" i="14"/>
  <c r="M23" i="14" s="1"/>
  <c r="Q23" i="14"/>
  <c r="L24" i="14"/>
  <c r="M24" i="14" s="1"/>
  <c r="Q24" i="14"/>
  <c r="L25" i="14"/>
  <c r="M25" i="14" s="1"/>
  <c r="Q25" i="14"/>
  <c r="H27" i="14"/>
  <c r="J27" i="14"/>
  <c r="O27" i="14"/>
  <c r="L30" i="14"/>
  <c r="M30" i="14" s="1"/>
  <c r="Q30" i="14"/>
  <c r="Q31" i="14" s="1"/>
  <c r="Q38" i="14" s="1"/>
  <c r="S38" i="14" s="1"/>
  <c r="H31" i="14"/>
  <c r="J31" i="14"/>
  <c r="O31" i="14"/>
  <c r="L34" i="14"/>
  <c r="M34" i="14" s="1"/>
  <c r="L35" i="14"/>
  <c r="M35" i="14"/>
  <c r="AT12" i="4" l="1"/>
  <c r="AU434" i="4"/>
  <c r="AU435" i="4" s="1"/>
  <c r="AU49" i="4" s="1"/>
  <c r="AW431" i="4"/>
  <c r="AW434" i="4" s="1"/>
  <c r="AW435" i="4" s="1"/>
  <c r="AW49" i="4" s="1"/>
  <c r="AY12" i="4"/>
  <c r="AX17" i="4"/>
  <c r="AT17" i="4"/>
  <c r="AT23" i="4" s="1"/>
  <c r="AU17" i="4"/>
  <c r="AS17" i="4"/>
  <c r="AS23" i="4" s="1"/>
  <c r="AY290" i="4"/>
  <c r="AS290" i="4"/>
  <c r="AT290" i="4"/>
  <c r="AW290" i="4"/>
  <c r="AV290" i="4"/>
  <c r="AU12" i="4"/>
  <c r="AS193" i="4"/>
  <c r="AS248" i="4" s="1"/>
  <c r="AU290" i="4"/>
  <c r="AW43" i="4"/>
  <c r="AW45" i="4" s="1"/>
  <c r="AW193" i="4"/>
  <c r="AW248" i="4" s="1"/>
  <c r="AX290" i="4"/>
  <c r="AW325" i="4"/>
  <c r="AW15" i="4" s="1"/>
  <c r="AW23" i="4" s="1"/>
  <c r="AX23" i="4"/>
  <c r="AX193" i="4"/>
  <c r="AX248" i="4" s="1"/>
  <c r="AX12" i="4"/>
  <c r="AS45" i="4"/>
  <c r="AX43" i="4"/>
  <c r="AX45" i="4" s="1"/>
  <c r="AT434" i="4"/>
  <c r="AT435" i="4" s="1"/>
  <c r="AT49" i="4" s="1"/>
  <c r="AY431" i="4"/>
  <c r="AY17" i="4"/>
  <c r="AS429" i="4"/>
  <c r="AS434" i="4" s="1"/>
  <c r="AS435" i="4" s="1"/>
  <c r="AS49" i="4" s="1"/>
  <c r="Q27" i="14"/>
  <c r="J38" i="14"/>
  <c r="AV431" i="4"/>
  <c r="AV17" i="4"/>
  <c r="AX434" i="4"/>
  <c r="AX435" i="4" s="1"/>
  <c r="AX49" i="4" s="1"/>
  <c r="AU325" i="4"/>
  <c r="AV193" i="4"/>
  <c r="AV248" i="4" s="1"/>
  <c r="AV43" i="4"/>
  <c r="AV45" i="4" s="1"/>
  <c r="AU193" i="4"/>
  <c r="AU248" i="4" s="1"/>
  <c r="AU43" i="4"/>
  <c r="AU45" i="4" s="1"/>
  <c r="AU53" i="4" s="1"/>
  <c r="AT426" i="4"/>
  <c r="AV325" i="4"/>
  <c r="AV15" i="4" s="1"/>
  <c r="AV429" i="4"/>
  <c r="AS426" i="4"/>
  <c r="AY429" i="4"/>
  <c r="AY325" i="4"/>
  <c r="AY193" i="4"/>
  <c r="AY248" i="4" s="1"/>
  <c r="AY43" i="4"/>
  <c r="AY45" i="4" s="1"/>
  <c r="AX426" i="4"/>
  <c r="AT193" i="4"/>
  <c r="AT248" i="4" s="1"/>
  <c r="AT43" i="4"/>
  <c r="AT45" i="4" s="1"/>
  <c r="L31" i="14"/>
  <c r="L38" i="14" s="1"/>
  <c r="L27" i="14"/>
  <c r="AW426" i="4" l="1"/>
  <c r="AX53" i="4"/>
  <c r="AY434" i="4"/>
  <c r="AY435" i="4" s="1"/>
  <c r="AY49" i="4" s="1"/>
  <c r="AY53" i="4" s="1"/>
  <c r="AS53" i="4"/>
  <c r="AV23" i="4"/>
  <c r="AW53" i="4"/>
  <c r="AT53" i="4"/>
  <c r="AY15" i="4"/>
  <c r="AY23" i="4" s="1"/>
  <c r="AY426" i="4"/>
  <c r="AU15" i="4"/>
  <c r="AU23" i="4" s="1"/>
  <c r="AU426" i="4"/>
  <c r="AV426" i="4"/>
  <c r="AV434" i="4"/>
  <c r="AV435" i="4" s="1"/>
  <c r="AV49" i="4" s="1"/>
  <c r="AV53" i="4" s="1"/>
  <c r="C497" i="1" l="1"/>
  <c r="A497" i="1"/>
  <c r="A498" i="1" s="1"/>
  <c r="Y42" i="7"/>
  <c r="W42" i="7"/>
  <c r="AC17" i="7"/>
  <c r="AA33" i="7"/>
  <c r="AA39" i="7"/>
  <c r="AA37" i="7"/>
  <c r="AA35" i="7"/>
  <c r="AA31" i="7"/>
  <c r="AA29" i="7"/>
  <c r="AA27" i="7"/>
  <c r="AA25" i="7"/>
  <c r="AA23" i="7"/>
  <c r="AA21" i="7"/>
  <c r="AA19" i="7"/>
  <c r="AA17" i="7"/>
  <c r="Y39" i="7"/>
  <c r="Y37" i="7"/>
  <c r="Y35" i="7"/>
  <c r="Y33" i="7"/>
  <c r="Y31" i="7"/>
  <c r="Y29" i="7"/>
  <c r="Y27" i="7"/>
  <c r="Y25" i="7"/>
  <c r="Y23" i="7"/>
  <c r="Y21" i="7"/>
  <c r="Y19" i="7"/>
  <c r="Y17" i="7"/>
  <c r="U42" i="7"/>
  <c r="E406" i="1" l="1"/>
  <c r="E324" i="1"/>
  <c r="E316" i="1"/>
  <c r="E308" i="1"/>
  <c r="E323" i="1" l="1"/>
  <c r="E307" i="1" l="1"/>
  <c r="B32" i="19" l="1"/>
  <c r="F32" i="19"/>
  <c r="E20" i="18"/>
  <c r="C203" i="1" l="1"/>
  <c r="E31" i="5" l="1"/>
  <c r="E53" i="5"/>
  <c r="G36" i="3" l="1"/>
  <c r="E16" i="5" l="1"/>
  <c r="C16" i="5"/>
  <c r="E22" i="5"/>
  <c r="E39" i="5"/>
  <c r="C461" i="1" l="1"/>
  <c r="C239" i="1" l="1"/>
  <c r="C247" i="1"/>
  <c r="C198" i="1" l="1"/>
  <c r="C168" i="1"/>
  <c r="C106" i="1" l="1"/>
  <c r="C453" i="1" l="1"/>
  <c r="A17" i="7" l="1"/>
  <c r="A19" i="7" s="1"/>
  <c r="A21" i="7" s="1"/>
  <c r="A23" i="7" s="1"/>
  <c r="A25" i="7" s="1"/>
  <c r="A27" i="7" s="1"/>
  <c r="A29" i="7" s="1"/>
  <c r="A31" i="7" s="1"/>
  <c r="A33" i="7" s="1"/>
  <c r="A35" i="7" s="1"/>
  <c r="A37" i="7" s="1"/>
  <c r="A39" i="7" s="1"/>
  <c r="I27" i="20" l="1"/>
  <c r="H27" i="20"/>
  <c r="F27" i="20"/>
  <c r="E27" i="20"/>
  <c r="A27" i="20"/>
  <c r="I24" i="20"/>
  <c r="F12" i="19" s="1"/>
  <c r="H24" i="20"/>
  <c r="F24" i="20"/>
  <c r="F15" i="19" s="1"/>
  <c r="E24" i="20"/>
  <c r="A24" i="20"/>
  <c r="A21" i="20"/>
  <c r="A20" i="20"/>
  <c r="A19" i="20"/>
  <c r="A18" i="20"/>
  <c r="A17" i="20"/>
  <c r="A16" i="20"/>
  <c r="A15" i="20"/>
  <c r="A14" i="20"/>
  <c r="A13" i="20"/>
  <c r="A12" i="20"/>
  <c r="A11" i="20"/>
  <c r="A36" i="3"/>
  <c r="L35" i="19"/>
  <c r="L39" i="19" s="1"/>
  <c r="M32" i="19"/>
  <c r="G32" i="19"/>
  <c r="G35" i="19" s="1"/>
  <c r="B33" i="19"/>
  <c r="B34" i="19" s="1"/>
  <c r="B35" i="19" s="1"/>
  <c r="B37" i="19" s="1"/>
  <c r="B39" i="19" s="1"/>
  <c r="B41" i="19" s="1"/>
  <c r="M30" i="19"/>
  <c r="H30" i="19"/>
  <c r="G26" i="19"/>
  <c r="F26" i="19"/>
  <c r="H24" i="19"/>
  <c r="H23" i="19"/>
  <c r="H22" i="19"/>
  <c r="G15" i="19"/>
  <c r="G12" i="19"/>
  <c r="B12" i="19"/>
  <c r="B15" i="19" s="1"/>
  <c r="B22" i="19" s="1"/>
  <c r="B23" i="19" s="1"/>
  <c r="B24" i="19" s="1"/>
  <c r="B26" i="19" s="1"/>
  <c r="B30" i="19" s="1"/>
  <c r="G10" i="19"/>
  <c r="H10" i="19" s="1"/>
  <c r="J10" i="19" s="1"/>
  <c r="D7" i="19"/>
  <c r="F7" i="19" s="1"/>
  <c r="J32" i="18"/>
  <c r="P31" i="18"/>
  <c r="O31" i="18"/>
  <c r="N31" i="18"/>
  <c r="M31" i="18"/>
  <c r="L31" i="18"/>
  <c r="K31" i="18"/>
  <c r="J31" i="18"/>
  <c r="I31" i="18"/>
  <c r="H31" i="18"/>
  <c r="G31" i="18"/>
  <c r="F31" i="18"/>
  <c r="P30" i="18"/>
  <c r="P32" i="18" s="1"/>
  <c r="O30" i="18"/>
  <c r="O32" i="18" s="1"/>
  <c r="N30" i="18"/>
  <c r="N32" i="18" s="1"/>
  <c r="M30" i="18"/>
  <c r="M32" i="18" s="1"/>
  <c r="L30" i="18"/>
  <c r="L32" i="18" s="1"/>
  <c r="L35" i="18" s="1"/>
  <c r="K30" i="18"/>
  <c r="K32" i="18" s="1"/>
  <c r="J30" i="18"/>
  <c r="I30" i="18"/>
  <c r="I32" i="18" s="1"/>
  <c r="H30" i="18"/>
  <c r="H32" i="18" s="1"/>
  <c r="G30" i="18"/>
  <c r="G32" i="18" s="1"/>
  <c r="F30" i="18"/>
  <c r="F32" i="18" s="1"/>
  <c r="E30" i="18"/>
  <c r="E32" i="18" s="1"/>
  <c r="P26" i="18"/>
  <c r="O26" i="18"/>
  <c r="N26" i="18"/>
  <c r="M26" i="18"/>
  <c r="L26" i="18"/>
  <c r="K26" i="18"/>
  <c r="J26" i="18"/>
  <c r="I26" i="18"/>
  <c r="H26" i="18"/>
  <c r="G26" i="18"/>
  <c r="F26" i="18"/>
  <c r="P25" i="18"/>
  <c r="P27" i="18" s="1"/>
  <c r="O25" i="18"/>
  <c r="O27" i="18" s="1"/>
  <c r="N25" i="18"/>
  <c r="N27" i="18" s="1"/>
  <c r="M25" i="18"/>
  <c r="M27" i="18" s="1"/>
  <c r="L25" i="18"/>
  <c r="L27" i="18" s="1"/>
  <c r="K25" i="18"/>
  <c r="K27" i="18" s="1"/>
  <c r="J25" i="18"/>
  <c r="J27" i="18" s="1"/>
  <c r="I25" i="18"/>
  <c r="I27" i="18" s="1"/>
  <c r="H25" i="18"/>
  <c r="H27" i="18" s="1"/>
  <c r="G25" i="18"/>
  <c r="G27" i="18" s="1"/>
  <c r="F25" i="18"/>
  <c r="F27" i="18" s="1"/>
  <c r="E25" i="18"/>
  <c r="E27" i="18" s="1"/>
  <c r="B21" i="18"/>
  <c r="B25" i="18" s="1"/>
  <c r="B26" i="18" s="1"/>
  <c r="B27" i="18" s="1"/>
  <c r="B28" i="18" s="1"/>
  <c r="B30" i="18" s="1"/>
  <c r="B31" i="18" s="1"/>
  <c r="B32" i="18" s="1"/>
  <c r="B33" i="18" s="1"/>
  <c r="B35" i="18" s="1"/>
  <c r="B36" i="18" s="1"/>
  <c r="B38" i="18" s="1"/>
  <c r="B40" i="18" s="1"/>
  <c r="B41" i="18" s="1"/>
  <c r="B43" i="18" s="1"/>
  <c r="P18" i="18"/>
  <c r="P20" i="18" s="1"/>
  <c r="O18" i="18"/>
  <c r="O20" i="18" s="1"/>
  <c r="N18" i="18"/>
  <c r="N20" i="18" s="1"/>
  <c r="M18" i="18"/>
  <c r="M20" i="18" s="1"/>
  <c r="L18" i="18"/>
  <c r="L20" i="18" s="1"/>
  <c r="K18" i="18"/>
  <c r="K20" i="18" s="1"/>
  <c r="J18" i="18"/>
  <c r="J20" i="18" s="1"/>
  <c r="I18" i="18"/>
  <c r="I20" i="18" s="1"/>
  <c r="H18" i="18"/>
  <c r="H20" i="18" s="1"/>
  <c r="G18" i="18"/>
  <c r="G20" i="18" s="1"/>
  <c r="F18" i="18"/>
  <c r="F20" i="18" s="1"/>
  <c r="E18" i="18"/>
  <c r="Q20" i="18" s="1"/>
  <c r="Q21" i="18" s="1"/>
  <c r="Q16" i="18"/>
  <c r="Q14" i="18"/>
  <c r="Q15" i="18" s="1"/>
  <c r="B11" i="18"/>
  <c r="B14" i="18" s="1"/>
  <c r="B15" i="18" s="1"/>
  <c r="B16" i="18" s="1"/>
  <c r="B17" i="18" s="1"/>
  <c r="B18" i="18" s="1"/>
  <c r="S42" i="7"/>
  <c r="Q42" i="7"/>
  <c r="M42" i="7"/>
  <c r="C495" i="1" s="1"/>
  <c r="C40" i="1" s="1"/>
  <c r="K42" i="7"/>
  <c r="I42" i="7"/>
  <c r="G42" i="7"/>
  <c r="E42" i="7"/>
  <c r="C493" i="1" s="1"/>
  <c r="AC39" i="7"/>
  <c r="AC37" i="7"/>
  <c r="AC35" i="7"/>
  <c r="AC33" i="7"/>
  <c r="AC31" i="7"/>
  <c r="AC29" i="7"/>
  <c r="AC27" i="7"/>
  <c r="AC25" i="7"/>
  <c r="AC23" i="7"/>
  <c r="AC21" i="7"/>
  <c r="AC19" i="7"/>
  <c r="AA42" i="7"/>
  <c r="F30" i="6"/>
  <c r="D30" i="6"/>
  <c r="B30" i="6"/>
  <c r="F26" i="6"/>
  <c r="D26" i="6"/>
  <c r="B26" i="6"/>
  <c r="F24" i="6"/>
  <c r="F22" i="6"/>
  <c r="F20" i="6"/>
  <c r="F18" i="6"/>
  <c r="F16" i="6"/>
  <c r="F12" i="6"/>
  <c r="D12" i="6"/>
  <c r="B12" i="6"/>
  <c r="F8" i="6"/>
  <c r="E59" i="5"/>
  <c r="C51" i="5"/>
  <c r="C50" i="5"/>
  <c r="K50" i="5" s="1"/>
  <c r="C49" i="5"/>
  <c r="K49" i="5" s="1"/>
  <c r="C48" i="5"/>
  <c r="K48" i="5" s="1"/>
  <c r="K47" i="5"/>
  <c r="C47" i="5"/>
  <c r="C46" i="5"/>
  <c r="K46" i="5" s="1"/>
  <c r="C45" i="5"/>
  <c r="K45" i="5" s="1"/>
  <c r="C44" i="5"/>
  <c r="K44" i="5" s="1"/>
  <c r="E41" i="5"/>
  <c r="C40" i="5"/>
  <c r="I40" i="5" s="1"/>
  <c r="C39" i="5"/>
  <c r="C38" i="5"/>
  <c r="I38" i="5" s="1"/>
  <c r="M38" i="5" s="1"/>
  <c r="M41" i="5" s="1"/>
  <c r="C37" i="5"/>
  <c r="I37" i="5" s="1"/>
  <c r="K37" i="5" s="1"/>
  <c r="I36" i="5"/>
  <c r="K36" i="5" s="1"/>
  <c r="C36" i="5"/>
  <c r="C34" i="5"/>
  <c r="I34" i="5" s="1"/>
  <c r="K34" i="5" s="1"/>
  <c r="E28" i="5"/>
  <c r="C26" i="5"/>
  <c r="C25" i="5"/>
  <c r="C24" i="5"/>
  <c r="C23" i="5"/>
  <c r="C28" i="5" s="1"/>
  <c r="C22" i="5"/>
  <c r="E18" i="5"/>
  <c r="C15" i="5"/>
  <c r="K15" i="5" s="1"/>
  <c r="C14" i="5"/>
  <c r="C13" i="5"/>
  <c r="C12" i="5"/>
  <c r="C11" i="5"/>
  <c r="C10" i="5"/>
  <c r="C9" i="5"/>
  <c r="AK503" i="4"/>
  <c r="AJ503" i="4"/>
  <c r="AR500" i="4"/>
  <c r="AQ500" i="4"/>
  <c r="AQ34" i="4" s="1"/>
  <c r="BB500" i="4"/>
  <c r="BB34" i="4" s="1"/>
  <c r="BA500" i="4"/>
  <c r="BA34" i="4" s="1"/>
  <c r="AZ500" i="4"/>
  <c r="AZ34" i="4" s="1"/>
  <c r="AN500" i="4"/>
  <c r="AN34" i="4" s="1"/>
  <c r="AL500" i="4"/>
  <c r="AL34" i="4" s="1"/>
  <c r="AI500" i="4"/>
  <c r="AI34" i="4" s="1"/>
  <c r="AH500" i="4"/>
  <c r="AH34" i="4" s="1"/>
  <c r="AG500" i="4"/>
  <c r="AG34" i="4" s="1"/>
  <c r="AF500" i="4"/>
  <c r="AF34" i="4" s="1"/>
  <c r="AE500" i="4"/>
  <c r="AE34" i="4" s="1"/>
  <c r="AD500" i="4"/>
  <c r="AD34" i="4" s="1"/>
  <c r="AC500" i="4"/>
  <c r="AC34" i="4" s="1"/>
  <c r="AB500" i="4"/>
  <c r="AB34" i="4" s="1"/>
  <c r="AA500" i="4"/>
  <c r="AA34" i="4" s="1"/>
  <c r="Z500" i="4"/>
  <c r="Z34" i="4" s="1"/>
  <c r="Y500" i="4"/>
  <c r="Y34" i="4" s="1"/>
  <c r="X500" i="4"/>
  <c r="X34" i="4" s="1"/>
  <c r="W500" i="4"/>
  <c r="W34" i="4" s="1"/>
  <c r="V500" i="4"/>
  <c r="V34" i="4" s="1"/>
  <c r="U500" i="4"/>
  <c r="U34" i="4" s="1"/>
  <c r="S500" i="4"/>
  <c r="S34" i="4" s="1"/>
  <c r="R500" i="4"/>
  <c r="R34" i="4" s="1"/>
  <c r="Q500" i="4"/>
  <c r="Q34" i="4" s="1"/>
  <c r="P500" i="4"/>
  <c r="P34" i="4" s="1"/>
  <c r="O500" i="4"/>
  <c r="O34" i="4" s="1"/>
  <c r="N500" i="4"/>
  <c r="N34" i="4" s="1"/>
  <c r="M500" i="4"/>
  <c r="M34" i="4" s="1"/>
  <c r="L500" i="4"/>
  <c r="L34" i="4" s="1"/>
  <c r="K500" i="4"/>
  <c r="K34" i="4" s="1"/>
  <c r="J500" i="4"/>
  <c r="J34" i="4" s="1"/>
  <c r="I500" i="4"/>
  <c r="I34" i="4" s="1"/>
  <c r="T500" i="4"/>
  <c r="T34" i="4" s="1"/>
  <c r="H500" i="4"/>
  <c r="H34" i="4" s="1"/>
  <c r="G500" i="4"/>
  <c r="G34" i="4" s="1"/>
  <c r="F500" i="4"/>
  <c r="F34" i="4" s="1"/>
  <c r="E500" i="4"/>
  <c r="E34" i="4" s="1"/>
  <c r="D500" i="4"/>
  <c r="D34" i="4" s="1"/>
  <c r="AR494" i="4"/>
  <c r="AR29" i="4" s="1"/>
  <c r="AQ494" i="4"/>
  <c r="AQ29" i="4" s="1"/>
  <c r="BB494" i="4"/>
  <c r="BB29" i="4" s="1"/>
  <c r="BA494" i="4"/>
  <c r="BA29" i="4" s="1"/>
  <c r="AZ494" i="4"/>
  <c r="AZ29" i="4" s="1"/>
  <c r="AO494" i="4"/>
  <c r="AO29" i="4" s="1"/>
  <c r="AN494" i="4"/>
  <c r="AN29" i="4" s="1"/>
  <c r="AM494" i="4"/>
  <c r="AM29" i="4" s="1"/>
  <c r="AL494" i="4"/>
  <c r="AL29" i="4" s="1"/>
  <c r="AK494" i="4"/>
  <c r="AK29" i="4" s="1"/>
  <c r="AJ494" i="4"/>
  <c r="AJ29" i="4" s="1"/>
  <c r="AI494" i="4"/>
  <c r="AI29" i="4" s="1"/>
  <c r="AH494" i="4"/>
  <c r="AH29" i="4" s="1"/>
  <c r="AG494" i="4"/>
  <c r="AG29" i="4" s="1"/>
  <c r="AF494" i="4"/>
  <c r="AF29" i="4" s="1"/>
  <c r="AE494" i="4"/>
  <c r="AE29" i="4" s="1"/>
  <c r="AD494" i="4"/>
  <c r="AD29" i="4" s="1"/>
  <c r="AC494" i="4"/>
  <c r="AC29" i="4" s="1"/>
  <c r="AB494" i="4"/>
  <c r="AB29" i="4" s="1"/>
  <c r="AA494" i="4"/>
  <c r="AA29" i="4" s="1"/>
  <c r="Z494" i="4"/>
  <c r="Z29" i="4" s="1"/>
  <c r="Y494" i="4"/>
  <c r="Y29" i="4" s="1"/>
  <c r="X494" i="4"/>
  <c r="X29" i="4" s="1"/>
  <c r="W494" i="4"/>
  <c r="W29" i="4" s="1"/>
  <c r="V494" i="4"/>
  <c r="V29" i="4" s="1"/>
  <c r="U494" i="4"/>
  <c r="U29" i="4" s="1"/>
  <c r="S494" i="4"/>
  <c r="S29" i="4" s="1"/>
  <c r="R494" i="4"/>
  <c r="R29" i="4" s="1"/>
  <c r="Q494" i="4"/>
  <c r="Q29" i="4" s="1"/>
  <c r="P494" i="4"/>
  <c r="P29" i="4" s="1"/>
  <c r="O494" i="4"/>
  <c r="O29" i="4" s="1"/>
  <c r="N494" i="4"/>
  <c r="N29" i="4" s="1"/>
  <c r="M494" i="4"/>
  <c r="M29" i="4" s="1"/>
  <c r="L494" i="4"/>
  <c r="L29" i="4" s="1"/>
  <c r="K494" i="4"/>
  <c r="K29" i="4" s="1"/>
  <c r="J494" i="4"/>
  <c r="J29" i="4" s="1"/>
  <c r="I494" i="4"/>
  <c r="I29" i="4" s="1"/>
  <c r="T494" i="4"/>
  <c r="T29" i="4" s="1"/>
  <c r="H494" i="4"/>
  <c r="H29" i="4" s="1"/>
  <c r="G494" i="4"/>
  <c r="G29" i="4" s="1"/>
  <c r="F494" i="4"/>
  <c r="F29" i="4" s="1"/>
  <c r="E494" i="4"/>
  <c r="E29" i="4" s="1"/>
  <c r="D494" i="4"/>
  <c r="D29" i="4" s="1"/>
  <c r="F505" i="1"/>
  <c r="C484" i="4"/>
  <c r="F497" i="1"/>
  <c r="F481" i="1"/>
  <c r="AR464" i="4"/>
  <c r="AR476" i="4" s="1"/>
  <c r="AR26" i="4" s="1"/>
  <c r="AQ464" i="4"/>
  <c r="AQ476" i="4" s="1"/>
  <c r="AQ26" i="4" s="1"/>
  <c r="BB464" i="4"/>
  <c r="BB476" i="4" s="1"/>
  <c r="BB26" i="4" s="1"/>
  <c r="BA464" i="4"/>
  <c r="BA476" i="4" s="1"/>
  <c r="BA26" i="4" s="1"/>
  <c r="AZ464" i="4"/>
  <c r="AZ476" i="4" s="1"/>
  <c r="AZ26" i="4" s="1"/>
  <c r="AO464" i="4"/>
  <c r="AO476" i="4" s="1"/>
  <c r="AO26" i="4" s="1"/>
  <c r="AN464" i="4"/>
  <c r="AN476" i="4" s="1"/>
  <c r="AM464" i="4"/>
  <c r="AM476" i="4" s="1"/>
  <c r="AM26" i="4" s="1"/>
  <c r="AL464" i="4"/>
  <c r="AL476" i="4" s="1"/>
  <c r="AL26" i="4" s="1"/>
  <c r="AK464" i="4"/>
  <c r="AK476" i="4" s="1"/>
  <c r="AK26" i="4" s="1"/>
  <c r="AJ464" i="4"/>
  <c r="AJ476" i="4" s="1"/>
  <c r="AJ26" i="4" s="1"/>
  <c r="AI464" i="4"/>
  <c r="AI476" i="4" s="1"/>
  <c r="AI26" i="4" s="1"/>
  <c r="AH464" i="4"/>
  <c r="AH476" i="4" s="1"/>
  <c r="AH26" i="4" s="1"/>
  <c r="AG464" i="4"/>
  <c r="AG476" i="4" s="1"/>
  <c r="AG26" i="4" s="1"/>
  <c r="AF464" i="4"/>
  <c r="AF476" i="4" s="1"/>
  <c r="AF26" i="4" s="1"/>
  <c r="AE464" i="4"/>
  <c r="AE476" i="4" s="1"/>
  <c r="AE26" i="4" s="1"/>
  <c r="AD464" i="4"/>
  <c r="AD476" i="4" s="1"/>
  <c r="AD26" i="4" s="1"/>
  <c r="AC464" i="4"/>
  <c r="AC476" i="4" s="1"/>
  <c r="AB464" i="4"/>
  <c r="AB476" i="4" s="1"/>
  <c r="AB26" i="4" s="1"/>
  <c r="AA464" i="4"/>
  <c r="AA476" i="4" s="1"/>
  <c r="AA26" i="4" s="1"/>
  <c r="Z464" i="4"/>
  <c r="Z476" i="4" s="1"/>
  <c r="Z26" i="4" s="1"/>
  <c r="Y464" i="4"/>
  <c r="Y476" i="4" s="1"/>
  <c r="Y26" i="4" s="1"/>
  <c r="X464" i="4"/>
  <c r="X476" i="4" s="1"/>
  <c r="X26" i="4" s="1"/>
  <c r="W464" i="4"/>
  <c r="W476" i="4" s="1"/>
  <c r="W26" i="4" s="1"/>
  <c r="V464" i="4"/>
  <c r="V476" i="4" s="1"/>
  <c r="V26" i="4" s="1"/>
  <c r="U464" i="4"/>
  <c r="U476" i="4" s="1"/>
  <c r="U26" i="4" s="1"/>
  <c r="S464" i="4"/>
  <c r="S476" i="4" s="1"/>
  <c r="S26" i="4" s="1"/>
  <c r="R464" i="4"/>
  <c r="R476" i="4" s="1"/>
  <c r="R26" i="4" s="1"/>
  <c r="Q464" i="4"/>
  <c r="Q476" i="4" s="1"/>
  <c r="Q26" i="4" s="1"/>
  <c r="P464" i="4"/>
  <c r="P476" i="4" s="1"/>
  <c r="P26" i="4" s="1"/>
  <c r="O464" i="4"/>
  <c r="O476" i="4" s="1"/>
  <c r="O26" i="4" s="1"/>
  <c r="N464" i="4"/>
  <c r="N476" i="4" s="1"/>
  <c r="N26" i="4" s="1"/>
  <c r="M464" i="4"/>
  <c r="M476" i="4" s="1"/>
  <c r="M26" i="4" s="1"/>
  <c r="L464" i="4"/>
  <c r="L476" i="4" s="1"/>
  <c r="L26" i="4" s="1"/>
  <c r="K464" i="4"/>
  <c r="K476" i="4" s="1"/>
  <c r="K26" i="4" s="1"/>
  <c r="J464" i="4"/>
  <c r="J476" i="4" s="1"/>
  <c r="J26" i="4" s="1"/>
  <c r="I464" i="4"/>
  <c r="I476" i="4" s="1"/>
  <c r="I26" i="4" s="1"/>
  <c r="T464" i="4"/>
  <c r="T476" i="4" s="1"/>
  <c r="T26" i="4" s="1"/>
  <c r="H464" i="4"/>
  <c r="H476" i="4" s="1"/>
  <c r="H26" i="4" s="1"/>
  <c r="G464" i="4"/>
  <c r="G476" i="4" s="1"/>
  <c r="G26" i="4" s="1"/>
  <c r="F464" i="4"/>
  <c r="F476" i="4" s="1"/>
  <c r="F26" i="4" s="1"/>
  <c r="E464" i="4"/>
  <c r="E476" i="4" s="1"/>
  <c r="D464" i="4"/>
  <c r="D476" i="4" s="1"/>
  <c r="D26" i="4" s="1"/>
  <c r="F476" i="1"/>
  <c r="AR455" i="4"/>
  <c r="AQ455" i="4"/>
  <c r="BB455" i="4"/>
  <c r="BA455" i="4"/>
  <c r="AZ455" i="4"/>
  <c r="AO455" i="4"/>
  <c r="AN455" i="4"/>
  <c r="AM455" i="4"/>
  <c r="AL455" i="4"/>
  <c r="AK455" i="4"/>
  <c r="AJ455" i="4"/>
  <c r="AI455" i="4"/>
  <c r="AH455" i="4"/>
  <c r="AG455" i="4"/>
  <c r="AF455" i="4"/>
  <c r="AE455" i="4"/>
  <c r="AD455" i="4"/>
  <c r="AC455" i="4"/>
  <c r="AB455" i="4"/>
  <c r="AA455" i="4"/>
  <c r="Z455" i="4"/>
  <c r="Y455" i="4"/>
  <c r="X455" i="4"/>
  <c r="W455" i="4"/>
  <c r="V455" i="4"/>
  <c r="U455" i="4"/>
  <c r="S455" i="4"/>
  <c r="R455" i="4"/>
  <c r="Q455" i="4"/>
  <c r="P455" i="4"/>
  <c r="O455" i="4"/>
  <c r="N455" i="4"/>
  <c r="M455" i="4"/>
  <c r="L455" i="4"/>
  <c r="K455" i="4"/>
  <c r="J455" i="4"/>
  <c r="I455" i="4"/>
  <c r="T455" i="4"/>
  <c r="H455" i="4"/>
  <c r="G455" i="4"/>
  <c r="F455" i="4"/>
  <c r="E455" i="4"/>
  <c r="D455" i="4"/>
  <c r="C455" i="4"/>
  <c r="AR451" i="4"/>
  <c r="AQ451" i="4"/>
  <c r="BB451" i="4"/>
  <c r="BA451" i="4"/>
  <c r="AZ451" i="4"/>
  <c r="AO451" i="4"/>
  <c r="AN451" i="4"/>
  <c r="AM451" i="4"/>
  <c r="AL451" i="4"/>
  <c r="AK451" i="4"/>
  <c r="AJ451" i="4"/>
  <c r="AI451" i="4"/>
  <c r="AH451" i="4"/>
  <c r="AG451" i="4"/>
  <c r="AF451" i="4"/>
  <c r="AE451" i="4"/>
  <c r="AD451" i="4"/>
  <c r="AC451" i="4"/>
  <c r="AB451" i="4"/>
  <c r="AA451" i="4"/>
  <c r="Z451" i="4"/>
  <c r="Y451" i="4"/>
  <c r="X451" i="4"/>
  <c r="W451" i="4"/>
  <c r="V451" i="4"/>
  <c r="U451" i="4"/>
  <c r="S451" i="4"/>
  <c r="R451" i="4"/>
  <c r="Q451" i="4"/>
  <c r="P451" i="4"/>
  <c r="O451" i="4"/>
  <c r="N451" i="4"/>
  <c r="M451" i="4"/>
  <c r="L451" i="4"/>
  <c r="K451" i="4"/>
  <c r="J451" i="4"/>
  <c r="I451" i="4"/>
  <c r="T451" i="4"/>
  <c r="H451" i="4"/>
  <c r="G451" i="4"/>
  <c r="F451" i="4"/>
  <c r="E451" i="4"/>
  <c r="D451" i="4"/>
  <c r="C451" i="4"/>
  <c r="AR443" i="4"/>
  <c r="AQ443" i="4"/>
  <c r="BB443" i="4"/>
  <c r="BA443" i="4"/>
  <c r="AZ443" i="4"/>
  <c r="AO443" i="4"/>
  <c r="AN443" i="4"/>
  <c r="AM443" i="4"/>
  <c r="AL443" i="4"/>
  <c r="AK443" i="4"/>
  <c r="AJ443" i="4"/>
  <c r="AI443" i="4"/>
  <c r="AH443" i="4"/>
  <c r="AG443" i="4"/>
  <c r="AF443" i="4"/>
  <c r="AE443" i="4"/>
  <c r="AD443" i="4"/>
  <c r="AC443" i="4"/>
  <c r="AB443" i="4"/>
  <c r="AA443" i="4"/>
  <c r="Z443" i="4"/>
  <c r="Y443" i="4"/>
  <c r="X443" i="4"/>
  <c r="W443" i="4"/>
  <c r="V443" i="4"/>
  <c r="U443" i="4"/>
  <c r="S443" i="4"/>
  <c r="R443" i="4"/>
  <c r="Q443" i="4"/>
  <c r="P443" i="4"/>
  <c r="O443" i="4"/>
  <c r="N443" i="4"/>
  <c r="M443" i="4"/>
  <c r="L443" i="4"/>
  <c r="K443" i="4"/>
  <c r="J443" i="4"/>
  <c r="I443" i="4"/>
  <c r="T443" i="4"/>
  <c r="H443" i="4"/>
  <c r="G443" i="4"/>
  <c r="F443" i="4"/>
  <c r="E443" i="4"/>
  <c r="D443" i="4"/>
  <c r="F457" i="1"/>
  <c r="F453" i="1"/>
  <c r="L433" i="4"/>
  <c r="F435" i="1"/>
  <c r="AR420" i="4"/>
  <c r="AR424" i="4" s="1"/>
  <c r="AQ420" i="4"/>
  <c r="AQ424" i="4" s="1"/>
  <c r="BB420" i="4"/>
  <c r="BB424" i="4" s="1"/>
  <c r="BB21" i="4" s="1"/>
  <c r="BA420" i="4"/>
  <c r="BA424" i="4" s="1"/>
  <c r="BA21" i="4" s="1"/>
  <c r="AZ420" i="4"/>
  <c r="AZ424" i="4" s="1"/>
  <c r="AZ433" i="4" s="1"/>
  <c r="AO420" i="4"/>
  <c r="AO424" i="4" s="1"/>
  <c r="AO21" i="4" s="1"/>
  <c r="AN420" i="4"/>
  <c r="AN424" i="4" s="1"/>
  <c r="AN433" i="4" s="1"/>
  <c r="AM420" i="4"/>
  <c r="AM424" i="4" s="1"/>
  <c r="AM433" i="4" s="1"/>
  <c r="AL420" i="4"/>
  <c r="AL424" i="4" s="1"/>
  <c r="AL21" i="4" s="1"/>
  <c r="AK420" i="4"/>
  <c r="AK424" i="4" s="1"/>
  <c r="AK433" i="4" s="1"/>
  <c r="AJ420" i="4"/>
  <c r="AJ424" i="4" s="1"/>
  <c r="AJ433" i="4" s="1"/>
  <c r="AI420" i="4"/>
  <c r="AI424" i="4" s="1"/>
  <c r="AI433" i="4" s="1"/>
  <c r="AH420" i="4"/>
  <c r="AH424" i="4" s="1"/>
  <c r="AH433" i="4" s="1"/>
  <c r="AG420" i="4"/>
  <c r="AG424" i="4" s="1"/>
  <c r="AG21" i="4" s="1"/>
  <c r="AF420" i="4"/>
  <c r="AF424" i="4" s="1"/>
  <c r="AF433" i="4" s="1"/>
  <c r="AE420" i="4"/>
  <c r="AE424" i="4" s="1"/>
  <c r="AD420" i="4"/>
  <c r="AD424" i="4" s="1"/>
  <c r="AC420" i="4"/>
  <c r="AC424" i="4" s="1"/>
  <c r="AC433" i="4" s="1"/>
  <c r="AB420" i="4"/>
  <c r="AB424" i="4" s="1"/>
  <c r="AA420" i="4"/>
  <c r="AA424" i="4" s="1"/>
  <c r="Z420" i="4"/>
  <c r="Z424" i="4" s="1"/>
  <c r="Z433" i="4" s="1"/>
  <c r="Y420" i="4"/>
  <c r="Y424" i="4" s="1"/>
  <c r="Y21" i="4" s="1"/>
  <c r="X420" i="4"/>
  <c r="X424" i="4" s="1"/>
  <c r="W420" i="4"/>
  <c r="W424" i="4" s="1"/>
  <c r="V420" i="4"/>
  <c r="V424" i="4" s="1"/>
  <c r="V21" i="4" s="1"/>
  <c r="U420" i="4"/>
  <c r="U424" i="4" s="1"/>
  <c r="U433" i="4" s="1"/>
  <c r="S420" i="4"/>
  <c r="S424" i="4" s="1"/>
  <c r="R420" i="4"/>
  <c r="R424" i="4" s="1"/>
  <c r="R21" i="4" s="1"/>
  <c r="Q420" i="4"/>
  <c r="Q424" i="4" s="1"/>
  <c r="Q433" i="4" s="1"/>
  <c r="P420" i="4"/>
  <c r="P424" i="4" s="1"/>
  <c r="O420" i="4"/>
  <c r="O424" i="4" s="1"/>
  <c r="N420" i="4"/>
  <c r="N424" i="4" s="1"/>
  <c r="N21" i="4" s="1"/>
  <c r="M420" i="4"/>
  <c r="M424" i="4" s="1"/>
  <c r="M21" i="4" s="1"/>
  <c r="L420" i="4"/>
  <c r="L424" i="4" s="1"/>
  <c r="L21" i="4" s="1"/>
  <c r="K420" i="4"/>
  <c r="K424" i="4" s="1"/>
  <c r="K433" i="4" s="1"/>
  <c r="J420" i="4"/>
  <c r="J424" i="4" s="1"/>
  <c r="I420" i="4"/>
  <c r="I424" i="4" s="1"/>
  <c r="I433" i="4" s="1"/>
  <c r="T420" i="4"/>
  <c r="T424" i="4" s="1"/>
  <c r="T433" i="4" s="1"/>
  <c r="H420" i="4"/>
  <c r="H424" i="4" s="1"/>
  <c r="H21" i="4" s="1"/>
  <c r="G420" i="4"/>
  <c r="G424" i="4" s="1"/>
  <c r="G21" i="4" s="1"/>
  <c r="F420" i="4"/>
  <c r="F424" i="4" s="1"/>
  <c r="F433" i="4" s="1"/>
  <c r="E420" i="4"/>
  <c r="E424" i="4" s="1"/>
  <c r="E21" i="4" s="1"/>
  <c r="D420" i="4"/>
  <c r="D424" i="4" s="1"/>
  <c r="D21" i="4" s="1"/>
  <c r="F431" i="1"/>
  <c r="F425" i="1"/>
  <c r="F424" i="1"/>
  <c r="F420" i="1"/>
  <c r="F419" i="1"/>
  <c r="AR403" i="4"/>
  <c r="AR19" i="4" s="1"/>
  <c r="AQ403" i="4"/>
  <c r="AQ19" i="4" s="1"/>
  <c r="BB403" i="4"/>
  <c r="BA403" i="4"/>
  <c r="BA19" i="4" s="1"/>
  <c r="AZ403" i="4"/>
  <c r="AZ19" i="4" s="1"/>
  <c r="AO403" i="4"/>
  <c r="AO19" i="4" s="1"/>
  <c r="AN403" i="4"/>
  <c r="AN19" i="4" s="1"/>
  <c r="AM403" i="4"/>
  <c r="AM19" i="4" s="1"/>
  <c r="AL403" i="4"/>
  <c r="AL19" i="4" s="1"/>
  <c r="AK403" i="4"/>
  <c r="AK19" i="4" s="1"/>
  <c r="AJ403" i="4"/>
  <c r="AJ19" i="4" s="1"/>
  <c r="AI403" i="4"/>
  <c r="AI19" i="4" s="1"/>
  <c r="AH403" i="4"/>
  <c r="AH19" i="4" s="1"/>
  <c r="AG403" i="4"/>
  <c r="AG19" i="4" s="1"/>
  <c r="AF403" i="4"/>
  <c r="AF19" i="4" s="1"/>
  <c r="AE403" i="4"/>
  <c r="AE19" i="4" s="1"/>
  <c r="AD403" i="4"/>
  <c r="AD19" i="4" s="1"/>
  <c r="AC403" i="4"/>
  <c r="AC19" i="4" s="1"/>
  <c r="AB403" i="4"/>
  <c r="AB19" i="4" s="1"/>
  <c r="AA403" i="4"/>
  <c r="AA19" i="4" s="1"/>
  <c r="Z403" i="4"/>
  <c r="Z19" i="4" s="1"/>
  <c r="Y403" i="4"/>
  <c r="Y19" i="4" s="1"/>
  <c r="X403" i="4"/>
  <c r="X19" i="4" s="1"/>
  <c r="W403" i="4"/>
  <c r="W19" i="4" s="1"/>
  <c r="V403" i="4"/>
  <c r="V19" i="4" s="1"/>
  <c r="U403" i="4"/>
  <c r="U19" i="4" s="1"/>
  <c r="S403" i="4"/>
  <c r="S19" i="4" s="1"/>
  <c r="R403" i="4"/>
  <c r="R19" i="4" s="1"/>
  <c r="Q403" i="4"/>
  <c r="Q19" i="4" s="1"/>
  <c r="P403" i="4"/>
  <c r="P19" i="4" s="1"/>
  <c r="O403" i="4"/>
  <c r="O19" i="4" s="1"/>
  <c r="N403" i="4"/>
  <c r="M403" i="4"/>
  <c r="M19" i="4" s="1"/>
  <c r="L403" i="4"/>
  <c r="L19" i="4" s="1"/>
  <c r="K403" i="4"/>
  <c r="K19" i="4" s="1"/>
  <c r="J403" i="4"/>
  <c r="I403" i="4"/>
  <c r="I19" i="4" s="1"/>
  <c r="T403" i="4"/>
  <c r="T19" i="4" s="1"/>
  <c r="H403" i="4"/>
  <c r="H19" i="4" s="1"/>
  <c r="G403" i="4"/>
  <c r="G19" i="4" s="1"/>
  <c r="F403" i="4"/>
  <c r="F19" i="4" s="1"/>
  <c r="E403" i="4"/>
  <c r="E19" i="4" s="1"/>
  <c r="D403" i="4"/>
  <c r="C403" i="4"/>
  <c r="AR396" i="4"/>
  <c r="AR20" i="4" s="1"/>
  <c r="AQ396" i="4"/>
  <c r="AQ20" i="4" s="1"/>
  <c r="BB396" i="4"/>
  <c r="BB20" i="4" s="1"/>
  <c r="BA396" i="4"/>
  <c r="AZ396" i="4"/>
  <c r="AZ20" i="4" s="1"/>
  <c r="AO396" i="4"/>
  <c r="AO20" i="4" s="1"/>
  <c r="AN396" i="4"/>
  <c r="AN20" i="4" s="1"/>
  <c r="AM396" i="4"/>
  <c r="AM20" i="4" s="1"/>
  <c r="AL396" i="4"/>
  <c r="AL20" i="4" s="1"/>
  <c r="AK396" i="4"/>
  <c r="AK20" i="4" s="1"/>
  <c r="AJ396" i="4"/>
  <c r="AJ20" i="4" s="1"/>
  <c r="AI396" i="4"/>
  <c r="AI20" i="4" s="1"/>
  <c r="AH396" i="4"/>
  <c r="AH20" i="4" s="1"/>
  <c r="AG396" i="4"/>
  <c r="AG20" i="4" s="1"/>
  <c r="AF396" i="4"/>
  <c r="AF20" i="4" s="1"/>
  <c r="AE396" i="4"/>
  <c r="AD396" i="4"/>
  <c r="AD20" i="4" s="1"/>
  <c r="AC396" i="4"/>
  <c r="AC20" i="4" s="1"/>
  <c r="AB396" i="4"/>
  <c r="AB20" i="4" s="1"/>
  <c r="AA396" i="4"/>
  <c r="AA20" i="4" s="1"/>
  <c r="Z396" i="4"/>
  <c r="Z20" i="4" s="1"/>
  <c r="Y396" i="4"/>
  <c r="Y20" i="4" s="1"/>
  <c r="X396" i="4"/>
  <c r="X20" i="4" s="1"/>
  <c r="W396" i="4"/>
  <c r="W20" i="4" s="1"/>
  <c r="V396" i="4"/>
  <c r="V20" i="4" s="1"/>
  <c r="U396" i="4"/>
  <c r="U20" i="4" s="1"/>
  <c r="S396" i="4"/>
  <c r="S20" i="4" s="1"/>
  <c r="R396" i="4"/>
  <c r="R20" i="4" s="1"/>
  <c r="Q396" i="4"/>
  <c r="Q20" i="4" s="1"/>
  <c r="P396" i="4"/>
  <c r="P20" i="4" s="1"/>
  <c r="O396" i="4"/>
  <c r="O20" i="4" s="1"/>
  <c r="N396" i="4"/>
  <c r="N20" i="4" s="1"/>
  <c r="M396" i="4"/>
  <c r="M20" i="4" s="1"/>
  <c r="L396" i="4"/>
  <c r="L20" i="4" s="1"/>
  <c r="K396" i="4"/>
  <c r="K20" i="4" s="1"/>
  <c r="J396" i="4"/>
  <c r="J20" i="4" s="1"/>
  <c r="I396" i="4"/>
  <c r="I20" i="4" s="1"/>
  <c r="T396" i="4"/>
  <c r="T20" i="4" s="1"/>
  <c r="H396" i="4"/>
  <c r="H20" i="4" s="1"/>
  <c r="G396" i="4"/>
  <c r="G20" i="4" s="1"/>
  <c r="F396" i="4"/>
  <c r="F20" i="4" s="1"/>
  <c r="E396" i="4"/>
  <c r="E20" i="4" s="1"/>
  <c r="D396" i="4"/>
  <c r="D20" i="4" s="1"/>
  <c r="F408" i="1"/>
  <c r="F406" i="1"/>
  <c r="F405" i="1"/>
  <c r="AR389" i="4"/>
  <c r="AR18" i="4" s="1"/>
  <c r="AQ389" i="4"/>
  <c r="AQ18" i="4" s="1"/>
  <c r="BB389" i="4"/>
  <c r="BB18" i="4" s="1"/>
  <c r="BA389" i="4"/>
  <c r="BA18" i="4" s="1"/>
  <c r="AZ389" i="4"/>
  <c r="AO389" i="4"/>
  <c r="AO18" i="4" s="1"/>
  <c r="AN389" i="4"/>
  <c r="AN18" i="4" s="1"/>
  <c r="AM389" i="4"/>
  <c r="AM18" i="4" s="1"/>
  <c r="AL389" i="4"/>
  <c r="AL18" i="4" s="1"/>
  <c r="AK389" i="4"/>
  <c r="AK18" i="4" s="1"/>
  <c r="AJ389" i="4"/>
  <c r="AJ18" i="4" s="1"/>
  <c r="AI389" i="4"/>
  <c r="AI18" i="4" s="1"/>
  <c r="AH389" i="4"/>
  <c r="AH18" i="4" s="1"/>
  <c r="AG389" i="4"/>
  <c r="AG18" i="4" s="1"/>
  <c r="AF389" i="4"/>
  <c r="AF18" i="4" s="1"/>
  <c r="AE389" i="4"/>
  <c r="AE18" i="4" s="1"/>
  <c r="AD389" i="4"/>
  <c r="AD18" i="4" s="1"/>
  <c r="AC389" i="4"/>
  <c r="AC18" i="4" s="1"/>
  <c r="AB389" i="4"/>
  <c r="AB18" i="4" s="1"/>
  <c r="AA389" i="4"/>
  <c r="AA18" i="4" s="1"/>
  <c r="Z389" i="4"/>
  <c r="Z18" i="4" s="1"/>
  <c r="Y389" i="4"/>
  <c r="Y18" i="4" s="1"/>
  <c r="X389" i="4"/>
  <c r="X18" i="4" s="1"/>
  <c r="W389" i="4"/>
  <c r="W18" i="4" s="1"/>
  <c r="V389" i="4"/>
  <c r="V18" i="4" s="1"/>
  <c r="U389" i="4"/>
  <c r="U18" i="4" s="1"/>
  <c r="S389" i="4"/>
  <c r="S18" i="4" s="1"/>
  <c r="R389" i="4"/>
  <c r="R18" i="4" s="1"/>
  <c r="Q389" i="4"/>
  <c r="Q18" i="4" s="1"/>
  <c r="P389" i="4"/>
  <c r="P18" i="4" s="1"/>
  <c r="O389" i="4"/>
  <c r="O18" i="4" s="1"/>
  <c r="N389" i="4"/>
  <c r="M389" i="4"/>
  <c r="M18" i="4" s="1"/>
  <c r="L389" i="4"/>
  <c r="L18" i="4" s="1"/>
  <c r="K389" i="4"/>
  <c r="K18" i="4" s="1"/>
  <c r="J389" i="4"/>
  <c r="J18" i="4" s="1"/>
  <c r="I389" i="4"/>
  <c r="I18" i="4" s="1"/>
  <c r="T389" i="4"/>
  <c r="T18" i="4" s="1"/>
  <c r="H389" i="4"/>
  <c r="H18" i="4" s="1"/>
  <c r="G389" i="4"/>
  <c r="G18" i="4" s="1"/>
  <c r="F389" i="4"/>
  <c r="F18" i="4" s="1"/>
  <c r="E389" i="4"/>
  <c r="E18" i="4" s="1"/>
  <c r="D389" i="4"/>
  <c r="F401" i="1"/>
  <c r="G401" i="1" s="1"/>
  <c r="F397" i="1"/>
  <c r="F396" i="1"/>
  <c r="AR378" i="4"/>
  <c r="AQ378" i="4"/>
  <c r="BB378" i="4"/>
  <c r="BA378" i="4"/>
  <c r="AZ378" i="4"/>
  <c r="AO378" i="4"/>
  <c r="AN378" i="4"/>
  <c r="AM378" i="4"/>
  <c r="AL378" i="4"/>
  <c r="AK378" i="4"/>
  <c r="AJ378" i="4"/>
  <c r="AI378" i="4"/>
  <c r="AH378" i="4"/>
  <c r="AG378" i="4"/>
  <c r="AF378" i="4"/>
  <c r="AE378" i="4"/>
  <c r="AD378" i="4"/>
  <c r="AC378" i="4"/>
  <c r="AB378" i="4"/>
  <c r="AA378" i="4"/>
  <c r="Z378" i="4"/>
  <c r="Y378" i="4"/>
  <c r="X378" i="4"/>
  <c r="W378" i="4"/>
  <c r="V378" i="4"/>
  <c r="U378" i="4"/>
  <c r="S378" i="4"/>
  <c r="R378" i="4"/>
  <c r="Q378" i="4"/>
  <c r="P378" i="4"/>
  <c r="O378" i="4"/>
  <c r="N378" i="4"/>
  <c r="M378" i="4"/>
  <c r="L378" i="4"/>
  <c r="K378" i="4"/>
  <c r="J378" i="4"/>
  <c r="I378" i="4"/>
  <c r="T378" i="4"/>
  <c r="H378" i="4"/>
  <c r="G378" i="4"/>
  <c r="F378" i="4"/>
  <c r="E378" i="4"/>
  <c r="D378" i="4"/>
  <c r="F390" i="1"/>
  <c r="F388" i="1"/>
  <c r="F386" i="1"/>
  <c r="AR365" i="4"/>
  <c r="AQ365" i="4"/>
  <c r="BB365" i="4"/>
  <c r="BA365" i="4"/>
  <c r="AZ365" i="4"/>
  <c r="AO365" i="4"/>
  <c r="AN365" i="4"/>
  <c r="AM365" i="4"/>
  <c r="AL365" i="4"/>
  <c r="AK365" i="4"/>
  <c r="AJ365" i="4"/>
  <c r="AI365" i="4"/>
  <c r="AH365" i="4"/>
  <c r="AG365" i="4"/>
  <c r="AF365" i="4"/>
  <c r="AE365" i="4"/>
  <c r="AD365" i="4"/>
  <c r="AC365" i="4"/>
  <c r="AB365" i="4"/>
  <c r="AA365" i="4"/>
  <c r="Z365" i="4"/>
  <c r="Y365" i="4"/>
  <c r="X365" i="4"/>
  <c r="W365" i="4"/>
  <c r="V365" i="4"/>
  <c r="U365" i="4"/>
  <c r="S365" i="4"/>
  <c r="R365" i="4"/>
  <c r="Q365" i="4"/>
  <c r="P365" i="4"/>
  <c r="O365" i="4"/>
  <c r="N365" i="4"/>
  <c r="M365" i="4"/>
  <c r="L365" i="4"/>
  <c r="K365" i="4"/>
  <c r="J365" i="4"/>
  <c r="I365" i="4"/>
  <c r="T365" i="4"/>
  <c r="H365" i="4"/>
  <c r="G365" i="4"/>
  <c r="F365" i="4"/>
  <c r="E365" i="4"/>
  <c r="D365" i="4"/>
  <c r="F375" i="1"/>
  <c r="F374" i="1"/>
  <c r="F372" i="1"/>
  <c r="F371" i="1"/>
  <c r="F368" i="1"/>
  <c r="AR350" i="4"/>
  <c r="AQ350" i="4"/>
  <c r="BB350" i="4"/>
  <c r="BA350" i="4"/>
  <c r="AZ350" i="4"/>
  <c r="AO350" i="4"/>
  <c r="AN350" i="4"/>
  <c r="AM350" i="4"/>
  <c r="AL350" i="4"/>
  <c r="AK350" i="4"/>
  <c r="AJ350" i="4"/>
  <c r="AI350" i="4"/>
  <c r="AH350" i="4"/>
  <c r="AG350" i="4"/>
  <c r="AF350" i="4"/>
  <c r="AE350" i="4"/>
  <c r="AD350" i="4"/>
  <c r="AC350" i="4"/>
  <c r="AB350" i="4"/>
  <c r="AA350" i="4"/>
  <c r="Z350" i="4"/>
  <c r="Y350" i="4"/>
  <c r="X350" i="4"/>
  <c r="W350" i="4"/>
  <c r="V350" i="4"/>
  <c r="U350" i="4"/>
  <c r="S350" i="4"/>
  <c r="R350" i="4"/>
  <c r="Q350" i="4"/>
  <c r="P350" i="4"/>
  <c r="O350" i="4"/>
  <c r="N350" i="4"/>
  <c r="M350" i="4"/>
  <c r="L350" i="4"/>
  <c r="K350" i="4"/>
  <c r="J350" i="4"/>
  <c r="I350" i="4"/>
  <c r="T350" i="4"/>
  <c r="H350" i="4"/>
  <c r="G350" i="4"/>
  <c r="F350" i="4"/>
  <c r="E350" i="4"/>
  <c r="D350" i="4"/>
  <c r="F362" i="1"/>
  <c r="F359" i="1"/>
  <c r="F358" i="1"/>
  <c r="AR340" i="4"/>
  <c r="AQ340" i="4"/>
  <c r="BB340" i="4"/>
  <c r="BA340" i="4"/>
  <c r="AZ340" i="4"/>
  <c r="AO340" i="4"/>
  <c r="AN340" i="4"/>
  <c r="AM340" i="4"/>
  <c r="AL340" i="4"/>
  <c r="AK340" i="4"/>
  <c r="AJ340" i="4"/>
  <c r="AI340" i="4"/>
  <c r="AI352" i="4" s="1"/>
  <c r="AI16" i="4" s="1"/>
  <c r="AH340" i="4"/>
  <c r="AG340" i="4"/>
  <c r="AF340" i="4"/>
  <c r="AE340" i="4"/>
  <c r="AD340" i="4"/>
  <c r="AC340" i="4"/>
  <c r="AB340" i="4"/>
  <c r="AA340" i="4"/>
  <c r="Z340" i="4"/>
  <c r="Y340" i="4"/>
  <c r="X340" i="4"/>
  <c r="W340" i="4"/>
  <c r="V340" i="4"/>
  <c r="U340" i="4"/>
  <c r="S340" i="4"/>
  <c r="R340" i="4"/>
  <c r="Q340" i="4"/>
  <c r="P340" i="4"/>
  <c r="O340" i="4"/>
  <c r="N340" i="4"/>
  <c r="M340" i="4"/>
  <c r="L340" i="4"/>
  <c r="K340" i="4"/>
  <c r="J340" i="4"/>
  <c r="I340" i="4"/>
  <c r="T340" i="4"/>
  <c r="H340" i="4"/>
  <c r="G340" i="4"/>
  <c r="F340" i="4"/>
  <c r="E340" i="4"/>
  <c r="D340" i="4"/>
  <c r="F350" i="1"/>
  <c r="AR323" i="4"/>
  <c r="AQ323" i="4"/>
  <c r="BB323" i="4"/>
  <c r="BA323" i="4"/>
  <c r="AZ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S323" i="4"/>
  <c r="R323" i="4"/>
  <c r="Q323" i="4"/>
  <c r="P323" i="4"/>
  <c r="O323" i="4"/>
  <c r="N323" i="4"/>
  <c r="M323" i="4"/>
  <c r="L323" i="4"/>
  <c r="K323" i="4"/>
  <c r="J323" i="4"/>
  <c r="I323" i="4"/>
  <c r="T323" i="4"/>
  <c r="H323" i="4"/>
  <c r="G323" i="4"/>
  <c r="F323" i="4"/>
  <c r="E323" i="4"/>
  <c r="D323" i="4"/>
  <c r="F334" i="1"/>
  <c r="AR314" i="4"/>
  <c r="AQ314" i="4"/>
  <c r="BB314" i="4"/>
  <c r="BA314" i="4"/>
  <c r="AZ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S314" i="4"/>
  <c r="R314" i="4"/>
  <c r="Q314" i="4"/>
  <c r="P314" i="4"/>
  <c r="O314" i="4"/>
  <c r="N314" i="4"/>
  <c r="M314" i="4"/>
  <c r="L314" i="4"/>
  <c r="K314" i="4"/>
  <c r="J314" i="4"/>
  <c r="I314" i="4"/>
  <c r="T314" i="4"/>
  <c r="H314" i="4"/>
  <c r="G314" i="4"/>
  <c r="F314" i="4"/>
  <c r="E314" i="4"/>
  <c r="D314" i="4"/>
  <c r="F324" i="1"/>
  <c r="F323" i="1"/>
  <c r="F322" i="1"/>
  <c r="AR307" i="4"/>
  <c r="AQ307" i="4"/>
  <c r="BB307" i="4"/>
  <c r="BA307" i="4"/>
  <c r="AZ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S307" i="4"/>
  <c r="R307" i="4"/>
  <c r="Q307" i="4"/>
  <c r="P307" i="4"/>
  <c r="O307" i="4"/>
  <c r="N307" i="4"/>
  <c r="M307" i="4"/>
  <c r="L307" i="4"/>
  <c r="K307" i="4"/>
  <c r="J307" i="4"/>
  <c r="I307" i="4"/>
  <c r="T307" i="4"/>
  <c r="H307" i="4"/>
  <c r="G307" i="4"/>
  <c r="F307" i="4"/>
  <c r="E307" i="4"/>
  <c r="D307" i="4"/>
  <c r="F316" i="1"/>
  <c r="F315" i="1"/>
  <c r="F312" i="1"/>
  <c r="F311" i="1"/>
  <c r="F308" i="1"/>
  <c r="AR286" i="4"/>
  <c r="AQ286" i="4"/>
  <c r="BB286" i="4"/>
  <c r="BA286" i="4"/>
  <c r="AZ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S286" i="4"/>
  <c r="R286" i="4"/>
  <c r="Q286" i="4"/>
  <c r="P286" i="4"/>
  <c r="O286" i="4"/>
  <c r="N286" i="4"/>
  <c r="M286" i="4"/>
  <c r="L286" i="4"/>
  <c r="K286" i="4"/>
  <c r="J286" i="4"/>
  <c r="I286" i="4"/>
  <c r="T286" i="4"/>
  <c r="H286" i="4"/>
  <c r="G286" i="4"/>
  <c r="F286" i="4"/>
  <c r="E286" i="4"/>
  <c r="D286" i="4"/>
  <c r="F293" i="1"/>
  <c r="G293" i="1" s="1"/>
  <c r="AR274" i="4"/>
  <c r="AQ274" i="4"/>
  <c r="BB274" i="4"/>
  <c r="BA274" i="4"/>
  <c r="AZ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S274" i="4"/>
  <c r="R274" i="4"/>
  <c r="Q274" i="4"/>
  <c r="P274" i="4"/>
  <c r="O274" i="4"/>
  <c r="N274" i="4"/>
  <c r="M274" i="4"/>
  <c r="L274" i="4"/>
  <c r="K274" i="4"/>
  <c r="J274" i="4"/>
  <c r="I274" i="4"/>
  <c r="T274" i="4"/>
  <c r="H274" i="4"/>
  <c r="G274" i="4"/>
  <c r="F274" i="4"/>
  <c r="E274" i="4"/>
  <c r="D274" i="4"/>
  <c r="C274" i="4"/>
  <c r="AR259" i="4"/>
  <c r="AR11" i="4" s="1"/>
  <c r="AQ259" i="4"/>
  <c r="AQ11" i="4" s="1"/>
  <c r="BB259" i="4"/>
  <c r="BB11" i="4" s="1"/>
  <c r="BA259" i="4"/>
  <c r="BA11" i="4" s="1"/>
  <c r="AZ259" i="4"/>
  <c r="AZ11" i="4" s="1"/>
  <c r="AO259" i="4"/>
  <c r="AO11" i="4" s="1"/>
  <c r="AN259" i="4"/>
  <c r="AN11" i="4" s="1"/>
  <c r="AM259" i="4"/>
  <c r="AM11" i="4" s="1"/>
  <c r="AL259" i="4"/>
  <c r="AL11" i="4" s="1"/>
  <c r="AK259" i="4"/>
  <c r="AK11" i="4" s="1"/>
  <c r="AJ259" i="4"/>
  <c r="AJ11" i="4" s="1"/>
  <c r="AI259" i="4"/>
  <c r="AI11" i="4" s="1"/>
  <c r="AH259" i="4"/>
  <c r="AG259" i="4"/>
  <c r="AF259" i="4"/>
  <c r="AF11" i="4" s="1"/>
  <c r="AE259" i="4"/>
  <c r="AE11" i="4" s="1"/>
  <c r="AD259" i="4"/>
  <c r="AD11" i="4" s="1"/>
  <c r="AC259" i="4"/>
  <c r="AC11" i="4" s="1"/>
  <c r="AB259" i="4"/>
  <c r="AA259" i="4"/>
  <c r="AA11" i="4" s="1"/>
  <c r="Z259" i="4"/>
  <c r="Z11" i="4" s="1"/>
  <c r="Y259" i="4"/>
  <c r="Y11" i="4" s="1"/>
  <c r="X259" i="4"/>
  <c r="X11" i="4" s="1"/>
  <c r="W259" i="4"/>
  <c r="W11" i="4" s="1"/>
  <c r="V259" i="4"/>
  <c r="V11" i="4" s="1"/>
  <c r="U259" i="4"/>
  <c r="S259" i="4"/>
  <c r="S11" i="4" s="1"/>
  <c r="R259" i="4"/>
  <c r="R11" i="4" s="1"/>
  <c r="Q259" i="4"/>
  <c r="P259" i="4"/>
  <c r="P11" i="4" s="1"/>
  <c r="O259" i="4"/>
  <c r="O11" i="4" s="1"/>
  <c r="N259" i="4"/>
  <c r="N11" i="4" s="1"/>
  <c r="M259" i="4"/>
  <c r="M11" i="4" s="1"/>
  <c r="L259" i="4"/>
  <c r="L11" i="4" s="1"/>
  <c r="K259" i="4"/>
  <c r="K11" i="4" s="1"/>
  <c r="J259" i="4"/>
  <c r="I259" i="4"/>
  <c r="T259" i="4"/>
  <c r="T11" i="4" s="1"/>
  <c r="H259" i="4"/>
  <c r="G259" i="4"/>
  <c r="G11" i="4" s="1"/>
  <c r="F259" i="4"/>
  <c r="F11" i="4" s="1"/>
  <c r="E259" i="4"/>
  <c r="D259" i="4"/>
  <c r="C259" i="4"/>
  <c r="AR246" i="4"/>
  <c r="AQ246" i="4"/>
  <c r="BB246" i="4"/>
  <c r="BA246" i="4"/>
  <c r="AZ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S246" i="4"/>
  <c r="R246" i="4"/>
  <c r="Q246" i="4"/>
  <c r="P246" i="4"/>
  <c r="O246" i="4"/>
  <c r="N246" i="4"/>
  <c r="M246" i="4"/>
  <c r="L246" i="4"/>
  <c r="K246" i="4"/>
  <c r="J246" i="4"/>
  <c r="I246" i="4"/>
  <c r="T246" i="4"/>
  <c r="H246" i="4"/>
  <c r="G246" i="4"/>
  <c r="F246" i="4"/>
  <c r="E246" i="4"/>
  <c r="D246" i="4"/>
  <c r="F256" i="1"/>
  <c r="AR236" i="4"/>
  <c r="AQ236" i="4"/>
  <c r="BB236" i="4"/>
  <c r="BA236" i="4"/>
  <c r="AZ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S236" i="4"/>
  <c r="R236" i="4"/>
  <c r="Q236" i="4"/>
  <c r="P236" i="4"/>
  <c r="O236" i="4"/>
  <c r="N236" i="4"/>
  <c r="M236" i="4"/>
  <c r="L236" i="4"/>
  <c r="K236" i="4"/>
  <c r="J236" i="4"/>
  <c r="I236" i="4"/>
  <c r="T236" i="4"/>
  <c r="H236" i="4"/>
  <c r="G236" i="4"/>
  <c r="F236" i="4"/>
  <c r="E236" i="4"/>
  <c r="D236" i="4"/>
  <c r="C236" i="4"/>
  <c r="AR231" i="4"/>
  <c r="AQ231" i="4"/>
  <c r="BB231" i="4"/>
  <c r="BA231" i="4"/>
  <c r="AZ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S231" i="4"/>
  <c r="R231" i="4"/>
  <c r="Q231" i="4"/>
  <c r="P231" i="4"/>
  <c r="O231" i="4"/>
  <c r="N231" i="4"/>
  <c r="M231" i="4"/>
  <c r="L231" i="4"/>
  <c r="K231" i="4"/>
  <c r="J231" i="4"/>
  <c r="I231" i="4"/>
  <c r="T231" i="4"/>
  <c r="H231" i="4"/>
  <c r="G231" i="4"/>
  <c r="F231" i="4"/>
  <c r="E231" i="4"/>
  <c r="D231" i="4"/>
  <c r="C231" i="4"/>
  <c r="AR223" i="4"/>
  <c r="AR46" i="4" s="1"/>
  <c r="AQ223" i="4"/>
  <c r="AQ46" i="4" s="1"/>
  <c r="BB223" i="4"/>
  <c r="BB46" i="4" s="1"/>
  <c r="BA223" i="4"/>
  <c r="BA46" i="4" s="1"/>
  <c r="AZ223" i="4"/>
  <c r="AZ46" i="4" s="1"/>
  <c r="AO223" i="4"/>
  <c r="AO46" i="4" s="1"/>
  <c r="AN223" i="4"/>
  <c r="AN46" i="4" s="1"/>
  <c r="AM223" i="4"/>
  <c r="AM46" i="4" s="1"/>
  <c r="AL223" i="4"/>
  <c r="AL46" i="4" s="1"/>
  <c r="AK223" i="4"/>
  <c r="AK46" i="4" s="1"/>
  <c r="AJ223" i="4"/>
  <c r="AJ46" i="4" s="1"/>
  <c r="AI223" i="4"/>
  <c r="AI46" i="4" s="1"/>
  <c r="AH223" i="4"/>
  <c r="AH46" i="4" s="1"/>
  <c r="AG223" i="4"/>
  <c r="AG46" i="4" s="1"/>
  <c r="AF223" i="4"/>
  <c r="AF46" i="4" s="1"/>
  <c r="AE223" i="4"/>
  <c r="AE46" i="4" s="1"/>
  <c r="AD223" i="4"/>
  <c r="AC223" i="4"/>
  <c r="AC46" i="4" s="1"/>
  <c r="AB223" i="4"/>
  <c r="AB46" i="4" s="1"/>
  <c r="AA223" i="4"/>
  <c r="AA46" i="4" s="1"/>
  <c r="Z223" i="4"/>
  <c r="Z46" i="4" s="1"/>
  <c r="Y223" i="4"/>
  <c r="Y46" i="4" s="1"/>
  <c r="X223" i="4"/>
  <c r="X46" i="4" s="1"/>
  <c r="W223" i="4"/>
  <c r="W46" i="4" s="1"/>
  <c r="V223" i="4"/>
  <c r="V46" i="4" s="1"/>
  <c r="U223" i="4"/>
  <c r="U46" i="4" s="1"/>
  <c r="S223" i="4"/>
  <c r="S46" i="4" s="1"/>
  <c r="R223" i="4"/>
  <c r="R46" i="4" s="1"/>
  <c r="Q223" i="4"/>
  <c r="Q46" i="4" s="1"/>
  <c r="P223" i="4"/>
  <c r="P46" i="4" s="1"/>
  <c r="O223" i="4"/>
  <c r="O46" i="4" s="1"/>
  <c r="N223" i="4"/>
  <c r="N46" i="4" s="1"/>
  <c r="M223" i="4"/>
  <c r="M46" i="4" s="1"/>
  <c r="L223" i="4"/>
  <c r="L46" i="4" s="1"/>
  <c r="K223" i="4"/>
  <c r="K46" i="4" s="1"/>
  <c r="J223" i="4"/>
  <c r="J46" i="4" s="1"/>
  <c r="I223" i="4"/>
  <c r="I46" i="4" s="1"/>
  <c r="T223" i="4"/>
  <c r="T46" i="4" s="1"/>
  <c r="H223" i="4"/>
  <c r="H46" i="4" s="1"/>
  <c r="G223" i="4"/>
  <c r="G46" i="4" s="1"/>
  <c r="F223" i="4"/>
  <c r="F46" i="4" s="1"/>
  <c r="E223" i="4"/>
  <c r="E46" i="4" s="1"/>
  <c r="D223" i="4"/>
  <c r="D46" i="4" s="1"/>
  <c r="C223" i="4"/>
  <c r="AR214" i="4"/>
  <c r="AQ214" i="4"/>
  <c r="BB214" i="4"/>
  <c r="BA214" i="4"/>
  <c r="AZ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S214" i="4"/>
  <c r="R214" i="4"/>
  <c r="Q214" i="4"/>
  <c r="P214" i="4"/>
  <c r="O214" i="4"/>
  <c r="N214" i="4"/>
  <c r="M214" i="4"/>
  <c r="L214" i="4"/>
  <c r="K214" i="4"/>
  <c r="J214" i="4"/>
  <c r="I214" i="4"/>
  <c r="T214" i="4"/>
  <c r="H214" i="4"/>
  <c r="G214" i="4"/>
  <c r="F214" i="4"/>
  <c r="E214" i="4"/>
  <c r="D214" i="4"/>
  <c r="C214" i="4"/>
  <c r="AR210" i="4"/>
  <c r="AQ210" i="4"/>
  <c r="BB210" i="4"/>
  <c r="BA210" i="4"/>
  <c r="AZ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S210" i="4"/>
  <c r="R210" i="4"/>
  <c r="Q210" i="4"/>
  <c r="P210" i="4"/>
  <c r="O210" i="4"/>
  <c r="N210" i="4"/>
  <c r="M210" i="4"/>
  <c r="L210" i="4"/>
  <c r="K210" i="4"/>
  <c r="J210" i="4"/>
  <c r="I210" i="4"/>
  <c r="T210" i="4"/>
  <c r="H210" i="4"/>
  <c r="G210" i="4"/>
  <c r="F210" i="4"/>
  <c r="E210" i="4"/>
  <c r="D210" i="4"/>
  <c r="C210" i="4"/>
  <c r="AR206" i="4"/>
  <c r="AQ206" i="4"/>
  <c r="BB206" i="4"/>
  <c r="BA206" i="4"/>
  <c r="AZ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S206" i="4"/>
  <c r="R206" i="4"/>
  <c r="Q206" i="4"/>
  <c r="P206" i="4"/>
  <c r="O206" i="4"/>
  <c r="N206" i="4"/>
  <c r="M206" i="4"/>
  <c r="L206" i="4"/>
  <c r="K206" i="4"/>
  <c r="J206" i="4"/>
  <c r="I206" i="4"/>
  <c r="T206" i="4"/>
  <c r="H206" i="4"/>
  <c r="G206" i="4"/>
  <c r="F206" i="4"/>
  <c r="E206" i="4"/>
  <c r="D206" i="4"/>
  <c r="C206" i="4"/>
  <c r="AR202" i="4"/>
  <c r="AQ202" i="4"/>
  <c r="BB202" i="4"/>
  <c r="BA202" i="4"/>
  <c r="AZ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S202" i="4"/>
  <c r="R202" i="4"/>
  <c r="Q202" i="4"/>
  <c r="P202" i="4"/>
  <c r="O202" i="4"/>
  <c r="N202" i="4"/>
  <c r="M202" i="4"/>
  <c r="L202" i="4"/>
  <c r="K202" i="4"/>
  <c r="J202" i="4"/>
  <c r="I202" i="4"/>
  <c r="T202" i="4"/>
  <c r="H202" i="4"/>
  <c r="G202" i="4"/>
  <c r="F202" i="4"/>
  <c r="E202" i="4"/>
  <c r="D202" i="4"/>
  <c r="C202" i="4"/>
  <c r="AR198" i="4"/>
  <c r="AQ198" i="4"/>
  <c r="BB198" i="4"/>
  <c r="BA198" i="4"/>
  <c r="AZ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S198" i="4"/>
  <c r="R198" i="4"/>
  <c r="Q198" i="4"/>
  <c r="P198" i="4"/>
  <c r="O198" i="4"/>
  <c r="N198" i="4"/>
  <c r="M198" i="4"/>
  <c r="L198" i="4"/>
  <c r="K198" i="4"/>
  <c r="J198" i="4"/>
  <c r="I198" i="4"/>
  <c r="T198" i="4"/>
  <c r="H198" i="4"/>
  <c r="G198" i="4"/>
  <c r="F198" i="4"/>
  <c r="E198" i="4"/>
  <c r="D198" i="4"/>
  <c r="C198" i="4"/>
  <c r="AR189" i="4"/>
  <c r="AQ189" i="4"/>
  <c r="BB189" i="4"/>
  <c r="BA189" i="4"/>
  <c r="AZ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S189" i="4"/>
  <c r="R189" i="4"/>
  <c r="Q189" i="4"/>
  <c r="P189" i="4"/>
  <c r="O189" i="4"/>
  <c r="N189" i="4"/>
  <c r="M189" i="4"/>
  <c r="L189" i="4"/>
  <c r="K189" i="4"/>
  <c r="J189" i="4"/>
  <c r="I189" i="4"/>
  <c r="T189" i="4"/>
  <c r="H189" i="4"/>
  <c r="G189" i="4"/>
  <c r="F189" i="4"/>
  <c r="E189" i="4"/>
  <c r="D189" i="4"/>
  <c r="C189" i="4"/>
  <c r="AR186" i="4"/>
  <c r="AQ186" i="4"/>
  <c r="BB186" i="4"/>
  <c r="BA186" i="4"/>
  <c r="AZ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S186" i="4"/>
  <c r="R186" i="4"/>
  <c r="Q186" i="4"/>
  <c r="P186" i="4"/>
  <c r="O186" i="4"/>
  <c r="N186" i="4"/>
  <c r="M186" i="4"/>
  <c r="L186" i="4"/>
  <c r="K186" i="4"/>
  <c r="J186" i="4"/>
  <c r="I186" i="4"/>
  <c r="T186" i="4"/>
  <c r="H186" i="4"/>
  <c r="G186" i="4"/>
  <c r="F186" i="4"/>
  <c r="E186" i="4"/>
  <c r="D186" i="4"/>
  <c r="C186" i="4"/>
  <c r="AR178" i="4"/>
  <c r="AQ178" i="4"/>
  <c r="BB178" i="4"/>
  <c r="BA178" i="4"/>
  <c r="AZ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S178" i="4"/>
  <c r="R178" i="4"/>
  <c r="Q178" i="4"/>
  <c r="P178" i="4"/>
  <c r="O178" i="4"/>
  <c r="N178" i="4"/>
  <c r="M178" i="4"/>
  <c r="L178" i="4"/>
  <c r="K178" i="4"/>
  <c r="J178" i="4"/>
  <c r="I178" i="4"/>
  <c r="T178" i="4"/>
  <c r="H178" i="4"/>
  <c r="G178" i="4"/>
  <c r="F178" i="4"/>
  <c r="E178" i="4"/>
  <c r="D178" i="4"/>
  <c r="C178" i="4"/>
  <c r="AR169" i="4"/>
  <c r="AQ169" i="4"/>
  <c r="BB169" i="4"/>
  <c r="BA169" i="4"/>
  <c r="AZ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S169" i="4"/>
  <c r="R169" i="4"/>
  <c r="Q169" i="4"/>
  <c r="P169" i="4"/>
  <c r="O169" i="4"/>
  <c r="N169" i="4"/>
  <c r="M169" i="4"/>
  <c r="L169" i="4"/>
  <c r="K169" i="4"/>
  <c r="J169" i="4"/>
  <c r="I169" i="4"/>
  <c r="T169" i="4"/>
  <c r="H169" i="4"/>
  <c r="G169" i="4"/>
  <c r="F169" i="4"/>
  <c r="E169" i="4"/>
  <c r="D169" i="4"/>
  <c r="C169" i="4"/>
  <c r="AR165" i="4"/>
  <c r="AQ165" i="4"/>
  <c r="BB165" i="4"/>
  <c r="BA165" i="4"/>
  <c r="AZ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S165" i="4"/>
  <c r="R165" i="4"/>
  <c r="Q165" i="4"/>
  <c r="P165" i="4"/>
  <c r="O165" i="4"/>
  <c r="N165" i="4"/>
  <c r="M165" i="4"/>
  <c r="L165" i="4"/>
  <c r="K165" i="4"/>
  <c r="J165" i="4"/>
  <c r="I165" i="4"/>
  <c r="T165" i="4"/>
  <c r="H165" i="4"/>
  <c r="G165" i="4"/>
  <c r="F165" i="4"/>
  <c r="E165" i="4"/>
  <c r="D165" i="4"/>
  <c r="C165" i="4"/>
  <c r="AR157" i="4"/>
  <c r="AQ157" i="4"/>
  <c r="BB157" i="4"/>
  <c r="BA157" i="4"/>
  <c r="AZ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S157" i="4"/>
  <c r="R157" i="4"/>
  <c r="Q157" i="4"/>
  <c r="P157" i="4"/>
  <c r="O157" i="4"/>
  <c r="N157" i="4"/>
  <c r="M157" i="4"/>
  <c r="L157" i="4"/>
  <c r="K157" i="4"/>
  <c r="J157" i="4"/>
  <c r="I157" i="4"/>
  <c r="T157" i="4"/>
  <c r="H157" i="4"/>
  <c r="G157" i="4"/>
  <c r="F157" i="4"/>
  <c r="E157" i="4"/>
  <c r="D157" i="4"/>
  <c r="AR142" i="4"/>
  <c r="AQ142" i="4"/>
  <c r="BB142" i="4"/>
  <c r="BA142" i="4"/>
  <c r="AZ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S142" i="4"/>
  <c r="R142" i="4"/>
  <c r="Q142" i="4"/>
  <c r="P142" i="4"/>
  <c r="O142" i="4"/>
  <c r="N142" i="4"/>
  <c r="M142" i="4"/>
  <c r="L142" i="4"/>
  <c r="K142" i="4"/>
  <c r="J142" i="4"/>
  <c r="I142" i="4"/>
  <c r="T142" i="4"/>
  <c r="H142" i="4"/>
  <c r="G142" i="4"/>
  <c r="F142" i="4"/>
  <c r="E142" i="4"/>
  <c r="D142" i="4"/>
  <c r="C142" i="4"/>
  <c r="AR124" i="4"/>
  <c r="AQ124" i="4"/>
  <c r="BB124" i="4"/>
  <c r="BA124" i="4"/>
  <c r="AZ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S124" i="4"/>
  <c r="R124" i="4"/>
  <c r="Q124" i="4"/>
  <c r="P124" i="4"/>
  <c r="O124" i="4"/>
  <c r="N124" i="4"/>
  <c r="M124" i="4"/>
  <c r="L124" i="4"/>
  <c r="K124" i="4"/>
  <c r="J124" i="4"/>
  <c r="I124" i="4"/>
  <c r="T124" i="4"/>
  <c r="H124" i="4"/>
  <c r="G124" i="4"/>
  <c r="F124" i="4"/>
  <c r="E124" i="4"/>
  <c r="D124" i="4"/>
  <c r="F123" i="1"/>
  <c r="F119" i="1"/>
  <c r="F115" i="1"/>
  <c r="AR110" i="4"/>
  <c r="AQ110" i="4"/>
  <c r="BB110" i="4"/>
  <c r="BA110" i="4"/>
  <c r="AZ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S110" i="4"/>
  <c r="R110" i="4"/>
  <c r="Q110" i="4"/>
  <c r="P110" i="4"/>
  <c r="O110" i="4"/>
  <c r="N110" i="4"/>
  <c r="M110" i="4"/>
  <c r="L110" i="4"/>
  <c r="K110" i="4"/>
  <c r="J110" i="4"/>
  <c r="I110" i="4"/>
  <c r="T110" i="4"/>
  <c r="H110" i="4"/>
  <c r="G110" i="4"/>
  <c r="F110" i="4"/>
  <c r="E110" i="4"/>
  <c r="D110" i="4"/>
  <c r="C110" i="4"/>
  <c r="AR104" i="4"/>
  <c r="AQ104" i="4"/>
  <c r="BB104" i="4"/>
  <c r="BA104" i="4"/>
  <c r="AZ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S104" i="4"/>
  <c r="R104" i="4"/>
  <c r="Q104" i="4"/>
  <c r="P104" i="4"/>
  <c r="O104" i="4"/>
  <c r="N104" i="4"/>
  <c r="M104" i="4"/>
  <c r="L104" i="4"/>
  <c r="K104" i="4"/>
  <c r="J104" i="4"/>
  <c r="I104" i="4"/>
  <c r="T104" i="4"/>
  <c r="H104" i="4"/>
  <c r="G104" i="4"/>
  <c r="F104" i="4"/>
  <c r="E104" i="4"/>
  <c r="D104" i="4"/>
  <c r="F101" i="1"/>
  <c r="G101" i="1" s="1"/>
  <c r="AR94" i="4"/>
  <c r="AQ94" i="4"/>
  <c r="BB94" i="4"/>
  <c r="BA94" i="4"/>
  <c r="AZ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S94" i="4"/>
  <c r="R94" i="4"/>
  <c r="Q94" i="4"/>
  <c r="P94" i="4"/>
  <c r="O94" i="4"/>
  <c r="N94" i="4"/>
  <c r="M94" i="4"/>
  <c r="L94" i="4"/>
  <c r="K94" i="4"/>
  <c r="J94" i="4"/>
  <c r="I94" i="4"/>
  <c r="T94" i="4"/>
  <c r="H94" i="4"/>
  <c r="G94" i="4"/>
  <c r="F94" i="4"/>
  <c r="E94" i="4"/>
  <c r="D94" i="4"/>
  <c r="C94" i="4"/>
  <c r="AR83" i="4"/>
  <c r="AQ83" i="4"/>
  <c r="BB83" i="4"/>
  <c r="BA83" i="4"/>
  <c r="AZ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S83" i="4"/>
  <c r="R83" i="4"/>
  <c r="Q83" i="4"/>
  <c r="P83" i="4"/>
  <c r="O83" i="4"/>
  <c r="N83" i="4"/>
  <c r="M83" i="4"/>
  <c r="L83" i="4"/>
  <c r="K83" i="4"/>
  <c r="J83" i="4"/>
  <c r="I83" i="4"/>
  <c r="T83" i="4"/>
  <c r="H83" i="4"/>
  <c r="G83" i="4"/>
  <c r="F83" i="4"/>
  <c r="E83" i="4"/>
  <c r="D83" i="4"/>
  <c r="F80" i="1"/>
  <c r="G80" i="1" s="1"/>
  <c r="AR74" i="4"/>
  <c r="AQ74" i="4"/>
  <c r="BB74" i="4"/>
  <c r="BA74" i="4"/>
  <c r="AZ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S74" i="4"/>
  <c r="R74" i="4"/>
  <c r="Q74" i="4"/>
  <c r="P74" i="4"/>
  <c r="O74" i="4"/>
  <c r="N74" i="4"/>
  <c r="M74" i="4"/>
  <c r="L74" i="4"/>
  <c r="K74" i="4"/>
  <c r="J74" i="4"/>
  <c r="I74" i="4"/>
  <c r="T74" i="4"/>
  <c r="H74" i="4"/>
  <c r="G74" i="4"/>
  <c r="F74" i="4"/>
  <c r="E74" i="4"/>
  <c r="D74" i="4"/>
  <c r="C74" i="4"/>
  <c r="F66" i="1"/>
  <c r="AR62" i="4"/>
  <c r="AQ62" i="4"/>
  <c r="BB62" i="4"/>
  <c r="BA62" i="4"/>
  <c r="AZ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S62" i="4"/>
  <c r="R62" i="4"/>
  <c r="Q62" i="4"/>
  <c r="P62" i="4"/>
  <c r="O62" i="4"/>
  <c r="N62" i="4"/>
  <c r="M62" i="4"/>
  <c r="L62" i="4"/>
  <c r="K62" i="4"/>
  <c r="J62" i="4"/>
  <c r="I62" i="4"/>
  <c r="T62" i="4"/>
  <c r="H62" i="4"/>
  <c r="G62" i="4"/>
  <c r="F62" i="4"/>
  <c r="E62" i="4"/>
  <c r="D62" i="4"/>
  <c r="C62" i="4"/>
  <c r="AR52" i="4"/>
  <c r="AQ52" i="4"/>
  <c r="BB52" i="4"/>
  <c r="BA52" i="4"/>
  <c r="AZ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S52" i="4"/>
  <c r="R52" i="4"/>
  <c r="Q52" i="4"/>
  <c r="P52" i="4"/>
  <c r="O52" i="4"/>
  <c r="N52" i="4"/>
  <c r="M52" i="4"/>
  <c r="L52" i="4"/>
  <c r="K52" i="4"/>
  <c r="J52" i="4"/>
  <c r="I52" i="4"/>
  <c r="T52" i="4"/>
  <c r="H52" i="4"/>
  <c r="G52" i="4"/>
  <c r="F52" i="4"/>
  <c r="E52" i="4"/>
  <c r="D52" i="4"/>
  <c r="AR51" i="4"/>
  <c r="AQ51" i="4"/>
  <c r="BB51" i="4"/>
  <c r="BA51" i="4"/>
  <c r="AZ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S51" i="4"/>
  <c r="R51" i="4"/>
  <c r="Q51" i="4"/>
  <c r="P51" i="4"/>
  <c r="O51" i="4"/>
  <c r="N51" i="4"/>
  <c r="M51" i="4"/>
  <c r="L51" i="4"/>
  <c r="K51" i="4"/>
  <c r="J51" i="4"/>
  <c r="I51" i="4"/>
  <c r="T51" i="4"/>
  <c r="H51" i="4"/>
  <c r="G51" i="4"/>
  <c r="F51" i="4"/>
  <c r="E51" i="4"/>
  <c r="D51" i="4"/>
  <c r="AR50" i="4"/>
  <c r="AQ50" i="4"/>
  <c r="BB50" i="4"/>
  <c r="BA50" i="4"/>
  <c r="AZ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S50" i="4"/>
  <c r="R50" i="4"/>
  <c r="Q50" i="4"/>
  <c r="P50" i="4"/>
  <c r="O50" i="4"/>
  <c r="N50" i="4"/>
  <c r="M50" i="4"/>
  <c r="L50" i="4"/>
  <c r="K50" i="4"/>
  <c r="J50" i="4"/>
  <c r="I50" i="4"/>
  <c r="T50" i="4"/>
  <c r="H50" i="4"/>
  <c r="G50" i="4"/>
  <c r="F50" i="4"/>
  <c r="E50" i="4"/>
  <c r="D50" i="4"/>
  <c r="AR48" i="4"/>
  <c r="AQ48" i="4"/>
  <c r="BB48" i="4"/>
  <c r="BA48" i="4"/>
  <c r="AZ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S48" i="4"/>
  <c r="R48" i="4"/>
  <c r="Q48" i="4"/>
  <c r="P48" i="4"/>
  <c r="O48" i="4"/>
  <c r="N48" i="4"/>
  <c r="M48" i="4"/>
  <c r="L48" i="4"/>
  <c r="K48" i="4"/>
  <c r="J48" i="4"/>
  <c r="I48" i="4"/>
  <c r="T48" i="4"/>
  <c r="H48" i="4"/>
  <c r="G48" i="4"/>
  <c r="F48" i="4"/>
  <c r="E48" i="4"/>
  <c r="D48" i="4"/>
  <c r="AR47" i="4"/>
  <c r="AQ47" i="4"/>
  <c r="BB47" i="4"/>
  <c r="BA47" i="4"/>
  <c r="AZ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S47" i="4"/>
  <c r="R47" i="4"/>
  <c r="Q47" i="4"/>
  <c r="P47" i="4"/>
  <c r="O47" i="4"/>
  <c r="N47" i="4"/>
  <c r="M47" i="4"/>
  <c r="L47" i="4"/>
  <c r="K47" i="4"/>
  <c r="J47" i="4"/>
  <c r="I47" i="4"/>
  <c r="T47" i="4"/>
  <c r="H47" i="4"/>
  <c r="G47" i="4"/>
  <c r="F47" i="4"/>
  <c r="E47" i="4"/>
  <c r="D47" i="4"/>
  <c r="AD46" i="4"/>
  <c r="AR40" i="4"/>
  <c r="AQ40" i="4"/>
  <c r="BB40" i="4"/>
  <c r="BA40" i="4"/>
  <c r="AZ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S40" i="4"/>
  <c r="R40" i="4"/>
  <c r="Q40" i="4"/>
  <c r="P40" i="4"/>
  <c r="O40" i="4"/>
  <c r="N40" i="4"/>
  <c r="M40" i="4"/>
  <c r="L40" i="4"/>
  <c r="K40" i="4"/>
  <c r="J40" i="4"/>
  <c r="I40" i="4"/>
  <c r="T40" i="4"/>
  <c r="H40" i="4"/>
  <c r="G40" i="4"/>
  <c r="F40" i="4"/>
  <c r="E40" i="4"/>
  <c r="D40" i="4"/>
  <c r="AR36" i="4"/>
  <c r="AQ36" i="4"/>
  <c r="BB36" i="4"/>
  <c r="BA36" i="4"/>
  <c r="AZ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S36" i="4"/>
  <c r="R36" i="4"/>
  <c r="Q36" i="4"/>
  <c r="P36" i="4"/>
  <c r="O36" i="4"/>
  <c r="N36" i="4"/>
  <c r="M36" i="4"/>
  <c r="L36" i="4"/>
  <c r="K36" i="4"/>
  <c r="J36" i="4"/>
  <c r="I36" i="4"/>
  <c r="T36" i="4"/>
  <c r="H36" i="4"/>
  <c r="G36" i="4"/>
  <c r="F36" i="4"/>
  <c r="E36" i="4"/>
  <c r="D36" i="4"/>
  <c r="AR35" i="4"/>
  <c r="AQ35" i="4"/>
  <c r="BB35" i="4"/>
  <c r="BA35" i="4"/>
  <c r="AZ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S35" i="4"/>
  <c r="R35" i="4"/>
  <c r="Q35" i="4"/>
  <c r="P35" i="4"/>
  <c r="O35" i="4"/>
  <c r="N35" i="4"/>
  <c r="M35" i="4"/>
  <c r="L35" i="4"/>
  <c r="K35" i="4"/>
  <c r="J35" i="4"/>
  <c r="I35" i="4"/>
  <c r="T35" i="4"/>
  <c r="H35" i="4"/>
  <c r="G35" i="4"/>
  <c r="F35" i="4"/>
  <c r="E35" i="4"/>
  <c r="D35" i="4"/>
  <c r="AR34" i="4"/>
  <c r="AO34" i="4"/>
  <c r="AM34" i="4"/>
  <c r="AK34" i="4"/>
  <c r="AJ34" i="4"/>
  <c r="AK33" i="4"/>
  <c r="AJ33" i="4"/>
  <c r="AR28" i="4"/>
  <c r="AQ28" i="4"/>
  <c r="BB28" i="4"/>
  <c r="BA28" i="4"/>
  <c r="AZ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S28" i="4"/>
  <c r="Q28" i="4"/>
  <c r="P28" i="4"/>
  <c r="O28" i="4"/>
  <c r="N28" i="4"/>
  <c r="M28" i="4"/>
  <c r="L28" i="4"/>
  <c r="K28" i="4"/>
  <c r="J28" i="4"/>
  <c r="I28" i="4"/>
  <c r="T28" i="4"/>
  <c r="H28" i="4"/>
  <c r="G28" i="4"/>
  <c r="F28" i="4"/>
  <c r="E28" i="4"/>
  <c r="D28" i="4"/>
  <c r="AK27" i="4"/>
  <c r="AJ27" i="4"/>
  <c r="AN26" i="4"/>
  <c r="AC26" i="4"/>
  <c r="E26" i="4"/>
  <c r="O21" i="4"/>
  <c r="BA20" i="4"/>
  <c r="BB19" i="4"/>
  <c r="N19" i="4"/>
  <c r="J19" i="4"/>
  <c r="D19" i="4"/>
  <c r="AZ18" i="4"/>
  <c r="N18" i="4"/>
  <c r="E11" i="4"/>
  <c r="AR9" i="4"/>
  <c r="AQ9" i="4"/>
  <c r="BB9" i="4"/>
  <c r="BA9" i="4"/>
  <c r="AZ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S9" i="4"/>
  <c r="R9" i="4"/>
  <c r="Q9" i="4"/>
  <c r="P9" i="4"/>
  <c r="O9" i="4"/>
  <c r="N9" i="4"/>
  <c r="M9" i="4"/>
  <c r="L9" i="4"/>
  <c r="K9" i="4"/>
  <c r="J9" i="4"/>
  <c r="I9" i="4"/>
  <c r="T9" i="4"/>
  <c r="H9" i="4"/>
  <c r="G9" i="4"/>
  <c r="F9" i="4"/>
  <c r="E9" i="4"/>
  <c r="D9" i="4"/>
  <c r="AR8" i="4"/>
  <c r="AQ8" i="4"/>
  <c r="BB8" i="4"/>
  <c r="BA8" i="4"/>
  <c r="AZ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S8" i="4"/>
  <c r="R8" i="4"/>
  <c r="Q8" i="4"/>
  <c r="P8" i="4"/>
  <c r="O8" i="4"/>
  <c r="N8" i="4"/>
  <c r="M8" i="4"/>
  <c r="L8" i="4"/>
  <c r="K8" i="4"/>
  <c r="J8" i="4"/>
  <c r="I8" i="4"/>
  <c r="T8" i="4"/>
  <c r="H8" i="4"/>
  <c r="G8" i="4"/>
  <c r="F8" i="4"/>
  <c r="E8" i="4"/>
  <c r="D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R7" i="4"/>
  <c r="AQ7" i="4"/>
  <c r="BB7" i="4"/>
  <c r="BA7" i="4"/>
  <c r="AZ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S7" i="4"/>
  <c r="R7" i="4"/>
  <c r="Q7" i="4"/>
  <c r="P7" i="4"/>
  <c r="O7" i="4"/>
  <c r="N7" i="4"/>
  <c r="M7" i="4"/>
  <c r="L7" i="4"/>
  <c r="K7" i="4"/>
  <c r="J7" i="4"/>
  <c r="I7" i="4"/>
  <c r="T7" i="4"/>
  <c r="G7" i="4"/>
  <c r="F7" i="4"/>
  <c r="E7" i="4"/>
  <c r="D7" i="4"/>
  <c r="D2" i="4"/>
  <c r="E2" i="4" s="1"/>
  <c r="F2" i="4" s="1"/>
  <c r="G2" i="4" s="1"/>
  <c r="H2" i="4" s="1"/>
  <c r="E519" i="1"/>
  <c r="C519" i="1"/>
  <c r="F518" i="1"/>
  <c r="F36" i="1" s="1"/>
  <c r="G36" i="1" s="1"/>
  <c r="E26" i="8" s="1"/>
  <c r="I26" i="8" s="1"/>
  <c r="D518" i="1"/>
  <c r="F517" i="1"/>
  <c r="G517" i="1" s="1"/>
  <c r="D517" i="1"/>
  <c r="D35" i="1" s="1"/>
  <c r="D516" i="1"/>
  <c r="D515" i="1"/>
  <c r="D514" i="1"/>
  <c r="D27" i="1" s="1"/>
  <c r="C510" i="1"/>
  <c r="C29" i="1" s="1"/>
  <c r="F509" i="1"/>
  <c r="F508" i="1"/>
  <c r="F507" i="1"/>
  <c r="F506" i="1"/>
  <c r="G506" i="1" s="1"/>
  <c r="E506" i="1"/>
  <c r="D506" i="1"/>
  <c r="C506" i="1"/>
  <c r="F504" i="1"/>
  <c r="F503" i="1"/>
  <c r="G503" i="1" s="1"/>
  <c r="D503" i="1"/>
  <c r="F502" i="1"/>
  <c r="D502" i="1"/>
  <c r="E502" i="1" s="1"/>
  <c r="F499" i="1"/>
  <c r="F28" i="1" s="1"/>
  <c r="G28" i="1" s="1"/>
  <c r="E499" i="1"/>
  <c r="F496" i="1"/>
  <c r="C496" i="1"/>
  <c r="F495" i="1"/>
  <c r="F494" i="1"/>
  <c r="C494" i="1"/>
  <c r="F493" i="1"/>
  <c r="C491" i="1"/>
  <c r="F490" i="1"/>
  <c r="C490" i="1"/>
  <c r="F489" i="1"/>
  <c r="F488" i="1"/>
  <c r="E488" i="1"/>
  <c r="C488" i="1"/>
  <c r="F487" i="1"/>
  <c r="G487" i="1" s="1"/>
  <c r="E487" i="1"/>
  <c r="D487" i="1"/>
  <c r="C487" i="1"/>
  <c r="F486" i="1"/>
  <c r="C486" i="1"/>
  <c r="F485" i="1"/>
  <c r="G485" i="1" s="1"/>
  <c r="E485" i="1"/>
  <c r="D485" i="1"/>
  <c r="F484" i="1"/>
  <c r="C484" i="1"/>
  <c r="F483" i="1"/>
  <c r="E483" i="1"/>
  <c r="C483" i="1"/>
  <c r="F482" i="1"/>
  <c r="C481" i="1"/>
  <c r="C479" i="1"/>
  <c r="F478" i="1"/>
  <c r="C478" i="1"/>
  <c r="F477" i="1"/>
  <c r="C477" i="1"/>
  <c r="C476" i="1"/>
  <c r="C470" i="1"/>
  <c r="F469" i="1"/>
  <c r="C469" i="1"/>
  <c r="C466" i="1"/>
  <c r="F465" i="1"/>
  <c r="F464" i="1"/>
  <c r="F463" i="1"/>
  <c r="F462" i="1"/>
  <c r="F461" i="1"/>
  <c r="C458" i="1"/>
  <c r="F456" i="1"/>
  <c r="F455" i="1"/>
  <c r="F454" i="1"/>
  <c r="C450" i="1"/>
  <c r="C449" i="1"/>
  <c r="C448" i="1"/>
  <c r="C447" i="1"/>
  <c r="C446" i="1"/>
  <c r="C445" i="1"/>
  <c r="C444" i="1"/>
  <c r="C437" i="1"/>
  <c r="F436" i="1"/>
  <c r="C435" i="1"/>
  <c r="C433" i="1"/>
  <c r="F432" i="1"/>
  <c r="C432" i="1"/>
  <c r="F430" i="1"/>
  <c r="F429" i="1"/>
  <c r="C429" i="1"/>
  <c r="F428" i="1"/>
  <c r="E428" i="1"/>
  <c r="D428" i="1"/>
  <c r="C428" i="1"/>
  <c r="F427" i="1"/>
  <c r="F426" i="1"/>
  <c r="F423" i="1"/>
  <c r="F422" i="1"/>
  <c r="F421" i="1"/>
  <c r="C421" i="1"/>
  <c r="C419" i="1"/>
  <c r="C416" i="1"/>
  <c r="F415" i="1"/>
  <c r="E415" i="1"/>
  <c r="D415" i="1"/>
  <c r="F414" i="1"/>
  <c r="E414" i="1"/>
  <c r="D414" i="1" s="1"/>
  <c r="C414" i="1"/>
  <c r="F413" i="1"/>
  <c r="G413" i="1" s="1"/>
  <c r="E413" i="1"/>
  <c r="D413" i="1"/>
  <c r="C413" i="1"/>
  <c r="F412" i="1"/>
  <c r="E412" i="1"/>
  <c r="E416" i="1" s="1"/>
  <c r="E19" i="1" s="1"/>
  <c r="C412" i="1"/>
  <c r="C409" i="1"/>
  <c r="E408" i="1"/>
  <c r="C408" i="1"/>
  <c r="F407" i="1"/>
  <c r="E407" i="1"/>
  <c r="D407" i="1" s="1"/>
  <c r="D406" i="1"/>
  <c r="C406" i="1"/>
  <c r="E405" i="1"/>
  <c r="D405" i="1" s="1"/>
  <c r="C405" i="1"/>
  <c r="C402" i="1"/>
  <c r="E401" i="1"/>
  <c r="D401" i="1"/>
  <c r="F400" i="1"/>
  <c r="E400" i="1"/>
  <c r="D400" i="1"/>
  <c r="F399" i="1"/>
  <c r="E399" i="1"/>
  <c r="D399" i="1" s="1"/>
  <c r="F398" i="1"/>
  <c r="G398" i="1" s="1"/>
  <c r="E398" i="1"/>
  <c r="D398" i="1"/>
  <c r="C398" i="1"/>
  <c r="E397" i="1"/>
  <c r="D397" i="1"/>
  <c r="C397" i="1"/>
  <c r="E396" i="1"/>
  <c r="C394" i="1"/>
  <c r="C393" i="1"/>
  <c r="C391" i="1"/>
  <c r="F389" i="1"/>
  <c r="F387" i="1"/>
  <c r="F385" i="1"/>
  <c r="F383" i="1"/>
  <c r="C383" i="1"/>
  <c r="F382" i="1"/>
  <c r="F381" i="1"/>
  <c r="F380" i="1"/>
  <c r="C378" i="1"/>
  <c r="F377" i="1"/>
  <c r="C377" i="1"/>
  <c r="F376" i="1"/>
  <c r="F373" i="1"/>
  <c r="F370" i="1"/>
  <c r="F369" i="1"/>
  <c r="C365" i="1"/>
  <c r="C363" i="1"/>
  <c r="C362" i="1"/>
  <c r="F361" i="1"/>
  <c r="F360" i="1"/>
  <c r="F357" i="1"/>
  <c r="C357" i="1"/>
  <c r="F356" i="1"/>
  <c r="C353" i="1"/>
  <c r="F352" i="1"/>
  <c r="C352" i="1"/>
  <c r="F351" i="1"/>
  <c r="G351" i="1" s="1"/>
  <c r="C351" i="1"/>
  <c r="D350" i="1"/>
  <c r="F349" i="1"/>
  <c r="F348" i="1"/>
  <c r="E348" i="1"/>
  <c r="F347" i="1"/>
  <c r="E347" i="1"/>
  <c r="D347" i="1" s="1"/>
  <c r="F346" i="1"/>
  <c r="F345" i="1"/>
  <c r="C343" i="1"/>
  <c r="F342" i="1"/>
  <c r="C342" i="1"/>
  <c r="F341" i="1"/>
  <c r="C338" i="1"/>
  <c r="C439" i="1" s="1"/>
  <c r="C441" i="1" s="1"/>
  <c r="C336" i="1"/>
  <c r="F335" i="1"/>
  <c r="C335" i="1"/>
  <c r="C333" i="1"/>
  <c r="F332" i="1"/>
  <c r="C332" i="1"/>
  <c r="E332" i="1" s="1"/>
  <c r="C329" i="1"/>
  <c r="C327" i="1"/>
  <c r="F326" i="1"/>
  <c r="F325" i="1"/>
  <c r="C324" i="1"/>
  <c r="C320" i="1"/>
  <c r="F319" i="1"/>
  <c r="C319" i="1"/>
  <c r="F318" i="1"/>
  <c r="F317" i="1"/>
  <c r="C316" i="1"/>
  <c r="F314" i="1"/>
  <c r="F313" i="1"/>
  <c r="C312" i="1"/>
  <c r="E311" i="1"/>
  <c r="F310" i="1"/>
  <c r="C310" i="1"/>
  <c r="F309" i="1"/>
  <c r="C309" i="1"/>
  <c r="C308" i="1"/>
  <c r="C307" i="1"/>
  <c r="C303" i="1"/>
  <c r="C301" i="1"/>
  <c r="C299" i="1"/>
  <c r="F298" i="1"/>
  <c r="F297" i="1"/>
  <c r="F296" i="1"/>
  <c r="G296" i="1" s="1"/>
  <c r="D296" i="1"/>
  <c r="F295" i="1"/>
  <c r="F294" i="1"/>
  <c r="G294" i="1" s="1"/>
  <c r="E294" i="1"/>
  <c r="D294" i="1"/>
  <c r="E293" i="1"/>
  <c r="D293" i="1"/>
  <c r="F292" i="1"/>
  <c r="G292" i="1" s="1"/>
  <c r="D292" i="1"/>
  <c r="F291" i="1"/>
  <c r="G291" i="1" s="1"/>
  <c r="E291" i="1"/>
  <c r="D291" i="1"/>
  <c r="F290" i="1"/>
  <c r="C287" i="1"/>
  <c r="F286" i="1"/>
  <c r="F285" i="1"/>
  <c r="F284" i="1"/>
  <c r="F283" i="1"/>
  <c r="F282" i="1"/>
  <c r="F281" i="1"/>
  <c r="F280" i="1"/>
  <c r="F279" i="1"/>
  <c r="F278" i="1"/>
  <c r="F276" i="1"/>
  <c r="G276" i="1" s="1"/>
  <c r="E276" i="1"/>
  <c r="D276" i="1"/>
  <c r="F275" i="1"/>
  <c r="E275" i="1"/>
  <c r="D275" i="1"/>
  <c r="C272" i="1"/>
  <c r="F271" i="1"/>
  <c r="G271" i="1" s="1"/>
  <c r="D271" i="1"/>
  <c r="F270" i="1"/>
  <c r="C270" i="1"/>
  <c r="F269" i="1"/>
  <c r="D269" i="1"/>
  <c r="E266" i="1"/>
  <c r="D266" i="1"/>
  <c r="F265" i="1"/>
  <c r="G265" i="1" s="1"/>
  <c r="E265" i="1"/>
  <c r="D265" i="1"/>
  <c r="C265" i="1"/>
  <c r="E264" i="1"/>
  <c r="D264" i="1"/>
  <c r="C264" i="1"/>
  <c r="C259" i="1"/>
  <c r="F258" i="1"/>
  <c r="G258" i="1" s="1"/>
  <c r="D258" i="1"/>
  <c r="F257" i="1"/>
  <c r="E257" i="1"/>
  <c r="D257" i="1"/>
  <c r="E256" i="1"/>
  <c r="F255" i="1"/>
  <c r="G255" i="1" s="1"/>
  <c r="D255" i="1"/>
  <c r="F254" i="1"/>
  <c r="G254" i="1" s="1"/>
  <c r="D254" i="1"/>
  <c r="F253" i="1"/>
  <c r="F52" i="1" s="1"/>
  <c r="C249" i="1"/>
  <c r="F248" i="1"/>
  <c r="F247" i="1"/>
  <c r="C244" i="1"/>
  <c r="C48" i="1" s="1"/>
  <c r="F243" i="1"/>
  <c r="F242" i="1"/>
  <c r="F241" i="1"/>
  <c r="F240" i="1"/>
  <c r="F239" i="1"/>
  <c r="C236" i="1"/>
  <c r="F235" i="1"/>
  <c r="F234" i="1"/>
  <c r="F233" i="1"/>
  <c r="F232" i="1"/>
  <c r="D232" i="1"/>
  <c r="C229" i="1"/>
  <c r="C228" i="1"/>
  <c r="C226" i="1"/>
  <c r="C224" i="1"/>
  <c r="F223" i="1"/>
  <c r="F222" i="1"/>
  <c r="C220" i="1"/>
  <c r="F219" i="1"/>
  <c r="F218" i="1"/>
  <c r="C216" i="1"/>
  <c r="F215" i="1"/>
  <c r="F214" i="1"/>
  <c r="C212" i="1"/>
  <c r="F211" i="1"/>
  <c r="F210" i="1"/>
  <c r="G208" i="1"/>
  <c r="F208" i="1"/>
  <c r="E208" i="1"/>
  <c r="D208" i="1"/>
  <c r="C208" i="1"/>
  <c r="D207" i="1"/>
  <c r="D206" i="1"/>
  <c r="G199" i="1"/>
  <c r="E199" i="1"/>
  <c r="C199" i="1"/>
  <c r="C201" i="1" s="1"/>
  <c r="F198" i="1"/>
  <c r="F199" i="1" s="1"/>
  <c r="D198" i="1"/>
  <c r="D199" i="1" s="1"/>
  <c r="C196" i="1"/>
  <c r="F195" i="1"/>
  <c r="F194" i="1"/>
  <c r="D194" i="1"/>
  <c r="F193" i="1"/>
  <c r="D193" i="1"/>
  <c r="F192" i="1"/>
  <c r="F191" i="1"/>
  <c r="C188" i="1"/>
  <c r="F187" i="1"/>
  <c r="C187" i="1"/>
  <c r="F186" i="1"/>
  <c r="C186" i="1"/>
  <c r="F185" i="1"/>
  <c r="C185" i="1"/>
  <c r="F184" i="1"/>
  <c r="C184" i="1"/>
  <c r="C181" i="1"/>
  <c r="C179" i="1"/>
  <c r="C177" i="1"/>
  <c r="D175" i="1"/>
  <c r="C175" i="1"/>
  <c r="C173" i="1"/>
  <c r="G169" i="1"/>
  <c r="F169" i="1"/>
  <c r="E169" i="1"/>
  <c r="C169" i="1"/>
  <c r="G168" i="1"/>
  <c r="D168" i="1"/>
  <c r="D169" i="1" s="1"/>
  <c r="G167" i="1"/>
  <c r="D167" i="1"/>
  <c r="C165" i="1"/>
  <c r="F164" i="1"/>
  <c r="F163" i="1"/>
  <c r="G163" i="1" s="1"/>
  <c r="E163" i="1"/>
  <c r="D163" i="1"/>
  <c r="F162" i="1"/>
  <c r="F161" i="1"/>
  <c r="F160" i="1"/>
  <c r="C157" i="1"/>
  <c r="F156" i="1"/>
  <c r="G156" i="1" s="1"/>
  <c r="D156" i="1"/>
  <c r="F155" i="1"/>
  <c r="F154" i="1"/>
  <c r="F153" i="1"/>
  <c r="F152" i="1"/>
  <c r="F151" i="1"/>
  <c r="F150" i="1"/>
  <c r="F149" i="1"/>
  <c r="F148" i="1"/>
  <c r="F147" i="1"/>
  <c r="F146" i="1"/>
  <c r="C146" i="1"/>
  <c r="F145" i="1"/>
  <c r="C145" i="1"/>
  <c r="D142" i="1"/>
  <c r="C142" i="1"/>
  <c r="F141" i="1"/>
  <c r="G141" i="1" s="1"/>
  <c r="E141" i="1"/>
  <c r="F140" i="1"/>
  <c r="G140" i="1" s="1"/>
  <c r="E140" i="1"/>
  <c r="F139" i="1"/>
  <c r="G139" i="1" s="1"/>
  <c r="E139" i="1"/>
  <c r="F138" i="1"/>
  <c r="G138" i="1" s="1"/>
  <c r="E138" i="1"/>
  <c r="F137" i="1"/>
  <c r="G137" i="1" s="1"/>
  <c r="E137" i="1"/>
  <c r="D137" i="1"/>
  <c r="F136" i="1"/>
  <c r="G136" i="1" s="1"/>
  <c r="E136" i="1"/>
  <c r="F135" i="1"/>
  <c r="G135" i="1" s="1"/>
  <c r="E135" i="1"/>
  <c r="F134" i="1"/>
  <c r="G134" i="1" s="1"/>
  <c r="E134" i="1"/>
  <c r="F133" i="1"/>
  <c r="G133" i="1" s="1"/>
  <c r="E133" i="1"/>
  <c r="F132" i="1"/>
  <c r="G132" i="1" s="1"/>
  <c r="E132" i="1"/>
  <c r="F131" i="1"/>
  <c r="G131" i="1" s="1"/>
  <c r="E131" i="1"/>
  <c r="F130" i="1"/>
  <c r="G130" i="1" s="1"/>
  <c r="E130" i="1"/>
  <c r="F129" i="1"/>
  <c r="G129" i="1" s="1"/>
  <c r="E129" i="1"/>
  <c r="D129" i="1"/>
  <c r="F128" i="1"/>
  <c r="E128" i="1"/>
  <c r="D128" i="1"/>
  <c r="F127" i="1"/>
  <c r="E127" i="1"/>
  <c r="D127" i="1"/>
  <c r="C124" i="1"/>
  <c r="F122" i="1"/>
  <c r="F121" i="1"/>
  <c r="F120" i="1"/>
  <c r="F118" i="1"/>
  <c r="F117" i="1"/>
  <c r="F116" i="1"/>
  <c r="F114" i="1"/>
  <c r="F113" i="1"/>
  <c r="C110" i="1"/>
  <c r="F109" i="1"/>
  <c r="F108" i="1"/>
  <c r="G108" i="1" s="1"/>
  <c r="E104" i="1"/>
  <c r="D104" i="1"/>
  <c r="C104" i="1"/>
  <c r="F103" i="1"/>
  <c r="G103" i="1" s="1"/>
  <c r="F102" i="1"/>
  <c r="G102" i="1" s="1"/>
  <c r="F100" i="1"/>
  <c r="G100" i="1" s="1"/>
  <c r="F99" i="1"/>
  <c r="G99" i="1" s="1"/>
  <c r="F98" i="1"/>
  <c r="G98" i="1" s="1"/>
  <c r="F97" i="1"/>
  <c r="G97" i="1" s="1"/>
  <c r="E94" i="1"/>
  <c r="D94" i="1"/>
  <c r="C94" i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E83" i="1"/>
  <c r="D83" i="1"/>
  <c r="C83" i="1"/>
  <c r="F82" i="1"/>
  <c r="G82" i="1" s="1"/>
  <c r="F81" i="1"/>
  <c r="G81" i="1" s="1"/>
  <c r="F79" i="1"/>
  <c r="G79" i="1" s="1"/>
  <c r="F78" i="1"/>
  <c r="G78" i="1" s="1"/>
  <c r="F77" i="1"/>
  <c r="G77" i="1" s="1"/>
  <c r="C74" i="1"/>
  <c r="F73" i="1"/>
  <c r="G73" i="1" s="1"/>
  <c r="D73" i="1"/>
  <c r="F72" i="1"/>
  <c r="F71" i="1"/>
  <c r="F70" i="1"/>
  <c r="F69" i="1"/>
  <c r="F67" i="1"/>
  <c r="C62" i="1"/>
  <c r="F61" i="1"/>
  <c r="F60" i="1"/>
  <c r="C52" i="1"/>
  <c r="E51" i="1"/>
  <c r="C51" i="1"/>
  <c r="C50" i="1"/>
  <c r="C49" i="1"/>
  <c r="C47" i="1"/>
  <c r="C46" i="1"/>
  <c r="E36" i="1"/>
  <c r="D36" i="1"/>
  <c r="C36" i="1"/>
  <c r="E35" i="1"/>
  <c r="C35" i="1"/>
  <c r="E34" i="1"/>
  <c r="D34" i="1"/>
  <c r="C34" i="1"/>
  <c r="E33" i="1"/>
  <c r="D33" i="1"/>
  <c r="C33" i="1"/>
  <c r="C37" i="1" s="1"/>
  <c r="E28" i="1"/>
  <c r="C28" i="1"/>
  <c r="E27" i="1"/>
  <c r="C27" i="1"/>
  <c r="C26" i="1"/>
  <c r="G22" i="1"/>
  <c r="C21" i="1"/>
  <c r="C20" i="1"/>
  <c r="C19" i="1"/>
  <c r="C18" i="1"/>
  <c r="C17" i="1"/>
  <c r="C16" i="1"/>
  <c r="C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C10" i="1"/>
  <c r="A10" i="1"/>
  <c r="F9" i="1"/>
  <c r="E9" i="1"/>
  <c r="D9" i="1"/>
  <c r="C9" i="1"/>
  <c r="A9" i="1"/>
  <c r="E8" i="1"/>
  <c r="D8" i="1"/>
  <c r="C8" i="1"/>
  <c r="A8" i="1"/>
  <c r="E7" i="1"/>
  <c r="D7" i="1"/>
  <c r="C7" i="1"/>
  <c r="C12" i="1" s="1"/>
  <c r="A38" i="17"/>
  <c r="A36" i="17"/>
  <c r="G28" i="17"/>
  <c r="E28" i="17"/>
  <c r="G26" i="17"/>
  <c r="E26" i="17"/>
  <c r="E30" i="17" s="1"/>
  <c r="I8" i="17"/>
  <c r="G8" i="17"/>
  <c r="E8" i="17"/>
  <c r="C8" i="17"/>
  <c r="A40" i="15"/>
  <c r="A38" i="15"/>
  <c r="A36" i="15"/>
  <c r="F34" i="15"/>
  <c r="F36" i="15" s="1"/>
  <c r="F41" i="15" s="1"/>
  <c r="I13" i="10" s="1"/>
  <c r="A34" i="15"/>
  <c r="A32" i="15"/>
  <c r="A30" i="15"/>
  <c r="A28" i="15"/>
  <c r="A26" i="15"/>
  <c r="A24" i="15"/>
  <c r="A22" i="15"/>
  <c r="A20" i="15"/>
  <c r="A18" i="15"/>
  <c r="A16" i="15"/>
  <c r="A14" i="15"/>
  <c r="A12" i="15"/>
  <c r="F8" i="15"/>
  <c r="D8" i="15"/>
  <c r="C8" i="15"/>
  <c r="Q34" i="14"/>
  <c r="A30" i="14"/>
  <c r="A25" i="14"/>
  <c r="A24" i="14"/>
  <c r="A23" i="14"/>
  <c r="A22" i="14"/>
  <c r="A21" i="14"/>
  <c r="A20" i="14"/>
  <c r="A19" i="14"/>
  <c r="S13" i="14"/>
  <c r="T13" i="14" s="1"/>
  <c r="Y24" i="13"/>
  <c r="W24" i="13"/>
  <c r="U24" i="13"/>
  <c r="M24" i="13"/>
  <c r="K24" i="13"/>
  <c r="Y18" i="13"/>
  <c r="W18" i="13"/>
  <c r="M18" i="13"/>
  <c r="K18" i="13"/>
  <c r="E14" i="13"/>
  <c r="Y12" i="13"/>
  <c r="W12" i="13"/>
  <c r="K12" i="13"/>
  <c r="AB10" i="13"/>
  <c r="AD10" i="13" s="1"/>
  <c r="AF10" i="13" s="1"/>
  <c r="C10" i="13"/>
  <c r="E10" i="13" s="1"/>
  <c r="G10" i="13" s="1"/>
  <c r="I10" i="13" s="1"/>
  <c r="K10" i="13" s="1"/>
  <c r="M10" i="13" s="1"/>
  <c r="W10" i="13" s="1"/>
  <c r="Y10" i="13" s="1"/>
  <c r="A19" i="12"/>
  <c r="F17" i="12"/>
  <c r="F19" i="12" s="1"/>
  <c r="E17" i="12"/>
  <c r="E19" i="12" s="1"/>
  <c r="A17" i="12"/>
  <c r="G15" i="12"/>
  <c r="A15" i="12"/>
  <c r="G13" i="12"/>
  <c r="A13" i="12"/>
  <c r="G11" i="12"/>
  <c r="G9" i="12"/>
  <c r="F9" i="12"/>
  <c r="E9" i="12"/>
  <c r="C9" i="12"/>
  <c r="A25" i="11"/>
  <c r="A23" i="11"/>
  <c r="A21" i="11"/>
  <c r="A19" i="11"/>
  <c r="A16" i="11"/>
  <c r="A14" i="11"/>
  <c r="A12" i="11"/>
  <c r="A11" i="11"/>
  <c r="G7" i="11"/>
  <c r="C7" i="11"/>
  <c r="A20" i="9"/>
  <c r="A18" i="9"/>
  <c r="A16" i="9"/>
  <c r="A14" i="9"/>
  <c r="A12" i="9"/>
  <c r="A10" i="9"/>
  <c r="E6" i="9"/>
  <c r="C6" i="9"/>
  <c r="A47" i="8"/>
  <c r="A44" i="8"/>
  <c r="A41" i="8"/>
  <c r="A40" i="8"/>
  <c r="A38" i="8"/>
  <c r="A37" i="8"/>
  <c r="A34" i="8"/>
  <c r="A32" i="8"/>
  <c r="A31" i="8"/>
  <c r="A28" i="8"/>
  <c r="A26" i="8"/>
  <c r="A25" i="8"/>
  <c r="A24" i="8"/>
  <c r="A21" i="8"/>
  <c r="A20" i="8"/>
  <c r="A19" i="8"/>
  <c r="A18" i="8"/>
  <c r="A15" i="8"/>
  <c r="A13" i="8"/>
  <c r="A12" i="8"/>
  <c r="I8" i="8"/>
  <c r="G8" i="8"/>
  <c r="E8" i="8"/>
  <c r="C8" i="8"/>
  <c r="A18" i="23"/>
  <c r="A14" i="23"/>
  <c r="D8" i="23"/>
  <c r="A329" i="4" l="1"/>
  <c r="A330" i="4" s="1"/>
  <c r="AK44" i="4"/>
  <c r="E37" i="1"/>
  <c r="D37" i="1"/>
  <c r="D519" i="1"/>
  <c r="I28" i="17"/>
  <c r="I32" i="17" s="1"/>
  <c r="E32" i="17"/>
  <c r="E34" i="17" s="1"/>
  <c r="I26" i="17"/>
  <c r="I30" i="17" s="1"/>
  <c r="C507" i="4"/>
  <c r="D457" i="4"/>
  <c r="D25" i="4" s="1"/>
  <c r="H457" i="4"/>
  <c r="H25" i="4" s="1"/>
  <c r="K457" i="4"/>
  <c r="K25" i="4" s="1"/>
  <c r="O457" i="4"/>
  <c r="O25" i="4" s="1"/>
  <c r="S457" i="4"/>
  <c r="S25" i="4" s="1"/>
  <c r="G316" i="4"/>
  <c r="G429" i="4" s="1"/>
  <c r="J316" i="4"/>
  <c r="J429" i="4" s="1"/>
  <c r="N316" i="4"/>
  <c r="N429" i="4" s="1"/>
  <c r="R316" i="4"/>
  <c r="R325" i="4" s="1"/>
  <c r="R15" i="4" s="1"/>
  <c r="D380" i="4"/>
  <c r="D431" i="4" s="1"/>
  <c r="H380" i="4"/>
  <c r="H431" i="4" s="1"/>
  <c r="K380" i="4"/>
  <c r="K431" i="4" s="1"/>
  <c r="O380" i="4"/>
  <c r="O431" i="4" s="1"/>
  <c r="AL380" i="4"/>
  <c r="AL431" i="4" s="1"/>
  <c r="G9" i="1"/>
  <c r="I2" i="4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Z2" i="4" s="1"/>
  <c r="AA2" i="4" s="1"/>
  <c r="AB2" i="4" s="1"/>
  <c r="AC2" i="4" s="1"/>
  <c r="AK21" i="4"/>
  <c r="AR44" i="4"/>
  <c r="F288" i="4"/>
  <c r="F10" i="4" s="1"/>
  <c r="F12" i="4" s="1"/>
  <c r="I288" i="4"/>
  <c r="I10" i="4" s="1"/>
  <c r="M288" i="4"/>
  <c r="M10" i="4" s="1"/>
  <c r="M12" i="4" s="1"/>
  <c r="Q288" i="4"/>
  <c r="Q10" i="4" s="1"/>
  <c r="V288" i="4"/>
  <c r="V10" i="4" s="1"/>
  <c r="V12" i="4" s="1"/>
  <c r="Z288" i="4"/>
  <c r="Z290" i="4" s="1"/>
  <c r="AD288" i="4"/>
  <c r="AD10" i="4" s="1"/>
  <c r="AD12" i="4" s="1"/>
  <c r="I21" i="4"/>
  <c r="Q21" i="4"/>
  <c r="AN44" i="4"/>
  <c r="I352" i="4"/>
  <c r="I16" i="4" s="1"/>
  <c r="V430" i="4"/>
  <c r="Z352" i="4"/>
  <c r="Z16" i="4" s="1"/>
  <c r="D432" i="4"/>
  <c r="AI21" i="4"/>
  <c r="AZ21" i="4"/>
  <c r="F21" i="4"/>
  <c r="Z21" i="4"/>
  <c r="AF316" i="4"/>
  <c r="AF429" i="4" s="1"/>
  <c r="AO352" i="4"/>
  <c r="AO16" i="4" s="1"/>
  <c r="BA352" i="4"/>
  <c r="BA16" i="4" s="1"/>
  <c r="AI380" i="4"/>
  <c r="AI431" i="4" s="1"/>
  <c r="T21" i="4"/>
  <c r="AC21" i="4"/>
  <c r="AM21" i="4"/>
  <c r="AN316" i="4"/>
  <c r="AN325" i="4" s="1"/>
  <c r="AN15" i="4" s="1"/>
  <c r="AR316" i="4"/>
  <c r="AR325" i="4" s="1"/>
  <c r="AR15" i="4" s="1"/>
  <c r="K430" i="4"/>
  <c r="O430" i="4"/>
  <c r="S430" i="4"/>
  <c r="AL352" i="4"/>
  <c r="AL16" i="4" s="1"/>
  <c r="V380" i="4"/>
  <c r="V431" i="4" s="1"/>
  <c r="Z380" i="4"/>
  <c r="Z431" i="4" s="1"/>
  <c r="Q44" i="4"/>
  <c r="AN21" i="4"/>
  <c r="J44" i="4"/>
  <c r="D18" i="4"/>
  <c r="C18" i="4" s="1"/>
  <c r="L44" i="4"/>
  <c r="U44" i="4"/>
  <c r="Y44" i="4"/>
  <c r="AC44" i="4"/>
  <c r="AF44" i="4"/>
  <c r="F44" i="4"/>
  <c r="AK288" i="4"/>
  <c r="AK10" i="4" s="1"/>
  <c r="AK12" i="4" s="1"/>
  <c r="AN288" i="4"/>
  <c r="AN10" i="4" s="1"/>
  <c r="AN12" i="4" s="1"/>
  <c r="AR288" i="4"/>
  <c r="AR10" i="4" s="1"/>
  <c r="AR12" i="4" s="1"/>
  <c r="K21" i="4"/>
  <c r="AF21" i="4"/>
  <c r="AL44" i="4"/>
  <c r="R44" i="4"/>
  <c r="AZ44" i="4"/>
  <c r="E288" i="4"/>
  <c r="E10" i="4" s="1"/>
  <c r="E12" i="4" s="1"/>
  <c r="T288" i="4"/>
  <c r="T10" i="4" s="1"/>
  <c r="T12" i="4" s="1"/>
  <c r="P288" i="4"/>
  <c r="P10" i="4" s="1"/>
  <c r="P12" i="4" s="1"/>
  <c r="U288" i="4"/>
  <c r="U10" i="4" s="1"/>
  <c r="AC288" i="4"/>
  <c r="AC10" i="4" s="1"/>
  <c r="AC12" i="4" s="1"/>
  <c r="AI288" i="4"/>
  <c r="AI10" i="4" s="1"/>
  <c r="AI12" i="4" s="1"/>
  <c r="AL288" i="4"/>
  <c r="AL10" i="4" s="1"/>
  <c r="AL12" i="4" s="1"/>
  <c r="AO288" i="4"/>
  <c r="AO10" i="4" s="1"/>
  <c r="AO12" i="4" s="1"/>
  <c r="BA288" i="4"/>
  <c r="BA10" i="4" s="1"/>
  <c r="BA12" i="4" s="1"/>
  <c r="Z316" i="4"/>
  <c r="Z429" i="4" s="1"/>
  <c r="J433" i="4"/>
  <c r="J21" i="4"/>
  <c r="AA433" i="4"/>
  <c r="AA21" i="4"/>
  <c r="F249" i="1"/>
  <c r="S433" i="4"/>
  <c r="S21" i="4"/>
  <c r="AB433" i="4"/>
  <c r="AB21" i="4"/>
  <c r="C47" i="4"/>
  <c r="I191" i="4"/>
  <c r="M191" i="4"/>
  <c r="Q191" i="4"/>
  <c r="Z44" i="4"/>
  <c r="N44" i="4"/>
  <c r="W288" i="4"/>
  <c r="W10" i="4" s="1"/>
  <c r="W12" i="4" s="1"/>
  <c r="AA288" i="4"/>
  <c r="AA10" i="4" s="1"/>
  <c r="AA12" i="4" s="1"/>
  <c r="AE288" i="4"/>
  <c r="AE10" i="4" s="1"/>
  <c r="AE12" i="4" s="1"/>
  <c r="AG288" i="4"/>
  <c r="AG10" i="4" s="1"/>
  <c r="BB288" i="4"/>
  <c r="BB10" i="4" s="1"/>
  <c r="BB12" i="4" s="1"/>
  <c r="Y457" i="4"/>
  <c r="Y25" i="4" s="1"/>
  <c r="AC457" i="4"/>
  <c r="AC25" i="4" s="1"/>
  <c r="AF457" i="4"/>
  <c r="AF25" i="4" s="1"/>
  <c r="AK457" i="4"/>
  <c r="AK25" i="4" s="1"/>
  <c r="AN457" i="4"/>
  <c r="AN25" i="4" s="1"/>
  <c r="AR457" i="4"/>
  <c r="AR25" i="4" s="1"/>
  <c r="AJ21" i="4"/>
  <c r="F220" i="1"/>
  <c r="AH21" i="4"/>
  <c r="D288" i="4"/>
  <c r="D10" i="4" s="1"/>
  <c r="H288" i="4"/>
  <c r="H10" i="4" s="1"/>
  <c r="K288" i="4"/>
  <c r="K10" i="4" s="1"/>
  <c r="K12" i="4" s="1"/>
  <c r="O288" i="4"/>
  <c r="O10" i="4" s="1"/>
  <c r="O12" i="4" s="1"/>
  <c r="S288" i="4"/>
  <c r="S10" i="4" s="1"/>
  <c r="X288" i="4"/>
  <c r="X10" i="4" s="1"/>
  <c r="X12" i="4" s="1"/>
  <c r="AB288" i="4"/>
  <c r="AB10" i="4" s="1"/>
  <c r="AH288" i="4"/>
  <c r="AH10" i="4" s="1"/>
  <c r="AJ288" i="4"/>
  <c r="AJ10" i="4" s="1"/>
  <c r="AJ12" i="4" s="1"/>
  <c r="AM288" i="4"/>
  <c r="AM10" i="4" s="1"/>
  <c r="AM12" i="4" s="1"/>
  <c r="AZ288" i="4"/>
  <c r="AZ10" i="4" s="1"/>
  <c r="AZ12" i="4" s="1"/>
  <c r="AQ288" i="4"/>
  <c r="AQ10" i="4" s="1"/>
  <c r="AQ12" i="4" s="1"/>
  <c r="D316" i="4"/>
  <c r="D429" i="4" s="1"/>
  <c r="K316" i="4"/>
  <c r="K325" i="4" s="1"/>
  <c r="K15" i="4" s="1"/>
  <c r="O316" i="4"/>
  <c r="O429" i="4" s="1"/>
  <c r="S316" i="4"/>
  <c r="S429" i="4" s="1"/>
  <c r="V457" i="4"/>
  <c r="V25" i="4" s="1"/>
  <c r="Z457" i="4"/>
  <c r="Z25" i="4" s="1"/>
  <c r="AD457" i="4"/>
  <c r="AD25" i="4" s="1"/>
  <c r="AI457" i="4"/>
  <c r="AI25" i="4" s="1"/>
  <c r="AL457" i="4"/>
  <c r="AL25" i="4" s="1"/>
  <c r="AO457" i="4"/>
  <c r="AO25" i="4" s="1"/>
  <c r="BA457" i="4"/>
  <c r="BA25" i="4" s="1"/>
  <c r="X44" i="4"/>
  <c r="AB44" i="4"/>
  <c r="AH44" i="4"/>
  <c r="AJ44" i="4"/>
  <c r="AM191" i="4"/>
  <c r="AQ44" i="4"/>
  <c r="G380" i="4"/>
  <c r="G431" i="4" s="1"/>
  <c r="J380" i="4"/>
  <c r="J431" i="4" s="1"/>
  <c r="N380" i="4"/>
  <c r="N431" i="4" s="1"/>
  <c r="R380" i="4"/>
  <c r="R431" i="4" s="1"/>
  <c r="AA380" i="4"/>
  <c r="AA431" i="4" s="1"/>
  <c r="AE380" i="4"/>
  <c r="AE431" i="4" s="1"/>
  <c r="AG380" i="4"/>
  <c r="BB380" i="4"/>
  <c r="E432" i="4"/>
  <c r="T432" i="4"/>
  <c r="P432" i="4"/>
  <c r="G457" i="4"/>
  <c r="G25" i="4" s="1"/>
  <c r="J457" i="4"/>
  <c r="J25" i="4" s="1"/>
  <c r="N457" i="4"/>
  <c r="N25" i="4" s="1"/>
  <c r="R457" i="4"/>
  <c r="R25" i="4" s="1"/>
  <c r="AR433" i="4"/>
  <c r="AR21" i="4"/>
  <c r="P433" i="4"/>
  <c r="P21" i="4"/>
  <c r="X106" i="4"/>
  <c r="X171" i="4" s="1"/>
  <c r="AB106" i="4"/>
  <c r="AB171" i="4" s="1"/>
  <c r="AH106" i="4"/>
  <c r="AH171" i="4" s="1"/>
  <c r="AJ106" i="4"/>
  <c r="AJ171" i="4" s="1"/>
  <c r="AM106" i="4"/>
  <c r="AM171" i="4" s="1"/>
  <c r="AZ106" i="4"/>
  <c r="AZ171" i="4" s="1"/>
  <c r="AQ106" i="4"/>
  <c r="AQ171" i="4" s="1"/>
  <c r="W216" i="4"/>
  <c r="W191" i="4"/>
  <c r="F106" i="4"/>
  <c r="F171" i="4" s="1"/>
  <c r="I106" i="4"/>
  <c r="I171" i="4" s="1"/>
  <c r="M106" i="4"/>
  <c r="M171" i="4" s="1"/>
  <c r="Q106" i="4"/>
  <c r="Q171" i="4" s="1"/>
  <c r="U106" i="4"/>
  <c r="U171" i="4" s="1"/>
  <c r="E44" i="4"/>
  <c r="T191" i="4"/>
  <c r="L191" i="4"/>
  <c r="P191" i="4"/>
  <c r="AB191" i="4"/>
  <c r="T216" i="4"/>
  <c r="L216" i="4"/>
  <c r="P216" i="4"/>
  <c r="AB216" i="4"/>
  <c r="AJ216" i="4"/>
  <c r="AM216" i="4"/>
  <c r="AZ216" i="4"/>
  <c r="AH216" i="4"/>
  <c r="AQ216" i="4"/>
  <c r="E216" i="4"/>
  <c r="AB316" i="4"/>
  <c r="AB429" i="4" s="1"/>
  <c r="AH316" i="4"/>
  <c r="AH429" i="4" s="1"/>
  <c r="AJ316" i="4"/>
  <c r="AJ429" i="4" s="1"/>
  <c r="AM316" i="4"/>
  <c r="AM429" i="4" s="1"/>
  <c r="AZ316" i="4"/>
  <c r="AZ429" i="4" s="1"/>
  <c r="AQ316" i="4"/>
  <c r="AQ429" i="4" s="1"/>
  <c r="AC430" i="4"/>
  <c r="F191" i="4"/>
  <c r="Y216" i="4"/>
  <c r="AC216" i="4"/>
  <c r="AF216" i="4"/>
  <c r="AK216" i="4"/>
  <c r="AN216" i="4"/>
  <c r="AR216" i="4"/>
  <c r="AF288" i="4"/>
  <c r="AF10" i="4" s="1"/>
  <c r="AF12" i="4" s="1"/>
  <c r="Y316" i="4"/>
  <c r="Y429" i="4" s="1"/>
  <c r="AK316" i="4"/>
  <c r="AK429" i="4" s="1"/>
  <c r="AB430" i="4"/>
  <c r="AH430" i="4"/>
  <c r="AJ430" i="4"/>
  <c r="AM430" i="4"/>
  <c r="AZ430" i="4"/>
  <c r="AQ430" i="4"/>
  <c r="Y380" i="4"/>
  <c r="U432" i="4"/>
  <c r="AC432" i="4"/>
  <c r="AF432" i="4"/>
  <c r="AK432" i="4"/>
  <c r="AN432" i="4"/>
  <c r="AR432" i="4"/>
  <c r="AA457" i="4"/>
  <c r="AA25" i="4" s="1"/>
  <c r="AD106" i="4"/>
  <c r="AD171" i="4" s="1"/>
  <c r="AD43" i="4" s="1"/>
  <c r="AI106" i="4"/>
  <c r="AI171" i="4" s="1"/>
  <c r="AI43" i="4" s="1"/>
  <c r="AO106" i="4"/>
  <c r="AO171" i="4" s="1"/>
  <c r="AO43" i="4" s="1"/>
  <c r="AG11" i="4"/>
  <c r="D17" i="4"/>
  <c r="AK37" i="4"/>
  <c r="J191" i="4"/>
  <c r="N191" i="4"/>
  <c r="R191" i="4"/>
  <c r="V191" i="4"/>
  <c r="AD44" i="4"/>
  <c r="AI44" i="4"/>
  <c r="AO44" i="4"/>
  <c r="BA44" i="4"/>
  <c r="G216" i="4"/>
  <c r="J216" i="4"/>
  <c r="N216" i="4"/>
  <c r="R216" i="4"/>
  <c r="V316" i="4"/>
  <c r="V429" i="4" s="1"/>
  <c r="X380" i="4"/>
  <c r="AB380" i="4"/>
  <c r="AB431" i="4" s="1"/>
  <c r="J106" i="4"/>
  <c r="J171" i="4" s="1"/>
  <c r="N106" i="4"/>
  <c r="N171" i="4" s="1"/>
  <c r="R106" i="4"/>
  <c r="R171" i="4" s="1"/>
  <c r="Y106" i="4"/>
  <c r="Y171" i="4" s="1"/>
  <c r="Y43" i="4" s="1"/>
  <c r="AC106" i="4"/>
  <c r="AC171" i="4" s="1"/>
  <c r="AF106" i="4"/>
  <c r="AF171" i="4" s="1"/>
  <c r="AK106" i="4"/>
  <c r="AK171" i="4" s="1"/>
  <c r="AN106" i="4"/>
  <c r="AN171" i="4" s="1"/>
  <c r="AR106" i="4"/>
  <c r="AR171" i="4" s="1"/>
  <c r="E106" i="4"/>
  <c r="E171" i="4" s="1"/>
  <c r="Z106" i="4"/>
  <c r="Z171" i="4" s="1"/>
  <c r="Z43" i="4" s="1"/>
  <c r="AL106" i="4"/>
  <c r="AL171" i="4" s="1"/>
  <c r="AL43" i="4" s="1"/>
  <c r="BA106" i="4"/>
  <c r="BA171" i="4" s="1"/>
  <c r="BA43" i="4" s="1"/>
  <c r="T44" i="4"/>
  <c r="M44" i="4"/>
  <c r="W44" i="4"/>
  <c r="AM44" i="4"/>
  <c r="C46" i="4"/>
  <c r="G191" i="4"/>
  <c r="AH191" i="4"/>
  <c r="AJ191" i="4"/>
  <c r="AZ191" i="4"/>
  <c r="AQ191" i="4"/>
  <c r="Z216" i="4"/>
  <c r="AD216" i="4"/>
  <c r="AI216" i="4"/>
  <c r="AL216" i="4"/>
  <c r="AO216" i="4"/>
  <c r="BA216" i="4"/>
  <c r="E191" i="4"/>
  <c r="Q11" i="4"/>
  <c r="U11" i="4"/>
  <c r="AB11" i="4"/>
  <c r="AH11" i="4"/>
  <c r="AH12" i="4" s="1"/>
  <c r="I44" i="4"/>
  <c r="G106" i="4"/>
  <c r="G171" i="4" s="1"/>
  <c r="D44" i="4"/>
  <c r="H44" i="4"/>
  <c r="K44" i="4"/>
  <c r="O44" i="4"/>
  <c r="S44" i="4"/>
  <c r="V44" i="4"/>
  <c r="F352" i="4"/>
  <c r="F16" i="4" s="1"/>
  <c r="F430" i="4"/>
  <c r="I11" i="4"/>
  <c r="P44" i="4"/>
  <c r="T106" i="4"/>
  <c r="T171" i="4" s="1"/>
  <c r="L106" i="4"/>
  <c r="L171" i="4" s="1"/>
  <c r="P106" i="4"/>
  <c r="P171" i="4" s="1"/>
  <c r="W106" i="4"/>
  <c r="W171" i="4" s="1"/>
  <c r="AA44" i="4"/>
  <c r="AE44" i="4"/>
  <c r="AG44" i="4"/>
  <c r="BB44" i="4"/>
  <c r="F216" i="4"/>
  <c r="I216" i="4"/>
  <c r="M216" i="4"/>
  <c r="Q216" i="4"/>
  <c r="U216" i="4"/>
  <c r="X216" i="4"/>
  <c r="S12" i="4"/>
  <c r="AC352" i="4"/>
  <c r="AC16" i="4" s="1"/>
  <c r="I316" i="4"/>
  <c r="I325" i="4" s="1"/>
  <c r="M316" i="4"/>
  <c r="M429" i="4" s="1"/>
  <c r="Q316" i="4"/>
  <c r="Q429" i="4" s="1"/>
  <c r="U316" i="4"/>
  <c r="U429" i="4" s="1"/>
  <c r="G430" i="4"/>
  <c r="J430" i="4"/>
  <c r="N352" i="4"/>
  <c r="N16" i="4" s="1"/>
  <c r="R352" i="4"/>
  <c r="R16" i="4" s="1"/>
  <c r="Y352" i="4"/>
  <c r="Y16" i="4" s="1"/>
  <c r="AK352" i="4"/>
  <c r="AK16" i="4" s="1"/>
  <c r="G352" i="4"/>
  <c r="G16" i="4" s="1"/>
  <c r="U380" i="4"/>
  <c r="AM380" i="4"/>
  <c r="AZ380" i="4"/>
  <c r="AQ380" i="4"/>
  <c r="AC380" i="4"/>
  <c r="F432" i="4"/>
  <c r="I432" i="4"/>
  <c r="M432" i="4"/>
  <c r="Q432" i="4"/>
  <c r="X432" i="4"/>
  <c r="AB432" i="4"/>
  <c r="AH432" i="4"/>
  <c r="AJ432" i="4"/>
  <c r="AM432" i="4"/>
  <c r="AZ432" i="4"/>
  <c r="N432" i="4"/>
  <c r="AK430" i="4"/>
  <c r="N325" i="4"/>
  <c r="N15" i="4" s="1"/>
  <c r="J352" i="4"/>
  <c r="J16" i="4" s="1"/>
  <c r="K432" i="4"/>
  <c r="O432" i="4"/>
  <c r="T457" i="4"/>
  <c r="T25" i="4" s="1"/>
  <c r="L457" i="4"/>
  <c r="L25" i="4" s="1"/>
  <c r="P457" i="4"/>
  <c r="P25" i="4" s="1"/>
  <c r="W457" i="4"/>
  <c r="W25" i="4" s="1"/>
  <c r="AE457" i="4"/>
  <c r="AE25" i="4" s="1"/>
  <c r="AG457" i="4"/>
  <c r="AG25" i="4" s="1"/>
  <c r="BB457" i="4"/>
  <c r="BB25" i="4" s="1"/>
  <c r="G288" i="4"/>
  <c r="G10" i="4" s="1"/>
  <c r="G12" i="4" s="1"/>
  <c r="J288" i="4"/>
  <c r="J10" i="4" s="1"/>
  <c r="N288" i="4"/>
  <c r="N10" i="4" s="1"/>
  <c r="N12" i="4" s="1"/>
  <c r="R288" i="4"/>
  <c r="R10" i="4" s="1"/>
  <c r="R12" i="4" s="1"/>
  <c r="Y288" i="4"/>
  <c r="Y10" i="4" s="1"/>
  <c r="Y12" i="4" s="1"/>
  <c r="AI316" i="4"/>
  <c r="AI429" i="4" s="1"/>
  <c r="AL316" i="4"/>
  <c r="AL429" i="4" s="1"/>
  <c r="AO316" i="4"/>
  <c r="AO429" i="4" s="1"/>
  <c r="BA316" i="4"/>
  <c r="E316" i="4"/>
  <c r="E429" i="4" s="1"/>
  <c r="L316" i="4"/>
  <c r="L429" i="4" s="1"/>
  <c r="P316" i="4"/>
  <c r="P429" i="4" s="1"/>
  <c r="AA316" i="4"/>
  <c r="AA429" i="4" s="1"/>
  <c r="AG316" i="4"/>
  <c r="AG429" i="4" s="1"/>
  <c r="BB316" i="4"/>
  <c r="BB325" i="4" s="1"/>
  <c r="BB15" i="4" s="1"/>
  <c r="E430" i="4"/>
  <c r="T430" i="4"/>
  <c r="L430" i="4"/>
  <c r="P430" i="4"/>
  <c r="X352" i="4"/>
  <c r="X16" i="4" s="1"/>
  <c r="V352" i="4"/>
  <c r="V16" i="4" s="1"/>
  <c r="AO380" i="4"/>
  <c r="AO17" i="4" s="1"/>
  <c r="BA380" i="4"/>
  <c r="BA431" i="4" s="1"/>
  <c r="L380" i="4"/>
  <c r="P380" i="4"/>
  <c r="P431" i="4" s="1"/>
  <c r="AA432" i="4"/>
  <c r="AE432" i="4"/>
  <c r="BB432" i="4"/>
  <c r="N430" i="4"/>
  <c r="F457" i="4"/>
  <c r="F25" i="4" s="1"/>
  <c r="I457" i="4"/>
  <c r="I25" i="4" s="1"/>
  <c r="M457" i="4"/>
  <c r="M25" i="4" s="1"/>
  <c r="Q457" i="4"/>
  <c r="Q25" i="4" s="1"/>
  <c r="U457" i="4"/>
  <c r="U25" i="4" s="1"/>
  <c r="X457" i="4"/>
  <c r="X25" i="4" s="1"/>
  <c r="AB457" i="4"/>
  <c r="AB25" i="4" s="1"/>
  <c r="AH457" i="4"/>
  <c r="AH25" i="4" s="1"/>
  <c r="AJ457" i="4"/>
  <c r="AJ25" i="4" s="1"/>
  <c r="AM457" i="4"/>
  <c r="AM25" i="4" s="1"/>
  <c r="AZ457" i="4"/>
  <c r="AZ25" i="4" s="1"/>
  <c r="AQ457" i="4"/>
  <c r="AQ25" i="4" s="1"/>
  <c r="H316" i="4"/>
  <c r="H429" i="4" s="1"/>
  <c r="H106" i="4"/>
  <c r="H171" i="4" s="1"/>
  <c r="O106" i="4"/>
  <c r="O171" i="4" s="1"/>
  <c r="V106" i="4"/>
  <c r="V171" i="4" s="1"/>
  <c r="AA106" i="4"/>
  <c r="AA171" i="4" s="1"/>
  <c r="AG106" i="4"/>
  <c r="AG171" i="4" s="1"/>
  <c r="BB106" i="4"/>
  <c r="BB171" i="4" s="1"/>
  <c r="H11" i="4"/>
  <c r="AJ37" i="4"/>
  <c r="C52" i="4"/>
  <c r="D191" i="4"/>
  <c r="K191" i="4"/>
  <c r="O191" i="4"/>
  <c r="AE191" i="4"/>
  <c r="C26" i="4"/>
  <c r="C50" i="4"/>
  <c r="C40" i="4"/>
  <c r="D106" i="4"/>
  <c r="D171" i="4" s="1"/>
  <c r="K106" i="4"/>
  <c r="K171" i="4" s="1"/>
  <c r="S106" i="4"/>
  <c r="AE106" i="4"/>
  <c r="AE171" i="4" s="1"/>
  <c r="C7" i="4"/>
  <c r="D11" i="4"/>
  <c r="C29" i="4"/>
  <c r="H191" i="4"/>
  <c r="S191" i="4"/>
  <c r="AA191" i="4"/>
  <c r="AG191" i="4"/>
  <c r="BB191" i="4"/>
  <c r="AL17" i="4"/>
  <c r="F188" i="1"/>
  <c r="G275" i="1"/>
  <c r="F470" i="1"/>
  <c r="G469" i="1"/>
  <c r="C8" i="4"/>
  <c r="C9" i="4"/>
  <c r="G325" i="4"/>
  <c r="G15" i="4" s="1"/>
  <c r="C51" i="4"/>
  <c r="D216" i="4"/>
  <c r="H216" i="4"/>
  <c r="K216" i="4"/>
  <c r="O216" i="4"/>
  <c r="S216" i="4"/>
  <c r="V216" i="4"/>
  <c r="AA216" i="4"/>
  <c r="AE216" i="4"/>
  <c r="AG216" i="4"/>
  <c r="BB216" i="4"/>
  <c r="G433" i="4"/>
  <c r="R433" i="4"/>
  <c r="AL433" i="4"/>
  <c r="AO433" i="4"/>
  <c r="BA433" i="4"/>
  <c r="BB433" i="4"/>
  <c r="C36" i="4"/>
  <c r="C48" i="4"/>
  <c r="U191" i="4"/>
  <c r="X191" i="4"/>
  <c r="AC191" i="4"/>
  <c r="AF191" i="4"/>
  <c r="AK191" i="4"/>
  <c r="AN191" i="4"/>
  <c r="AR191" i="4"/>
  <c r="O352" i="4"/>
  <c r="O16" i="4" s="1"/>
  <c r="E380" i="4"/>
  <c r="T380" i="4"/>
  <c r="D433" i="4"/>
  <c r="H433" i="4"/>
  <c r="O433" i="4"/>
  <c r="C28" i="4"/>
  <c r="C35" i="4"/>
  <c r="Y191" i="4"/>
  <c r="Z191" i="4"/>
  <c r="AD191" i="4"/>
  <c r="AI191" i="4"/>
  <c r="AL191" i="4"/>
  <c r="AO191" i="4"/>
  <c r="BA191" i="4"/>
  <c r="X316" i="4"/>
  <c r="X429" i="4" s="1"/>
  <c r="AC316" i="4"/>
  <c r="AC429" i="4" s="1"/>
  <c r="D430" i="4"/>
  <c r="D352" i="4"/>
  <c r="D16" i="4" s="1"/>
  <c r="H430" i="4"/>
  <c r="H352" i="4"/>
  <c r="H16" i="4" s="1"/>
  <c r="AE430" i="4"/>
  <c r="AE352" i="4"/>
  <c r="AE16" i="4" s="1"/>
  <c r="AG430" i="4"/>
  <c r="AG352" i="4"/>
  <c r="AG16" i="4" s="1"/>
  <c r="BB430" i="4"/>
  <c r="BB352" i="4"/>
  <c r="BB16" i="4" s="1"/>
  <c r="S352" i="4"/>
  <c r="S16" i="4" s="1"/>
  <c r="AG433" i="4"/>
  <c r="L288" i="4"/>
  <c r="L290" i="4" s="1"/>
  <c r="L352" i="4"/>
  <c r="L16" i="4" s="1"/>
  <c r="P352" i="4"/>
  <c r="P16" i="4" s="1"/>
  <c r="C19" i="4"/>
  <c r="E457" i="4"/>
  <c r="E25" i="4" s="1"/>
  <c r="AE316" i="4"/>
  <c r="AE429" i="4" s="1"/>
  <c r="M430" i="4"/>
  <c r="Q430" i="4"/>
  <c r="U430" i="4"/>
  <c r="X430" i="4"/>
  <c r="AF430" i="4"/>
  <c r="AN430" i="4"/>
  <c r="AR430" i="4"/>
  <c r="E352" i="4"/>
  <c r="E16" i="4" s="1"/>
  <c r="T352" i="4"/>
  <c r="T16" i="4" s="1"/>
  <c r="M352" i="4"/>
  <c r="M16" i="4" s="1"/>
  <c r="Q352" i="4"/>
  <c r="Q16" i="4" s="1"/>
  <c r="U352" i="4"/>
  <c r="U16" i="4" s="1"/>
  <c r="AH352" i="4"/>
  <c r="AH16" i="4" s="1"/>
  <c r="AJ352" i="4"/>
  <c r="AJ16" i="4" s="1"/>
  <c r="AM352" i="4"/>
  <c r="AM16" i="4" s="1"/>
  <c r="AZ352" i="4"/>
  <c r="AZ16" i="4" s="1"/>
  <c r="AQ352" i="4"/>
  <c r="AQ16" i="4" s="1"/>
  <c r="AH380" i="4"/>
  <c r="AJ380" i="4"/>
  <c r="I430" i="4"/>
  <c r="R430" i="4"/>
  <c r="T316" i="4"/>
  <c r="T325" i="4" s="1"/>
  <c r="W316" i="4"/>
  <c r="W429" i="4" s="1"/>
  <c r="Y430" i="4"/>
  <c r="Z430" i="4"/>
  <c r="AI430" i="4"/>
  <c r="AL430" i="4"/>
  <c r="AO430" i="4"/>
  <c r="BA430" i="4"/>
  <c r="W430" i="4"/>
  <c r="AB352" i="4"/>
  <c r="AB16" i="4" s="1"/>
  <c r="AF352" i="4"/>
  <c r="AF16" i="4" s="1"/>
  <c r="AN352" i="4"/>
  <c r="AN16" i="4" s="1"/>
  <c r="AR352" i="4"/>
  <c r="AR16" i="4" s="1"/>
  <c r="F380" i="4"/>
  <c r="I380" i="4"/>
  <c r="M380" i="4"/>
  <c r="Q380" i="4"/>
  <c r="AF380" i="4"/>
  <c r="AK380" i="4"/>
  <c r="AN380" i="4"/>
  <c r="AR380" i="4"/>
  <c r="S380" i="4"/>
  <c r="S17" i="4" s="1"/>
  <c r="H432" i="4"/>
  <c r="S432" i="4"/>
  <c r="AG432" i="4"/>
  <c r="M433" i="4"/>
  <c r="G432" i="4"/>
  <c r="J432" i="4"/>
  <c r="R432" i="4"/>
  <c r="Y432" i="4"/>
  <c r="Z432" i="4"/>
  <c r="AI432" i="4"/>
  <c r="AL432" i="4"/>
  <c r="AO432" i="4"/>
  <c r="BA432" i="4"/>
  <c r="L432" i="4"/>
  <c r="W432" i="4"/>
  <c r="AQ432" i="4"/>
  <c r="AE20" i="4"/>
  <c r="C20" i="4" s="1"/>
  <c r="V433" i="4"/>
  <c r="G44" i="4"/>
  <c r="C191" i="4"/>
  <c r="E20" i="13"/>
  <c r="E24" i="13" s="1"/>
  <c r="U14" i="13"/>
  <c r="G347" i="1"/>
  <c r="V432" i="4"/>
  <c r="C500" i="4"/>
  <c r="F516" i="1" s="1"/>
  <c r="C34" i="4"/>
  <c r="G502" i="1"/>
  <c r="F40" i="1"/>
  <c r="F466" i="1"/>
  <c r="F51" i="1"/>
  <c r="G51" i="1" s="1"/>
  <c r="G257" i="1"/>
  <c r="F244" i="1"/>
  <c r="F48" i="1" s="1"/>
  <c r="C216" i="4"/>
  <c r="F212" i="1"/>
  <c r="F196" i="1"/>
  <c r="F62" i="1"/>
  <c r="C246" i="4"/>
  <c r="C494" i="4"/>
  <c r="C443" i="4"/>
  <c r="C457" i="4" s="1"/>
  <c r="AD433" i="4"/>
  <c r="AD21" i="4"/>
  <c r="AD432" i="4"/>
  <c r="AD380" i="4"/>
  <c r="AD17" i="4" s="1"/>
  <c r="AD352" i="4"/>
  <c r="AD16" i="4" s="1"/>
  <c r="AD430" i="4"/>
  <c r="AD316" i="4"/>
  <c r="AD429" i="4" s="1"/>
  <c r="F479" i="1"/>
  <c r="F491" i="1" s="1"/>
  <c r="F26" i="1" s="1"/>
  <c r="C464" i="4"/>
  <c r="C476" i="4" s="1"/>
  <c r="Y433" i="4"/>
  <c r="X21" i="4"/>
  <c r="X433" i="4"/>
  <c r="W433" i="4"/>
  <c r="W21" i="4"/>
  <c r="F402" i="1"/>
  <c r="F18" i="1" s="1"/>
  <c r="C389" i="4"/>
  <c r="G397" i="1"/>
  <c r="C378" i="4"/>
  <c r="W380" i="4"/>
  <c r="W431" i="4" s="1"/>
  <c r="W352" i="4"/>
  <c r="W16" i="4" s="1"/>
  <c r="K352" i="4"/>
  <c r="K16" i="4" s="1"/>
  <c r="F316" i="4"/>
  <c r="F429" i="4" s="1"/>
  <c r="C350" i="4"/>
  <c r="AA352" i="4"/>
  <c r="AA16" i="4" s="1"/>
  <c r="AA430" i="4"/>
  <c r="J11" i="4"/>
  <c r="C396" i="4"/>
  <c r="AQ433" i="4"/>
  <c r="AQ21" i="4"/>
  <c r="AE433" i="4"/>
  <c r="AE21" i="4"/>
  <c r="U21" i="4"/>
  <c r="I11" i="10"/>
  <c r="F384" i="1"/>
  <c r="F391" i="1" s="1"/>
  <c r="G104" i="1"/>
  <c r="F110" i="1"/>
  <c r="F68" i="1"/>
  <c r="F74" i="1" s="1"/>
  <c r="F229" i="1"/>
  <c r="F50" i="1" s="1"/>
  <c r="F8" i="1"/>
  <c r="G8" i="1" s="1"/>
  <c r="F35" i="1"/>
  <c r="G35" i="1" s="1"/>
  <c r="F157" i="1"/>
  <c r="F363" i="1"/>
  <c r="F299" i="1"/>
  <c r="G518" i="1"/>
  <c r="C83" i="4"/>
  <c r="G128" i="1"/>
  <c r="F165" i="1"/>
  <c r="F224" i="1"/>
  <c r="F47" i="1"/>
  <c r="G428" i="1"/>
  <c r="C104" i="4"/>
  <c r="C124" i="4"/>
  <c r="C157" i="4"/>
  <c r="C286" i="4"/>
  <c r="C288" i="4" s="1"/>
  <c r="C290" i="4" s="1"/>
  <c r="C340" i="4"/>
  <c r="C365" i="4"/>
  <c r="A183" i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173" i="1"/>
  <c r="A174" i="1" s="1"/>
  <c r="A175" i="1" s="1"/>
  <c r="A176" i="1" s="1"/>
  <c r="A177" i="1" s="1"/>
  <c r="A178" i="1" s="1"/>
  <c r="A179" i="1" s="1"/>
  <c r="A180" i="1" s="1"/>
  <c r="A181" i="1" s="1"/>
  <c r="A182" i="1" s="1"/>
  <c r="G83" i="1"/>
  <c r="F216" i="1"/>
  <c r="F228" i="1"/>
  <c r="F124" i="1"/>
  <c r="C15" i="1"/>
  <c r="C23" i="1" s="1"/>
  <c r="C30" i="1" s="1"/>
  <c r="C39" i="1" s="1"/>
  <c r="C41" i="1" s="1"/>
  <c r="G94" i="1"/>
  <c r="F104" i="1"/>
  <c r="G127" i="1"/>
  <c r="F353" i="1"/>
  <c r="G109" i="1"/>
  <c r="F83" i="1"/>
  <c r="F142" i="1"/>
  <c r="F175" i="1" s="1"/>
  <c r="E142" i="1"/>
  <c r="E175" i="1" s="1"/>
  <c r="G269" i="1"/>
  <c r="F272" i="1"/>
  <c r="F11" i="1" s="1"/>
  <c r="D311" i="1"/>
  <c r="G311" i="1"/>
  <c r="D408" i="1"/>
  <c r="G408" i="1"/>
  <c r="G483" i="1"/>
  <c r="D483" i="1"/>
  <c r="F94" i="1"/>
  <c r="D256" i="1"/>
  <c r="D51" i="1" s="1"/>
  <c r="G256" i="1"/>
  <c r="F287" i="1"/>
  <c r="F236" i="1"/>
  <c r="F46" i="1" s="1"/>
  <c r="G232" i="1"/>
  <c r="F259" i="1"/>
  <c r="D348" i="1"/>
  <c r="G348" i="1"/>
  <c r="D396" i="1"/>
  <c r="D402" i="1" s="1"/>
  <c r="G396" i="1"/>
  <c r="D488" i="1"/>
  <c r="G488" i="1"/>
  <c r="F378" i="1"/>
  <c r="F416" i="1"/>
  <c r="F19" i="1" s="1"/>
  <c r="G19" i="1" s="1"/>
  <c r="F458" i="1"/>
  <c r="D499" i="1"/>
  <c r="D28" i="1" s="1"/>
  <c r="G499" i="1"/>
  <c r="F510" i="1"/>
  <c r="F29" i="1" s="1"/>
  <c r="C18" i="5"/>
  <c r="G400" i="1"/>
  <c r="G415" i="1"/>
  <c r="C41" i="5"/>
  <c r="AC42" i="7"/>
  <c r="G406" i="1"/>
  <c r="F409" i="1"/>
  <c r="F20" i="1" s="1"/>
  <c r="C323" i="4"/>
  <c r="F333" i="1"/>
  <c r="F336" i="1" s="1"/>
  <c r="C314" i="4"/>
  <c r="F327" i="1"/>
  <c r="F433" i="1"/>
  <c r="F437" i="1" s="1"/>
  <c r="F21" i="1" s="1"/>
  <c r="C420" i="4"/>
  <c r="C424" i="4" s="1"/>
  <c r="E433" i="4"/>
  <c r="C307" i="4"/>
  <c r="F307" i="1"/>
  <c r="F320" i="1" s="1"/>
  <c r="F264" i="1"/>
  <c r="D409" i="1"/>
  <c r="D20" i="1" s="1"/>
  <c r="N30" i="19"/>
  <c r="G39" i="19"/>
  <c r="F19" i="19"/>
  <c r="G7" i="19"/>
  <c r="H26" i="19"/>
  <c r="N35" i="18"/>
  <c r="J35" i="18"/>
  <c r="J40" i="18" s="1"/>
  <c r="K35" i="18"/>
  <c r="D18" i="1"/>
  <c r="E402" i="1"/>
  <c r="E409" i="1"/>
  <c r="E20" i="1" s="1"/>
  <c r="G399" i="1"/>
  <c r="G405" i="1"/>
  <c r="G407" i="1"/>
  <c r="G412" i="1"/>
  <c r="G414" i="1"/>
  <c r="D412" i="1"/>
  <c r="D416" i="1" s="1"/>
  <c r="D19" i="1" s="1"/>
  <c r="H32" i="19"/>
  <c r="N32" i="19" s="1"/>
  <c r="G37" i="19"/>
  <c r="H37" i="19" s="1"/>
  <c r="C31" i="5"/>
  <c r="C53" i="5" s="1"/>
  <c r="G51" i="5"/>
  <c r="I51" i="5" s="1"/>
  <c r="I50" i="5"/>
  <c r="C472" i="1"/>
  <c r="C25" i="1" s="1"/>
  <c r="C44" i="1"/>
  <c r="C261" i="1"/>
  <c r="C43" i="1"/>
  <c r="C45" i="1" s="1"/>
  <c r="C53" i="1" s="1"/>
  <c r="G19" i="12"/>
  <c r="G17" i="12"/>
  <c r="N40" i="18"/>
  <c r="L40" i="18"/>
  <c r="K40" i="18"/>
  <c r="Q18" i="18"/>
  <c r="Q19" i="18" s="1"/>
  <c r="H43" i="18"/>
  <c r="M35" i="18"/>
  <c r="M40" i="18" s="1"/>
  <c r="I35" i="18"/>
  <c r="I40" i="18" s="1"/>
  <c r="H35" i="18"/>
  <c r="H40" i="18" s="1"/>
  <c r="G35" i="18"/>
  <c r="G40" i="18" s="1"/>
  <c r="P35" i="18"/>
  <c r="P40" i="18" s="1"/>
  <c r="Q30" i="18"/>
  <c r="F35" i="18"/>
  <c r="F40" i="18" s="1"/>
  <c r="Q32" i="18"/>
  <c r="Q33" i="18" s="1"/>
  <c r="H12" i="19"/>
  <c r="K37" i="19" s="1"/>
  <c r="F34" i="19"/>
  <c r="H34" i="19" s="1"/>
  <c r="E35" i="18"/>
  <c r="E40" i="18" s="1"/>
  <c r="H15" i="19"/>
  <c r="J37" i="19" s="1"/>
  <c r="F33" i="19"/>
  <c r="O35" i="18"/>
  <c r="Q27" i="18"/>
  <c r="Q28" i="18" s="1"/>
  <c r="Q25" i="18"/>
  <c r="AQ290" i="4" l="1"/>
  <c r="AG2" i="4"/>
  <c r="AH2" i="4" s="1"/>
  <c r="AI2" i="4" s="1"/>
  <c r="AJ2" i="4" s="1"/>
  <c r="AK2" i="4" s="1"/>
  <c r="AL2" i="4" s="1"/>
  <c r="AM2" i="4" s="1"/>
  <c r="AN2" i="4" s="1"/>
  <c r="AO2" i="4" s="1"/>
  <c r="AP2" i="4" s="1"/>
  <c r="AQ2" i="4" s="1"/>
  <c r="AR2" i="4" s="1"/>
  <c r="AS2" i="4" s="1"/>
  <c r="AT2" i="4" s="1"/>
  <c r="AU2" i="4" s="1"/>
  <c r="AV2" i="4" s="1"/>
  <c r="AW2" i="4" s="1"/>
  <c r="AX2" i="4" s="1"/>
  <c r="J325" i="4"/>
  <c r="J15" i="4" s="1"/>
  <c r="A331" i="4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BF498" i="4"/>
  <c r="AV498" i="4"/>
  <c r="BD498" i="4"/>
  <c r="AT498" i="4"/>
  <c r="BG498" i="4"/>
  <c r="AW498" i="4"/>
  <c r="BI498" i="4"/>
  <c r="BE498" i="4"/>
  <c r="AY498" i="4"/>
  <c r="AU498" i="4"/>
  <c r="AP498" i="4"/>
  <c r="BH498" i="4"/>
  <c r="AX498" i="4"/>
  <c r="BC498" i="4"/>
  <c r="AS498" i="4"/>
  <c r="F34" i="1"/>
  <c r="G34" i="1" s="1"/>
  <c r="E25" i="8" s="1"/>
  <c r="I25" i="8" s="1"/>
  <c r="G516" i="1"/>
  <c r="I34" i="17"/>
  <c r="AL290" i="4"/>
  <c r="N17" i="4"/>
  <c r="AR290" i="4"/>
  <c r="H17" i="4"/>
  <c r="O17" i="4"/>
  <c r="AF325" i="4"/>
  <c r="AF15" i="4" s="1"/>
  <c r="R429" i="4"/>
  <c r="R434" i="4" s="1"/>
  <c r="R435" i="4" s="1"/>
  <c r="R49" i="4" s="1"/>
  <c r="AH290" i="4"/>
  <c r="K17" i="4"/>
  <c r="P17" i="4"/>
  <c r="BA290" i="4"/>
  <c r="AC290" i="4"/>
  <c r="E290" i="4"/>
  <c r="I12" i="4"/>
  <c r="D12" i="4"/>
  <c r="V290" i="4"/>
  <c r="D290" i="4"/>
  <c r="AE290" i="4"/>
  <c r="S325" i="4"/>
  <c r="S15" i="4" s="1"/>
  <c r="S23" i="4" s="1"/>
  <c r="S498" i="4" s="1"/>
  <c r="H12" i="4"/>
  <c r="S290" i="4"/>
  <c r="J17" i="4"/>
  <c r="Q12" i="4"/>
  <c r="W325" i="4"/>
  <c r="W15" i="4" s="1"/>
  <c r="J290" i="4"/>
  <c r="O325" i="4"/>
  <c r="O15" i="4" s="1"/>
  <c r="Q290" i="4"/>
  <c r="AE17" i="4"/>
  <c r="M290" i="4"/>
  <c r="AI290" i="4"/>
  <c r="AD290" i="4"/>
  <c r="I290" i="4"/>
  <c r="AR429" i="4"/>
  <c r="N426" i="4"/>
  <c r="Z10" i="4"/>
  <c r="Z12" i="4" s="1"/>
  <c r="R17" i="4"/>
  <c r="R23" i="4" s="1"/>
  <c r="R498" i="4" s="1"/>
  <c r="R27" i="4" s="1"/>
  <c r="R30" i="4" s="1"/>
  <c r="AM193" i="4"/>
  <c r="AM248" i="4" s="1"/>
  <c r="F290" i="4"/>
  <c r="I429" i="4"/>
  <c r="AC325" i="4"/>
  <c r="AC15" i="4" s="1"/>
  <c r="AO290" i="4"/>
  <c r="Y45" i="4"/>
  <c r="BA45" i="4"/>
  <c r="AN290" i="4"/>
  <c r="AN429" i="4"/>
  <c r="AB325" i="4"/>
  <c r="AB15" i="4" s="1"/>
  <c r="BB429" i="4"/>
  <c r="AI17" i="4"/>
  <c r="AO45" i="4"/>
  <c r="AK290" i="4"/>
  <c r="V17" i="4"/>
  <c r="AE325" i="4"/>
  <c r="AE426" i="4" s="1"/>
  <c r="X290" i="4"/>
  <c r="AA325" i="4"/>
  <c r="AA15" i="4" s="1"/>
  <c r="T290" i="4"/>
  <c r="AK325" i="4"/>
  <c r="AK15" i="4" s="1"/>
  <c r="P290" i="4"/>
  <c r="Z17" i="4"/>
  <c r="AG12" i="4"/>
  <c r="BA17" i="4"/>
  <c r="Q325" i="4"/>
  <c r="Q15" i="4" s="1"/>
  <c r="AB434" i="4"/>
  <c r="AB435" i="4" s="1"/>
  <c r="AB49" i="4" s="1"/>
  <c r="E325" i="4"/>
  <c r="E426" i="4" s="1"/>
  <c r="AZ325" i="4"/>
  <c r="AZ15" i="4" s="1"/>
  <c r="G17" i="4"/>
  <c r="G23" i="4" s="1"/>
  <c r="Z45" i="4"/>
  <c r="AF290" i="4"/>
  <c r="AA17" i="4"/>
  <c r="F43" i="4"/>
  <c r="F45" i="4" s="1"/>
  <c r="F193" i="4"/>
  <c r="F248" i="4" s="1"/>
  <c r="N434" i="4"/>
  <c r="N435" i="4" s="1"/>
  <c r="N49" i="4" s="1"/>
  <c r="F44" i="1"/>
  <c r="G434" i="4"/>
  <c r="G435" i="4" s="1"/>
  <c r="G49" i="4" s="1"/>
  <c r="D325" i="4"/>
  <c r="D15" i="4" s="1"/>
  <c r="D23" i="4" s="1"/>
  <c r="Y325" i="4"/>
  <c r="Y15" i="4" s="1"/>
  <c r="N23" i="4"/>
  <c r="N498" i="4" s="1"/>
  <c r="N27" i="4" s="1"/>
  <c r="N30" i="4" s="1"/>
  <c r="AI325" i="4"/>
  <c r="AI15" i="4" s="1"/>
  <c r="U12" i="4"/>
  <c r="AL45" i="4"/>
  <c r="AI45" i="4"/>
  <c r="AA290" i="4"/>
  <c r="U290" i="4"/>
  <c r="AO193" i="4"/>
  <c r="AO248" i="4" s="1"/>
  <c r="AD45" i="4"/>
  <c r="T429" i="4"/>
  <c r="O434" i="4"/>
  <c r="O435" i="4" s="1"/>
  <c r="O49" i="4" s="1"/>
  <c r="AM325" i="4"/>
  <c r="AM15" i="4" s="1"/>
  <c r="AG325" i="4"/>
  <c r="AG15" i="4" s="1"/>
  <c r="AB17" i="4"/>
  <c r="AO431" i="4"/>
  <c r="AO434" i="4" s="1"/>
  <c r="AO435" i="4" s="1"/>
  <c r="AO49" i="4" s="1"/>
  <c r="Z325" i="4"/>
  <c r="O290" i="4"/>
  <c r="AZ290" i="4"/>
  <c r="N43" i="4"/>
  <c r="N45" i="4" s="1"/>
  <c r="N193" i="4"/>
  <c r="N248" i="4" s="1"/>
  <c r="R193" i="4"/>
  <c r="R248" i="4" s="1"/>
  <c r="R43" i="4"/>
  <c r="R45" i="4" s="1"/>
  <c r="AI193" i="4"/>
  <c r="AI248" i="4" s="1"/>
  <c r="L10" i="4"/>
  <c r="AJ325" i="4"/>
  <c r="AJ15" i="4" s="1"/>
  <c r="C106" i="4"/>
  <c r="C171" i="4" s="1"/>
  <c r="C193" i="4" s="1"/>
  <c r="C248" i="4" s="1"/>
  <c r="AO325" i="4"/>
  <c r="W290" i="4"/>
  <c r="BB431" i="4"/>
  <c r="BB17" i="4"/>
  <c r="BB23" i="4" s="1"/>
  <c r="BB498" i="4" s="1"/>
  <c r="BB27" i="4" s="1"/>
  <c r="K429" i="4"/>
  <c r="K434" i="4" s="1"/>
  <c r="K435" i="4" s="1"/>
  <c r="K49" i="4" s="1"/>
  <c r="M325" i="4"/>
  <c r="M15" i="4" s="1"/>
  <c r="AD193" i="4"/>
  <c r="AD248" i="4" s="1"/>
  <c r="AQ325" i="4"/>
  <c r="AQ15" i="4" s="1"/>
  <c r="AH325" i="4"/>
  <c r="AH15" i="4" s="1"/>
  <c r="R426" i="4"/>
  <c r="H325" i="4"/>
  <c r="H15" i="4" s="1"/>
  <c r="H23" i="4" s="1"/>
  <c r="P434" i="4"/>
  <c r="P435" i="4" s="1"/>
  <c r="P49" i="4" s="1"/>
  <c r="AL325" i="4"/>
  <c r="K290" i="4"/>
  <c r="AM290" i="4"/>
  <c r="AB290" i="4"/>
  <c r="AF426" i="4"/>
  <c r="AG431" i="4"/>
  <c r="AG434" i="4" s="1"/>
  <c r="AG435" i="4" s="1"/>
  <c r="AG49" i="4" s="1"/>
  <c r="AG17" i="4"/>
  <c r="AM43" i="4"/>
  <c r="AM45" i="4" s="1"/>
  <c r="V325" i="4"/>
  <c r="H290" i="4"/>
  <c r="AB12" i="4"/>
  <c r="AJ290" i="4"/>
  <c r="BB290" i="4"/>
  <c r="AG290" i="4"/>
  <c r="C25" i="4"/>
  <c r="F226" i="1"/>
  <c r="X431" i="4"/>
  <c r="X434" i="4" s="1"/>
  <c r="X435" i="4" s="1"/>
  <c r="X49" i="4" s="1"/>
  <c r="X17" i="4"/>
  <c r="Y290" i="4"/>
  <c r="J434" i="4"/>
  <c r="J435" i="4" s="1"/>
  <c r="J49" i="4" s="1"/>
  <c r="G290" i="4"/>
  <c r="Y431" i="4"/>
  <c r="Y434" i="4" s="1"/>
  <c r="Y435" i="4" s="1"/>
  <c r="Y49" i="4" s="1"/>
  <c r="Y17" i="4"/>
  <c r="J43" i="4"/>
  <c r="J45" i="4" s="1"/>
  <c r="J193" i="4"/>
  <c r="J248" i="4" s="1"/>
  <c r="Z193" i="4"/>
  <c r="Z248" i="4" s="1"/>
  <c r="F472" i="1"/>
  <c r="F25" i="1" s="1"/>
  <c r="S431" i="4"/>
  <c r="S434" i="4" s="1"/>
  <c r="S435" i="4" s="1"/>
  <c r="S49" i="4" s="1"/>
  <c r="C44" i="4"/>
  <c r="AN426" i="4"/>
  <c r="AL434" i="4"/>
  <c r="AL435" i="4" s="1"/>
  <c r="AL49" i="4" s="1"/>
  <c r="U325" i="4"/>
  <c r="U15" i="4" s="1"/>
  <c r="Y193" i="4"/>
  <c r="Y248" i="4" s="1"/>
  <c r="BA429" i="4"/>
  <c r="BA434" i="4" s="1"/>
  <c r="BA435" i="4" s="1"/>
  <c r="BA49" i="4" s="1"/>
  <c r="BA325" i="4"/>
  <c r="AC431" i="4"/>
  <c r="AC434" i="4" s="1"/>
  <c r="AC435" i="4" s="1"/>
  <c r="AC49" i="4" s="1"/>
  <c r="AC17" i="4"/>
  <c r="U431" i="4"/>
  <c r="U434" i="4" s="1"/>
  <c r="U435" i="4" s="1"/>
  <c r="U49" i="4" s="1"/>
  <c r="U17" i="4"/>
  <c r="U426" i="4"/>
  <c r="AI434" i="4"/>
  <c r="AI435" i="4" s="1"/>
  <c r="AI49" i="4" s="1"/>
  <c r="BA193" i="4"/>
  <c r="BA248" i="4" s="1"/>
  <c r="AQ431" i="4"/>
  <c r="AQ434" i="4" s="1"/>
  <c r="AQ435" i="4" s="1"/>
  <c r="AQ49" i="4" s="1"/>
  <c r="AQ17" i="4"/>
  <c r="P325" i="4"/>
  <c r="R290" i="4"/>
  <c r="AL193" i="4"/>
  <c r="AL248" i="4" s="1"/>
  <c r="L431" i="4"/>
  <c r="L434" i="4" s="1"/>
  <c r="L435" i="4" s="1"/>
  <c r="L49" i="4" s="1"/>
  <c r="L17" i="4"/>
  <c r="AM431" i="4"/>
  <c r="AM434" i="4" s="1"/>
  <c r="AM435" i="4" s="1"/>
  <c r="AM49" i="4" s="1"/>
  <c r="AM17" i="4"/>
  <c r="W434" i="4"/>
  <c r="W435" i="4" s="1"/>
  <c r="W49" i="4" s="1"/>
  <c r="K23" i="4"/>
  <c r="K498" i="4" s="1"/>
  <c r="F325" i="4"/>
  <c r="F15" i="4" s="1"/>
  <c r="Z434" i="4"/>
  <c r="Z435" i="4" s="1"/>
  <c r="Z49" i="4" s="1"/>
  <c r="AZ431" i="4"/>
  <c r="AZ434" i="4" s="1"/>
  <c r="AZ435" i="4" s="1"/>
  <c r="AZ49" i="4" s="1"/>
  <c r="AZ17" i="4"/>
  <c r="L325" i="4"/>
  <c r="L15" i="4" s="1"/>
  <c r="N290" i="4"/>
  <c r="H434" i="4"/>
  <c r="H435" i="4" s="1"/>
  <c r="H49" i="4" s="1"/>
  <c r="K193" i="4"/>
  <c r="K248" i="4" s="1"/>
  <c r="K43" i="4"/>
  <c r="K45" i="4" s="1"/>
  <c r="AE193" i="4"/>
  <c r="AE248" i="4" s="1"/>
  <c r="AE43" i="4"/>
  <c r="AE45" i="4" s="1"/>
  <c r="D193" i="4"/>
  <c r="D248" i="4" s="1"/>
  <c r="D43" i="4"/>
  <c r="D45" i="4" s="1"/>
  <c r="AA193" i="4"/>
  <c r="AA248" i="4" s="1"/>
  <c r="AA43" i="4"/>
  <c r="AA45" i="4" s="1"/>
  <c r="BB193" i="4"/>
  <c r="BB248" i="4" s="1"/>
  <c r="BB43" i="4"/>
  <c r="BB45" i="4" s="1"/>
  <c r="V193" i="4"/>
  <c r="V248" i="4" s="1"/>
  <c r="V43" i="4"/>
  <c r="V45" i="4" s="1"/>
  <c r="AK431" i="4"/>
  <c r="AK434" i="4" s="1"/>
  <c r="AK435" i="4" s="1"/>
  <c r="AK49" i="4" s="1"/>
  <c r="AK17" i="4"/>
  <c r="W193" i="4"/>
  <c r="W248" i="4" s="1"/>
  <c r="W43" i="4"/>
  <c r="W45" i="4" s="1"/>
  <c r="AG193" i="4"/>
  <c r="AG248" i="4" s="1"/>
  <c r="AG43" i="4"/>
  <c r="AG45" i="4" s="1"/>
  <c r="AR193" i="4"/>
  <c r="AR248" i="4" s="1"/>
  <c r="AR43" i="4"/>
  <c r="AR45" i="4" s="1"/>
  <c r="E193" i="4"/>
  <c r="E248" i="4" s="1"/>
  <c r="E43" i="4"/>
  <c r="E45" i="4" s="1"/>
  <c r="C16" i="4"/>
  <c r="AR431" i="4"/>
  <c r="AR17" i="4"/>
  <c r="AR23" i="4" s="1"/>
  <c r="AR498" i="4" s="1"/>
  <c r="AR27" i="4" s="1"/>
  <c r="I431" i="4"/>
  <c r="I17" i="4"/>
  <c r="AJ431" i="4"/>
  <c r="AJ434" i="4" s="1"/>
  <c r="AJ435" i="4" s="1"/>
  <c r="AJ49" i="4" s="1"/>
  <c r="AJ17" i="4"/>
  <c r="T431" i="4"/>
  <c r="T17" i="4"/>
  <c r="AZ193" i="4"/>
  <c r="AZ248" i="4" s="1"/>
  <c r="AZ43" i="4"/>
  <c r="AZ45" i="4" s="1"/>
  <c r="P193" i="4"/>
  <c r="P248" i="4" s="1"/>
  <c r="P43" i="4"/>
  <c r="P45" i="4" s="1"/>
  <c r="AF193" i="4"/>
  <c r="AF248" i="4" s="1"/>
  <c r="AF43" i="4"/>
  <c r="AF45" i="4" s="1"/>
  <c r="U193" i="4"/>
  <c r="U248" i="4" s="1"/>
  <c r="U43" i="4"/>
  <c r="U45" i="4" s="1"/>
  <c r="M431" i="4"/>
  <c r="M434" i="4" s="1"/>
  <c r="M435" i="4" s="1"/>
  <c r="M49" i="4" s="1"/>
  <c r="M17" i="4"/>
  <c r="I193" i="4"/>
  <c r="I248" i="4" s="1"/>
  <c r="I43" i="4"/>
  <c r="I45" i="4" s="1"/>
  <c r="S171" i="4"/>
  <c r="AF431" i="4"/>
  <c r="AF434" i="4" s="1"/>
  <c r="AF435" i="4" s="1"/>
  <c r="AF49" i="4" s="1"/>
  <c r="AF17" i="4"/>
  <c r="AF23" i="4" s="1"/>
  <c r="F431" i="4"/>
  <c r="F434" i="4" s="1"/>
  <c r="F435" i="4" s="1"/>
  <c r="F49" i="4" s="1"/>
  <c r="F17" i="4"/>
  <c r="AH431" i="4"/>
  <c r="AH434" i="4" s="1"/>
  <c r="AH435" i="4" s="1"/>
  <c r="AH49" i="4" s="1"/>
  <c r="AH17" i="4"/>
  <c r="E431" i="4"/>
  <c r="E434" i="4" s="1"/>
  <c r="E435" i="4" s="1"/>
  <c r="E49" i="4" s="1"/>
  <c r="E17" i="4"/>
  <c r="BB426" i="4"/>
  <c r="AH193" i="4"/>
  <c r="AH248" i="4" s="1"/>
  <c r="AH43" i="4"/>
  <c r="AH45" i="4" s="1"/>
  <c r="T193" i="4"/>
  <c r="T248" i="4" s="1"/>
  <c r="T43" i="4"/>
  <c r="T45" i="4" s="1"/>
  <c r="X325" i="4"/>
  <c r="AN193" i="4"/>
  <c r="AN248" i="4" s="1"/>
  <c r="AN43" i="4"/>
  <c r="AN45" i="4" s="1"/>
  <c r="AC193" i="4"/>
  <c r="AC248" i="4" s="1"/>
  <c r="AC43" i="4"/>
  <c r="AC45" i="4" s="1"/>
  <c r="Q193" i="4"/>
  <c r="Q248" i="4" s="1"/>
  <c r="Q43" i="4"/>
  <c r="Q45" i="4" s="1"/>
  <c r="AQ193" i="4"/>
  <c r="AQ248" i="4" s="1"/>
  <c r="AQ43" i="4"/>
  <c r="AQ45" i="4" s="1"/>
  <c r="H193" i="4"/>
  <c r="H248" i="4" s="1"/>
  <c r="H43" i="4"/>
  <c r="H45" i="4" s="1"/>
  <c r="X193" i="4"/>
  <c r="X248" i="4" s="1"/>
  <c r="X43" i="4"/>
  <c r="X45" i="4" s="1"/>
  <c r="AR426" i="4"/>
  <c r="W17" i="4"/>
  <c r="AN431" i="4"/>
  <c r="AN17" i="4"/>
  <c r="AN23" i="4" s="1"/>
  <c r="AN498" i="4" s="1"/>
  <c r="Q431" i="4"/>
  <c r="Q434" i="4" s="1"/>
  <c r="Q435" i="4" s="1"/>
  <c r="Q49" i="4" s="1"/>
  <c r="Q17" i="4"/>
  <c r="G426" i="4"/>
  <c r="D434" i="4"/>
  <c r="D435" i="4" s="1"/>
  <c r="D49" i="4" s="1"/>
  <c r="AB193" i="4"/>
  <c r="AB248" i="4" s="1"/>
  <c r="AB43" i="4"/>
  <c r="AB45" i="4" s="1"/>
  <c r="O193" i="4"/>
  <c r="O248" i="4" s="1"/>
  <c r="O43" i="4"/>
  <c r="O45" i="4" s="1"/>
  <c r="C11" i="4"/>
  <c r="AK193" i="4"/>
  <c r="AK248" i="4" s="1"/>
  <c r="AK43" i="4"/>
  <c r="AK45" i="4" s="1"/>
  <c r="M193" i="4"/>
  <c r="M248" i="4" s="1"/>
  <c r="M43" i="4"/>
  <c r="M45" i="4" s="1"/>
  <c r="AJ193" i="4"/>
  <c r="AJ248" i="4" s="1"/>
  <c r="AJ43" i="4"/>
  <c r="AJ45" i="4" s="1"/>
  <c r="L193" i="4"/>
  <c r="L248" i="4" s="1"/>
  <c r="L43" i="4"/>
  <c r="L45" i="4" s="1"/>
  <c r="C433" i="4"/>
  <c r="F448" i="1" s="1"/>
  <c r="AE434" i="4"/>
  <c r="AE435" i="4" s="1"/>
  <c r="AE49" i="4" s="1"/>
  <c r="C430" i="4"/>
  <c r="F445" i="1" s="1"/>
  <c r="F201" i="1"/>
  <c r="U12" i="13"/>
  <c r="U18" i="13"/>
  <c r="C21" i="4"/>
  <c r="C432" i="4"/>
  <c r="F447" i="1" s="1"/>
  <c r="V434" i="4"/>
  <c r="V435" i="4" s="1"/>
  <c r="V49" i="4" s="1"/>
  <c r="AD431" i="4"/>
  <c r="AD434" i="4" s="1"/>
  <c r="AD435" i="4" s="1"/>
  <c r="AD49" i="4" s="1"/>
  <c r="C380" i="4"/>
  <c r="C352" i="4"/>
  <c r="AD325" i="4"/>
  <c r="AD15" i="4" s="1"/>
  <c r="F365" i="1"/>
  <c r="F16" i="1" s="1"/>
  <c r="K426" i="4"/>
  <c r="G43" i="4"/>
  <c r="G193" i="4"/>
  <c r="G248" i="4" s="1"/>
  <c r="F301" i="1"/>
  <c r="F10" i="1" s="1"/>
  <c r="AA434" i="4"/>
  <c r="AA435" i="4" s="1"/>
  <c r="AA49" i="4" s="1"/>
  <c r="J426" i="4"/>
  <c r="J12" i="4"/>
  <c r="I426" i="4"/>
  <c r="I15" i="4"/>
  <c r="G142" i="1"/>
  <c r="G175" i="1" s="1"/>
  <c r="H175" i="1"/>
  <c r="G18" i="3"/>
  <c r="G402" i="1"/>
  <c r="F106" i="1"/>
  <c r="F181" i="1" s="1"/>
  <c r="F394" i="1"/>
  <c r="F393" i="1"/>
  <c r="F17" i="1" s="1"/>
  <c r="F173" i="1"/>
  <c r="F177" i="1"/>
  <c r="G20" i="1"/>
  <c r="C316" i="4"/>
  <c r="C325" i="4" s="1"/>
  <c r="T426" i="4"/>
  <c r="T15" i="4"/>
  <c r="F329" i="1"/>
  <c r="F338" i="1" s="1"/>
  <c r="F15" i="1" s="1"/>
  <c r="F7" i="1"/>
  <c r="G264" i="1"/>
  <c r="G19" i="19"/>
  <c r="H7" i="19"/>
  <c r="E18" i="1"/>
  <c r="G18" i="1" s="1"/>
  <c r="E447" i="1"/>
  <c r="G409" i="1"/>
  <c r="D447" i="1"/>
  <c r="G416" i="1"/>
  <c r="G58" i="5"/>
  <c r="G25" i="5"/>
  <c r="I25" i="5" s="1"/>
  <c r="K25" i="5" s="1"/>
  <c r="G44" i="5"/>
  <c r="I44" i="5" s="1"/>
  <c r="G46" i="5"/>
  <c r="I46" i="5" s="1"/>
  <c r="G13" i="5"/>
  <c r="I13" i="5" s="1"/>
  <c r="G24" i="5"/>
  <c r="I24" i="5" s="1"/>
  <c r="K24" i="5" s="1"/>
  <c r="M24" i="5" s="1"/>
  <c r="M28" i="5" s="1"/>
  <c r="I49" i="5"/>
  <c r="G15" i="5"/>
  <c r="I15" i="5" s="1"/>
  <c r="G14" i="5"/>
  <c r="I14" i="5" s="1"/>
  <c r="K14" i="5" s="1"/>
  <c r="G45" i="5"/>
  <c r="I45" i="5" s="1"/>
  <c r="G9" i="5"/>
  <c r="I9" i="5" s="1"/>
  <c r="G26" i="5"/>
  <c r="I26" i="5" s="1"/>
  <c r="K26" i="5" s="1"/>
  <c r="G48" i="5"/>
  <c r="I48" i="5" s="1"/>
  <c r="G10" i="5"/>
  <c r="I10" i="5" s="1"/>
  <c r="M10" i="5" s="1"/>
  <c r="G11" i="5"/>
  <c r="I11" i="5" s="1"/>
  <c r="M11" i="5" s="1"/>
  <c r="G57" i="5"/>
  <c r="G39" i="5"/>
  <c r="G41" i="5" s="1"/>
  <c r="G47" i="5"/>
  <c r="I47" i="5" s="1"/>
  <c r="G16" i="5"/>
  <c r="I16" i="5" s="1"/>
  <c r="M16" i="5" s="1"/>
  <c r="G12" i="5"/>
  <c r="I12" i="5" s="1"/>
  <c r="K12" i="5" s="1"/>
  <c r="M12" i="5" s="1"/>
  <c r="G22" i="5"/>
  <c r="I22" i="5" s="1"/>
  <c r="G23" i="5"/>
  <c r="I23" i="5" s="1"/>
  <c r="K23" i="5" s="1"/>
  <c r="K13" i="5"/>
  <c r="M13" i="5" s="1"/>
  <c r="C55" i="1"/>
  <c r="E18" i="9"/>
  <c r="H38" i="18"/>
  <c r="M37" i="19"/>
  <c r="N37" i="19" s="1"/>
  <c r="K34" i="19"/>
  <c r="J12" i="19"/>
  <c r="H33" i="19"/>
  <c r="F35" i="19"/>
  <c r="F39" i="19" s="1"/>
  <c r="J15" i="19"/>
  <c r="Q35" i="18"/>
  <c r="Q36" i="18" s="1"/>
  <c r="F38" i="18" s="1"/>
  <c r="J38" i="18" s="1"/>
  <c r="O40" i="18"/>
  <c r="Q40" i="18" s="1"/>
  <c r="Q41" i="18" s="1"/>
  <c r="F43" i="18" s="1"/>
  <c r="J43" i="18" s="1"/>
  <c r="W426" i="4" l="1"/>
  <c r="D498" i="4"/>
  <c r="D499" i="4" s="1"/>
  <c r="AC426" i="4"/>
  <c r="O23" i="4"/>
  <c r="O498" i="4" s="1"/>
  <c r="O27" i="4" s="1"/>
  <c r="O30" i="4" s="1"/>
  <c r="BA53" i="4"/>
  <c r="AI23" i="4"/>
  <c r="AI498" i="4" s="1"/>
  <c r="AI27" i="4" s="1"/>
  <c r="AI30" i="4" s="1"/>
  <c r="AU27" i="4"/>
  <c r="AU30" i="4" s="1"/>
  <c r="AU499" i="4"/>
  <c r="AU33" i="4" s="1"/>
  <c r="AU37" i="4" s="1"/>
  <c r="AU39" i="4" s="1"/>
  <c r="AU41" i="4" s="1"/>
  <c r="AX27" i="4"/>
  <c r="AX30" i="4" s="1"/>
  <c r="AX499" i="4"/>
  <c r="AX33" i="4" s="1"/>
  <c r="AX37" i="4" s="1"/>
  <c r="AY27" i="4"/>
  <c r="AY30" i="4" s="1"/>
  <c r="AY499" i="4"/>
  <c r="AY33" i="4" s="1"/>
  <c r="AY37" i="4" s="1"/>
  <c r="AY39" i="4" s="1"/>
  <c r="AY41" i="4" s="1"/>
  <c r="BG27" i="4"/>
  <c r="BG30" i="4" s="1"/>
  <c r="BG499" i="4"/>
  <c r="BG33" i="4" s="1"/>
  <c r="BG37" i="4" s="1"/>
  <c r="AV27" i="4"/>
  <c r="AV30" i="4" s="1"/>
  <c r="AV499" i="4"/>
  <c r="AV33" i="4" s="1"/>
  <c r="AV37" i="4" s="1"/>
  <c r="AS27" i="4"/>
  <c r="AS30" i="4" s="1"/>
  <c r="AS499" i="4"/>
  <c r="AS33" i="4" s="1"/>
  <c r="AS37" i="4" s="1"/>
  <c r="BH27" i="4"/>
  <c r="BH30" i="4" s="1"/>
  <c r="BH499" i="4"/>
  <c r="BE27" i="4"/>
  <c r="BE30" i="4" s="1"/>
  <c r="BE499" i="4"/>
  <c r="BE33" i="4" s="1"/>
  <c r="BE37" i="4" s="1"/>
  <c r="AT27" i="4"/>
  <c r="AT30" i="4" s="1"/>
  <c r="AT499" i="4"/>
  <c r="AT33" i="4" s="1"/>
  <c r="AT37" i="4" s="1"/>
  <c r="AW27" i="4"/>
  <c r="AW30" i="4" s="1"/>
  <c r="AW499" i="4"/>
  <c r="BC27" i="4"/>
  <c r="BC30" i="4" s="1"/>
  <c r="BC499" i="4"/>
  <c r="AP27" i="4"/>
  <c r="AP30" i="4" s="1"/>
  <c r="AP499" i="4"/>
  <c r="BI27" i="4"/>
  <c r="BI30" i="4" s="1"/>
  <c r="BI499" i="4"/>
  <c r="BI33" i="4" s="1"/>
  <c r="BI37" i="4" s="1"/>
  <c r="BD27" i="4"/>
  <c r="BD30" i="4" s="1"/>
  <c r="BD499" i="4"/>
  <c r="BD33" i="4" s="1"/>
  <c r="BD37" i="4" s="1"/>
  <c r="BF27" i="4"/>
  <c r="BF30" i="4" s="1"/>
  <c r="BF499" i="4"/>
  <c r="BF33" i="4" s="1"/>
  <c r="BF37" i="4" s="1"/>
  <c r="AY2" i="4"/>
  <c r="AZ2" i="4" s="1"/>
  <c r="BA2" i="4" s="1"/>
  <c r="BB2" i="4" s="1"/>
  <c r="BC2" i="4" s="1"/>
  <c r="BD2" i="4" s="1"/>
  <c r="BE2" i="4" s="1"/>
  <c r="BF2" i="4" s="1"/>
  <c r="BG2" i="4" s="1"/>
  <c r="BH2" i="4" s="1"/>
  <c r="BI2" i="4" s="1"/>
  <c r="BJ2" i="4" s="1"/>
  <c r="AR434" i="4"/>
  <c r="AR435" i="4" s="1"/>
  <c r="AR49" i="4" s="1"/>
  <c r="AR53" i="4" s="1"/>
  <c r="AK23" i="4"/>
  <c r="AK30" i="4" s="1"/>
  <c r="AB53" i="4"/>
  <c r="O426" i="4"/>
  <c r="AN434" i="4"/>
  <c r="AN435" i="4" s="1"/>
  <c r="AN49" i="4" s="1"/>
  <c r="AN53" i="4" s="1"/>
  <c r="H498" i="4"/>
  <c r="H499" i="4" s="1"/>
  <c r="H33" i="4" s="1"/>
  <c r="H37" i="4" s="1"/>
  <c r="Y426" i="4"/>
  <c r="E15" i="4"/>
  <c r="E23" i="4" s="1"/>
  <c r="E498" i="4" s="1"/>
  <c r="E499" i="4" s="1"/>
  <c r="J23" i="4"/>
  <c r="J498" i="4" s="1"/>
  <c r="AA426" i="4"/>
  <c r="S426" i="4"/>
  <c r="Z53" i="4"/>
  <c r="D426" i="4"/>
  <c r="BB434" i="4"/>
  <c r="BB435" i="4" s="1"/>
  <c r="BB49" i="4" s="1"/>
  <c r="BB53" i="4" s="1"/>
  <c r="I434" i="4"/>
  <c r="I435" i="4" s="1"/>
  <c r="I49" i="4" s="1"/>
  <c r="I53" i="4" s="1"/>
  <c r="C10" i="4"/>
  <c r="C12" i="4" s="1"/>
  <c r="AA23" i="4"/>
  <c r="AA498" i="4" s="1"/>
  <c r="AA27" i="4" s="1"/>
  <c r="AA30" i="4" s="1"/>
  <c r="AB23" i="4"/>
  <c r="AB498" i="4" s="1"/>
  <c r="AB499" i="4" s="1"/>
  <c r="AB33" i="4" s="1"/>
  <c r="AB37" i="4" s="1"/>
  <c r="AE15" i="4"/>
  <c r="AE23" i="4" s="1"/>
  <c r="AE498" i="4" s="1"/>
  <c r="O53" i="4"/>
  <c r="AZ23" i="4"/>
  <c r="AZ498" i="4" s="1"/>
  <c r="AZ27" i="4" s="1"/>
  <c r="AZ30" i="4" s="1"/>
  <c r="Y53" i="4"/>
  <c r="AH23" i="4"/>
  <c r="AH498" i="4" s="1"/>
  <c r="AH499" i="4" s="1"/>
  <c r="AH33" i="4" s="1"/>
  <c r="AH37" i="4" s="1"/>
  <c r="AJ53" i="4"/>
  <c r="AB426" i="4"/>
  <c r="U23" i="4"/>
  <c r="U498" i="4" s="1"/>
  <c r="U499" i="4" s="1"/>
  <c r="U33" i="4" s="1"/>
  <c r="U37" i="4" s="1"/>
  <c r="AZ53" i="4"/>
  <c r="AQ23" i="4"/>
  <c r="AQ498" i="4" s="1"/>
  <c r="AQ27" i="4" s="1"/>
  <c r="AQ30" i="4" s="1"/>
  <c r="AC23" i="4"/>
  <c r="AC498" i="4" s="1"/>
  <c r="AC27" i="4" s="1"/>
  <c r="AC30" i="4" s="1"/>
  <c r="AK426" i="4"/>
  <c r="AZ426" i="4"/>
  <c r="AO53" i="4"/>
  <c r="Q23" i="4"/>
  <c r="Q498" i="4" s="1"/>
  <c r="E53" i="4"/>
  <c r="P53" i="4"/>
  <c r="T434" i="4"/>
  <c r="T435" i="4" s="1"/>
  <c r="T49" i="4" s="1"/>
  <c r="T53" i="4" s="1"/>
  <c r="K53" i="4"/>
  <c r="AQ426" i="4"/>
  <c r="AI53" i="4"/>
  <c r="Q426" i="4"/>
  <c r="AG23" i="4"/>
  <c r="AG498" i="4" s="1"/>
  <c r="AG27" i="4" s="1"/>
  <c r="AG30" i="4" s="1"/>
  <c r="N53" i="4"/>
  <c r="AE53" i="4"/>
  <c r="F53" i="4"/>
  <c r="L12" i="4"/>
  <c r="F426" i="4"/>
  <c r="AH426" i="4"/>
  <c r="AI426" i="4"/>
  <c r="R53" i="4"/>
  <c r="N499" i="4"/>
  <c r="N33" i="4" s="1"/>
  <c r="N37" i="4" s="1"/>
  <c r="N39" i="4" s="1"/>
  <c r="N41" i="4" s="1"/>
  <c r="AA53" i="4"/>
  <c r="AD53" i="4"/>
  <c r="AG426" i="4"/>
  <c r="O499" i="4"/>
  <c r="O33" i="4" s="1"/>
  <c r="O37" i="4" s="1"/>
  <c r="O39" i="4" s="1"/>
  <c r="O41" i="4" s="1"/>
  <c r="AM426" i="4"/>
  <c r="AL53" i="4"/>
  <c r="J53" i="4"/>
  <c r="M426" i="4"/>
  <c r="Z15" i="4"/>
  <c r="Z23" i="4" s="1"/>
  <c r="Z498" i="4" s="1"/>
  <c r="Z426" i="4"/>
  <c r="H426" i="4"/>
  <c r="W53" i="4"/>
  <c r="AM23" i="4"/>
  <c r="AM498" i="4" s="1"/>
  <c r="Y23" i="4"/>
  <c r="Y498" i="4" s="1"/>
  <c r="Y27" i="4" s="1"/>
  <c r="Y30" i="4" s="1"/>
  <c r="AL15" i="4"/>
  <c r="AL23" i="4" s="1"/>
  <c r="AL426" i="4"/>
  <c r="AC53" i="4"/>
  <c r="M23" i="4"/>
  <c r="M498" i="4" s="1"/>
  <c r="M27" i="4" s="1"/>
  <c r="M30" i="4" s="1"/>
  <c r="AJ426" i="4"/>
  <c r="AJ23" i="4"/>
  <c r="AJ30" i="4" s="1"/>
  <c r="AO15" i="4"/>
  <c r="AO23" i="4" s="1"/>
  <c r="AO498" i="4" s="1"/>
  <c r="AO27" i="4" s="1"/>
  <c r="AO426" i="4"/>
  <c r="H53" i="4"/>
  <c r="V15" i="4"/>
  <c r="V23" i="4" s="1"/>
  <c r="V426" i="4"/>
  <c r="W23" i="4"/>
  <c r="W498" i="4" s="1"/>
  <c r="W27" i="4" s="1"/>
  <c r="W30" i="4" s="1"/>
  <c r="L23" i="4"/>
  <c r="L426" i="4"/>
  <c r="AG53" i="4"/>
  <c r="U53" i="4"/>
  <c r="AQ53" i="4"/>
  <c r="F23" i="4"/>
  <c r="F498" i="4" s="1"/>
  <c r="F499" i="4" s="1"/>
  <c r="F33" i="4" s="1"/>
  <c r="F37" i="4" s="1"/>
  <c r="T23" i="4"/>
  <c r="T498" i="4" s="1"/>
  <c r="I23" i="4"/>
  <c r="I498" i="4" s="1"/>
  <c r="I499" i="4" s="1"/>
  <c r="I33" i="4" s="1"/>
  <c r="I37" i="4" s="1"/>
  <c r="L53" i="4"/>
  <c r="R499" i="4"/>
  <c r="R33" i="4" s="1"/>
  <c r="R37" i="4" s="1"/>
  <c r="R39" i="4" s="1"/>
  <c r="R41" i="4" s="1"/>
  <c r="X53" i="4"/>
  <c r="P15" i="4"/>
  <c r="P23" i="4" s="1"/>
  <c r="P426" i="4"/>
  <c r="BA15" i="4"/>
  <c r="BA23" i="4" s="1"/>
  <c r="BA426" i="4"/>
  <c r="C429" i="4"/>
  <c r="F444" i="1" s="1"/>
  <c r="C431" i="4"/>
  <c r="F446" i="1" s="1"/>
  <c r="C17" i="4"/>
  <c r="AF498" i="4"/>
  <c r="AF27" i="4" s="1"/>
  <c r="AF30" i="4" s="1"/>
  <c r="AR499" i="4"/>
  <c r="AR33" i="4" s="1"/>
  <c r="AR37" i="4" s="1"/>
  <c r="AR30" i="4"/>
  <c r="AN499" i="4"/>
  <c r="AN33" i="4" s="1"/>
  <c r="AN37" i="4" s="1"/>
  <c r="AN27" i="4"/>
  <c r="AN30" i="4" s="1"/>
  <c r="AF53" i="4"/>
  <c r="D53" i="4"/>
  <c r="S193" i="4"/>
  <c r="S248" i="4" s="1"/>
  <c r="S43" i="4"/>
  <c r="S45" i="4" s="1"/>
  <c r="S53" i="4" s="1"/>
  <c r="X15" i="4"/>
  <c r="X23" i="4" s="1"/>
  <c r="X426" i="4"/>
  <c r="M53" i="4"/>
  <c r="Q53" i="4"/>
  <c r="AK53" i="4"/>
  <c r="BB499" i="4"/>
  <c r="BB30" i="4"/>
  <c r="AH53" i="4"/>
  <c r="G498" i="4"/>
  <c r="AD23" i="4"/>
  <c r="AD498" i="4" s="1"/>
  <c r="AD27" i="4" s="1"/>
  <c r="AD30" i="4" s="1"/>
  <c r="AM53" i="4"/>
  <c r="G447" i="1"/>
  <c r="V53" i="4"/>
  <c r="F303" i="1"/>
  <c r="C426" i="4"/>
  <c r="AD426" i="4"/>
  <c r="G45" i="4"/>
  <c r="F23" i="1"/>
  <c r="F439" i="1"/>
  <c r="F441" i="1" s="1"/>
  <c r="S499" i="4"/>
  <c r="S33" i="4" s="1"/>
  <c r="S37" i="4" s="1"/>
  <c r="S27" i="4"/>
  <c r="S30" i="4" s="1"/>
  <c r="D27" i="4"/>
  <c r="D30" i="4" s="1"/>
  <c r="F171" i="1"/>
  <c r="E390" i="1"/>
  <c r="E386" i="1"/>
  <c r="E373" i="1"/>
  <c r="E369" i="1"/>
  <c r="E389" i="1"/>
  <c r="E385" i="1"/>
  <c r="E382" i="1"/>
  <c r="E376" i="1"/>
  <c r="E372" i="1"/>
  <c r="E368" i="1"/>
  <c r="E464" i="1"/>
  <c r="E456" i="1"/>
  <c r="E388" i="1"/>
  <c r="E384" i="1"/>
  <c r="E377" i="1"/>
  <c r="E375" i="1"/>
  <c r="E371" i="1"/>
  <c r="E298" i="1"/>
  <c r="E285" i="1"/>
  <c r="E243" i="1"/>
  <c r="E234" i="1"/>
  <c r="E284" i="1"/>
  <c r="E380" i="1"/>
  <c r="E283" i="1"/>
  <c r="E387" i="1"/>
  <c r="E383" i="1"/>
  <c r="E370" i="1"/>
  <c r="E218" i="1"/>
  <c r="E374" i="1"/>
  <c r="E219" i="1"/>
  <c r="E186" i="1"/>
  <c r="E381" i="1"/>
  <c r="E280" i="1"/>
  <c r="E495" i="1"/>
  <c r="F179" i="1"/>
  <c r="K27" i="4"/>
  <c r="K30" i="4" s="1"/>
  <c r="K499" i="4"/>
  <c r="K33" i="4" s="1"/>
  <c r="K37" i="4" s="1"/>
  <c r="F12" i="1"/>
  <c r="G7" i="1"/>
  <c r="E11" i="8" s="1"/>
  <c r="H19" i="19"/>
  <c r="J7" i="19"/>
  <c r="G59" i="5"/>
  <c r="I39" i="5"/>
  <c r="G18" i="5"/>
  <c r="G28" i="5"/>
  <c r="G31" i="5" s="1"/>
  <c r="M18" i="5"/>
  <c r="M31" i="5" s="1"/>
  <c r="M53" i="5" s="1"/>
  <c r="I18" i="5"/>
  <c r="K9" i="5"/>
  <c r="K18" i="5" s="1"/>
  <c r="I28" i="5"/>
  <c r="K22" i="5"/>
  <c r="K28" i="5" s="1"/>
  <c r="K39" i="5"/>
  <c r="K41" i="5" s="1"/>
  <c r="I41" i="5"/>
  <c r="K35" i="19"/>
  <c r="K39" i="19" s="1"/>
  <c r="M34" i="19"/>
  <c r="N34" i="19" s="1"/>
  <c r="H35" i="19"/>
  <c r="H39" i="19" s="1"/>
  <c r="J33" i="19"/>
  <c r="G12" i="3"/>
  <c r="G10" i="3"/>
  <c r="BD39" i="4" l="1"/>
  <c r="BD41" i="4" s="1"/>
  <c r="BF39" i="4"/>
  <c r="BF41" i="4" s="1"/>
  <c r="AI499" i="4"/>
  <c r="AI33" i="4" s="1"/>
  <c r="AI37" i="4" s="1"/>
  <c r="AI39" i="4" s="1"/>
  <c r="AI41" i="4" s="1"/>
  <c r="AK39" i="4"/>
  <c r="AK41" i="4" s="1"/>
  <c r="AK509" i="4"/>
  <c r="AO499" i="4"/>
  <c r="AO33" i="4" s="1"/>
  <c r="AO37" i="4" s="1"/>
  <c r="AJ39" i="4"/>
  <c r="AJ41" i="4" s="1"/>
  <c r="AJ509" i="4"/>
  <c r="AV503" i="4"/>
  <c r="AX39" i="4"/>
  <c r="AX41" i="4" s="1"/>
  <c r="BG39" i="4"/>
  <c r="BG41" i="4" s="1"/>
  <c r="AX503" i="4"/>
  <c r="AX509" i="4" s="1"/>
  <c r="BG503" i="4"/>
  <c r="BG509" i="4" s="1"/>
  <c r="AU503" i="4"/>
  <c r="AU509" i="4" s="1"/>
  <c r="AO30" i="4"/>
  <c r="BF503" i="4"/>
  <c r="BF509" i="4" s="1"/>
  <c r="AT39" i="4"/>
  <c r="AT41" i="4" s="1"/>
  <c r="AV509" i="4"/>
  <c r="BE39" i="4"/>
  <c r="BE41" i="4" s="1"/>
  <c r="AS503" i="4"/>
  <c r="AS509" i="4" s="1"/>
  <c r="AV39" i="4"/>
  <c r="AV41" i="4" s="1"/>
  <c r="BH503" i="4"/>
  <c r="BH509" i="4" s="1"/>
  <c r="BH33" i="4"/>
  <c r="BH37" i="4" s="1"/>
  <c r="BH39" i="4" s="1"/>
  <c r="BH41" i="4" s="1"/>
  <c r="AP503" i="4"/>
  <c r="AP509" i="4" s="1"/>
  <c r="AP33" i="4"/>
  <c r="AP37" i="4" s="1"/>
  <c r="AP39" i="4" s="1"/>
  <c r="AP41" i="4" s="1"/>
  <c r="AW503" i="4"/>
  <c r="AW509" i="4" s="1"/>
  <c r="AW33" i="4"/>
  <c r="AW37" i="4" s="1"/>
  <c r="AW39" i="4" s="1"/>
  <c r="AW41" i="4" s="1"/>
  <c r="BE503" i="4"/>
  <c r="BE509" i="4" s="1"/>
  <c r="BI503" i="4"/>
  <c r="BD503" i="4"/>
  <c r="BD509" i="4" s="1"/>
  <c r="BI39" i="4"/>
  <c r="BI41" i="4" s="1"/>
  <c r="BC503" i="4"/>
  <c r="BC509" i="4" s="1"/>
  <c r="BC33" i="4"/>
  <c r="BC37" i="4" s="1"/>
  <c r="BC39" i="4" s="1"/>
  <c r="BC41" i="4" s="1"/>
  <c r="AT503" i="4"/>
  <c r="AT509" i="4" s="1"/>
  <c r="AS39" i="4"/>
  <c r="AS41" i="4" s="1"/>
  <c r="AY503" i="4"/>
  <c r="AY509" i="4" s="1"/>
  <c r="U503" i="4"/>
  <c r="AG499" i="4"/>
  <c r="AG503" i="4" s="1"/>
  <c r="AG509" i="4" s="1"/>
  <c r="U27" i="4"/>
  <c r="U30" i="4" s="1"/>
  <c r="U39" i="4" s="1"/>
  <c r="U41" i="4" s="1"/>
  <c r="BK2" i="4"/>
  <c r="H27" i="4"/>
  <c r="H30" i="4" s="1"/>
  <c r="H39" i="4" s="1"/>
  <c r="H41" i="4" s="1"/>
  <c r="AA499" i="4"/>
  <c r="AA33" i="4" s="1"/>
  <c r="AA37" i="4" s="1"/>
  <c r="AA39" i="4" s="1"/>
  <c r="AA41" i="4" s="1"/>
  <c r="J499" i="4"/>
  <c r="J33" i="4" s="1"/>
  <c r="J37" i="4" s="1"/>
  <c r="J27" i="4"/>
  <c r="J30" i="4" s="1"/>
  <c r="AB27" i="4"/>
  <c r="AB30" i="4" s="1"/>
  <c r="AB39" i="4" s="1"/>
  <c r="AB41" i="4" s="1"/>
  <c r="AB503" i="4"/>
  <c r="L498" i="4"/>
  <c r="L499" i="4" s="1"/>
  <c r="L33" i="4" s="1"/>
  <c r="L37" i="4" s="1"/>
  <c r="C43" i="4"/>
  <c r="O503" i="4"/>
  <c r="O509" i="4" s="1"/>
  <c r="Y499" i="4"/>
  <c r="Y33" i="4" s="1"/>
  <c r="Y37" i="4" s="1"/>
  <c r="Y39" i="4" s="1"/>
  <c r="Y41" i="4" s="1"/>
  <c r="AC499" i="4"/>
  <c r="AC33" i="4" s="1"/>
  <c r="AC37" i="4" s="1"/>
  <c r="AC39" i="4" s="1"/>
  <c r="AC41" i="4" s="1"/>
  <c r="I503" i="4"/>
  <c r="N503" i="4"/>
  <c r="N509" i="4" s="1"/>
  <c r="F503" i="4"/>
  <c r="C49" i="4"/>
  <c r="C434" i="4"/>
  <c r="C435" i="4" s="1"/>
  <c r="F449" i="1"/>
  <c r="F450" i="1" s="1"/>
  <c r="F49" i="1" s="1"/>
  <c r="Z499" i="4"/>
  <c r="Z33" i="4" s="1"/>
  <c r="Z37" i="4" s="1"/>
  <c r="Z27" i="4"/>
  <c r="Z30" i="4" s="1"/>
  <c r="AZ499" i="4"/>
  <c r="F27" i="4"/>
  <c r="F30" i="4" s="1"/>
  <c r="F39" i="4" s="1"/>
  <c r="F41" i="4" s="1"/>
  <c r="AR39" i="4"/>
  <c r="AR41" i="4" s="1"/>
  <c r="AL498" i="4"/>
  <c r="AL499" i="4" s="1"/>
  <c r="AL33" i="4" s="1"/>
  <c r="AL37" i="4" s="1"/>
  <c r="W499" i="4"/>
  <c r="W33" i="4" s="1"/>
  <c r="W37" i="4" s="1"/>
  <c r="W39" i="4" s="1"/>
  <c r="W41" i="4" s="1"/>
  <c r="C15" i="4"/>
  <c r="C23" i="4" s="1"/>
  <c r="AQ499" i="4"/>
  <c r="AQ33" i="4" s="1"/>
  <c r="AQ37" i="4" s="1"/>
  <c r="AQ39" i="4" s="1"/>
  <c r="AQ41" i="4" s="1"/>
  <c r="V498" i="4"/>
  <c r="S39" i="4"/>
  <c r="S41" i="4" s="1"/>
  <c r="I27" i="4"/>
  <c r="I30" i="4" s="1"/>
  <c r="I39" i="4" s="1"/>
  <c r="I41" i="4" s="1"/>
  <c r="M499" i="4"/>
  <c r="M33" i="4" s="1"/>
  <c r="M37" i="4" s="1"/>
  <c r="M39" i="4" s="1"/>
  <c r="M41" i="4" s="1"/>
  <c r="AM27" i="4"/>
  <c r="AM30" i="4" s="1"/>
  <c r="AR503" i="4"/>
  <c r="AR509" i="4" s="1"/>
  <c r="C45" i="4"/>
  <c r="AF499" i="4"/>
  <c r="P498" i="4"/>
  <c r="P499" i="4" s="1"/>
  <c r="P33" i="4" s="1"/>
  <c r="P37" i="4" s="1"/>
  <c r="AM499" i="4"/>
  <c r="AM33" i="4" s="1"/>
  <c r="AM37" i="4" s="1"/>
  <c r="AN39" i="4"/>
  <c r="AN41" i="4" s="1"/>
  <c r="R503" i="4"/>
  <c r="R509" i="4" s="1"/>
  <c r="AN503" i="4"/>
  <c r="AN509" i="4" s="1"/>
  <c r="BA498" i="4"/>
  <c r="BA499" i="4" s="1"/>
  <c r="BA33" i="4" s="1"/>
  <c r="BA37" i="4" s="1"/>
  <c r="H503" i="4"/>
  <c r="AD499" i="4"/>
  <c r="AD33" i="4" s="1"/>
  <c r="AD37" i="4" s="1"/>
  <c r="AD39" i="4" s="1"/>
  <c r="AD41" i="4" s="1"/>
  <c r="G27" i="4"/>
  <c r="G30" i="4" s="1"/>
  <c r="BB503" i="4"/>
  <c r="BB509" i="4" s="1"/>
  <c r="BB33" i="4"/>
  <c r="BB37" i="4" s="1"/>
  <c r="BB39" i="4" s="1"/>
  <c r="BB41" i="4" s="1"/>
  <c r="X498" i="4"/>
  <c r="X499" i="4" s="1"/>
  <c r="X33" i="4" s="1"/>
  <c r="X37" i="4" s="1"/>
  <c r="Q27" i="4"/>
  <c r="Q30" i="4" s="1"/>
  <c r="G499" i="4"/>
  <c r="G33" i="4" s="1"/>
  <c r="G37" i="4" s="1"/>
  <c r="AH27" i="4"/>
  <c r="AH30" i="4" s="1"/>
  <c r="AH39" i="4" s="1"/>
  <c r="AH41" i="4" s="1"/>
  <c r="AH503" i="4"/>
  <c r="Q499" i="4"/>
  <c r="Q33" i="4" s="1"/>
  <c r="Q37" i="4" s="1"/>
  <c r="D33" i="4"/>
  <c r="G53" i="4"/>
  <c r="AE499" i="4"/>
  <c r="AE33" i="4" s="1"/>
  <c r="AE37" i="4" s="1"/>
  <c r="AE27" i="4"/>
  <c r="S503" i="4"/>
  <c r="S509" i="4" s="1"/>
  <c r="D503" i="4"/>
  <c r="D509" i="4" s="1"/>
  <c r="G495" i="1"/>
  <c r="D495" i="1"/>
  <c r="D298" i="1"/>
  <c r="G298" i="1"/>
  <c r="E378" i="1"/>
  <c r="D368" i="1"/>
  <c r="G368" i="1"/>
  <c r="D374" i="1"/>
  <c r="G374" i="1"/>
  <c r="D234" i="1"/>
  <c r="G234" i="1"/>
  <c r="G388" i="1"/>
  <c r="D388" i="1"/>
  <c r="D390" i="1"/>
  <c r="G390" i="1"/>
  <c r="E220" i="1"/>
  <c r="D218" i="1"/>
  <c r="G218" i="1"/>
  <c r="G283" i="1"/>
  <c r="D283" i="1"/>
  <c r="G243" i="1"/>
  <c r="D243" i="1"/>
  <c r="G375" i="1"/>
  <c r="D375" i="1"/>
  <c r="D456" i="1"/>
  <c r="G456" i="1"/>
  <c r="D376" i="1"/>
  <c r="G376" i="1"/>
  <c r="D369" i="1"/>
  <c r="G369" i="1"/>
  <c r="F203" i="1"/>
  <c r="F261" i="1" s="1"/>
  <c r="F43" i="1"/>
  <c r="F45" i="1" s="1"/>
  <c r="G219" i="1"/>
  <c r="D219" i="1"/>
  <c r="D383" i="1"/>
  <c r="G383" i="1"/>
  <c r="D284" i="1"/>
  <c r="G284" i="1"/>
  <c r="G384" i="1"/>
  <c r="D384" i="1"/>
  <c r="D385" i="1"/>
  <c r="G385" i="1"/>
  <c r="D386" i="1"/>
  <c r="G386" i="1"/>
  <c r="D280" i="1"/>
  <c r="G280" i="1"/>
  <c r="D387" i="1"/>
  <c r="G387" i="1"/>
  <c r="G371" i="1"/>
  <c r="D371" i="1"/>
  <c r="D372" i="1"/>
  <c r="G372" i="1"/>
  <c r="D389" i="1"/>
  <c r="G389" i="1"/>
  <c r="G381" i="1"/>
  <c r="D381" i="1"/>
  <c r="G186" i="1"/>
  <c r="D186" i="1"/>
  <c r="D370" i="1"/>
  <c r="G370" i="1"/>
  <c r="D380" i="1"/>
  <c r="G380" i="1"/>
  <c r="E391" i="1"/>
  <c r="D285" i="1"/>
  <c r="G285" i="1"/>
  <c r="D377" i="1"/>
  <c r="G377" i="1"/>
  <c r="G464" i="1"/>
  <c r="D464" i="1"/>
  <c r="D382" i="1"/>
  <c r="G382" i="1"/>
  <c r="D373" i="1"/>
  <c r="G373" i="1"/>
  <c r="K503" i="4"/>
  <c r="K509" i="4" s="1"/>
  <c r="K39" i="4"/>
  <c r="K41" i="4" s="1"/>
  <c r="T27" i="4"/>
  <c r="T30" i="4" s="1"/>
  <c r="T499" i="4"/>
  <c r="T33" i="4" s="1"/>
  <c r="T37" i="4" s="1"/>
  <c r="E33" i="4"/>
  <c r="E37" i="4" s="1"/>
  <c r="E27" i="4"/>
  <c r="E30" i="4" s="1"/>
  <c r="E503" i="4"/>
  <c r="K7" i="19"/>
  <c r="J19" i="19"/>
  <c r="E184" i="1"/>
  <c r="E192" i="1"/>
  <c r="D192" i="1" s="1"/>
  <c r="K31" i="5"/>
  <c r="K53" i="5" s="1"/>
  <c r="K55" i="5" s="1"/>
  <c r="I31" i="5"/>
  <c r="I53" i="5" s="1"/>
  <c r="J35" i="19"/>
  <c r="J39" i="19" s="1"/>
  <c r="M33" i="19"/>
  <c r="D32" i="6"/>
  <c r="E505" i="1"/>
  <c r="E334" i="1"/>
  <c r="E326" i="1"/>
  <c r="E318" i="1"/>
  <c r="D36" i="6"/>
  <c r="E493" i="1"/>
  <c r="E453" i="1"/>
  <c r="E429" i="1"/>
  <c r="E325" i="1"/>
  <c r="E317" i="1"/>
  <c r="E309" i="1"/>
  <c r="E462" i="1"/>
  <c r="E335" i="1"/>
  <c r="E322" i="1"/>
  <c r="E314" i="1"/>
  <c r="E455" i="1"/>
  <c r="E281" i="1"/>
  <c r="E210" i="1"/>
  <c r="E191" i="1"/>
  <c r="E161" i="1"/>
  <c r="E72" i="1"/>
  <c r="E313" i="1"/>
  <c r="E240" i="1"/>
  <c r="E117" i="1"/>
  <c r="E70" i="1"/>
  <c r="E66" i="1"/>
  <c r="E71" i="1"/>
  <c r="E116" i="1"/>
  <c r="E69" i="1"/>
  <c r="E211" i="1"/>
  <c r="E278" i="1"/>
  <c r="E68" i="1"/>
  <c r="E67" i="1"/>
  <c r="E162" i="1"/>
  <c r="E123" i="1"/>
  <c r="E119" i="1"/>
  <c r="E115" i="1"/>
  <c r="E122" i="1"/>
  <c r="E118" i="1"/>
  <c r="E114" i="1"/>
  <c r="E121" i="1"/>
  <c r="E113" i="1"/>
  <c r="E233" i="1"/>
  <c r="E120" i="1"/>
  <c r="AI503" i="4" l="1"/>
  <c r="AI509" i="4" s="1"/>
  <c r="AO503" i="4"/>
  <c r="AO509" i="4" s="1"/>
  <c r="AO39" i="4"/>
  <c r="AO41" i="4" s="1"/>
  <c r="AH509" i="4"/>
  <c r="AG33" i="4"/>
  <c r="AG37" i="4" s="1"/>
  <c r="AG39" i="4" s="1"/>
  <c r="AG41" i="4" s="1"/>
  <c r="U509" i="4"/>
  <c r="I509" i="4"/>
  <c r="H509" i="4"/>
  <c r="F509" i="4"/>
  <c r="AB509" i="4"/>
  <c r="E509" i="4"/>
  <c r="C53" i="4"/>
  <c r="AA503" i="4"/>
  <c r="AA509" i="4" s="1"/>
  <c r="J503" i="4"/>
  <c r="J509" i="4" s="1"/>
  <c r="J39" i="4"/>
  <c r="J41" i="4" s="1"/>
  <c r="BL2" i="4"/>
  <c r="L27" i="4"/>
  <c r="L30" i="4" s="1"/>
  <c r="L39" i="4" s="1"/>
  <c r="L41" i="4" s="1"/>
  <c r="L503" i="4"/>
  <c r="W503" i="4"/>
  <c r="W509" i="4" s="1"/>
  <c r="AC503" i="4"/>
  <c r="AC509" i="4" s="1"/>
  <c r="Y503" i="4"/>
  <c r="Y509" i="4" s="1"/>
  <c r="Z503" i="4"/>
  <c r="Z509" i="4" s="1"/>
  <c r="Z39" i="4"/>
  <c r="Z41" i="4" s="1"/>
  <c r="F53" i="1"/>
  <c r="AZ33" i="4"/>
  <c r="AZ37" i="4" s="1"/>
  <c r="AZ39" i="4" s="1"/>
  <c r="AZ41" i="4" s="1"/>
  <c r="AZ503" i="4"/>
  <c r="AZ509" i="4" s="1"/>
  <c r="AQ503" i="4"/>
  <c r="AQ509" i="4" s="1"/>
  <c r="AL27" i="4"/>
  <c r="AL30" i="4" s="1"/>
  <c r="AL39" i="4" s="1"/>
  <c r="AL41" i="4" s="1"/>
  <c r="AL503" i="4"/>
  <c r="V27" i="4"/>
  <c r="V30" i="4" s="1"/>
  <c r="V499" i="4"/>
  <c r="V33" i="4" s="1"/>
  <c r="V37" i="4" s="1"/>
  <c r="AD503" i="4"/>
  <c r="AD509" i="4" s="1"/>
  <c r="M503" i="4"/>
  <c r="M509" i="4" s="1"/>
  <c r="P27" i="4"/>
  <c r="P30" i="4" s="1"/>
  <c r="P39" i="4" s="1"/>
  <c r="P41" i="4" s="1"/>
  <c r="P503" i="4"/>
  <c r="Q39" i="4"/>
  <c r="Q41" i="4" s="1"/>
  <c r="AF33" i="4"/>
  <c r="AF37" i="4" s="1"/>
  <c r="AF39" i="4" s="1"/>
  <c r="AF41" i="4" s="1"/>
  <c r="AF503" i="4"/>
  <c r="AF509" i="4" s="1"/>
  <c r="AM39" i="4"/>
  <c r="AM41" i="4" s="1"/>
  <c r="BA27" i="4"/>
  <c r="BA30" i="4" s="1"/>
  <c r="BA39" i="4" s="1"/>
  <c r="BA41" i="4" s="1"/>
  <c r="BA503" i="4"/>
  <c r="AM503" i="4"/>
  <c r="AM509" i="4" s="1"/>
  <c r="Q503" i="4"/>
  <c r="Q509" i="4" s="1"/>
  <c r="G220" i="1"/>
  <c r="X27" i="4"/>
  <c r="X30" i="4" s="1"/>
  <c r="X39" i="4" s="1"/>
  <c r="X41" i="4" s="1"/>
  <c r="X503" i="4"/>
  <c r="G39" i="4"/>
  <c r="G41" i="4" s="1"/>
  <c r="G503" i="4"/>
  <c r="G509" i="4" s="1"/>
  <c r="C498" i="4"/>
  <c r="F514" i="1" s="1"/>
  <c r="AE30" i="4"/>
  <c r="AE39" i="4" s="1"/>
  <c r="AE41" i="4" s="1"/>
  <c r="D37" i="4"/>
  <c r="D39" i="4" s="1"/>
  <c r="AE503" i="4"/>
  <c r="G378" i="1"/>
  <c r="M55" i="5"/>
  <c r="N55" i="5" s="1"/>
  <c r="G391" i="1"/>
  <c r="D378" i="1"/>
  <c r="D393" i="1" s="1"/>
  <c r="D391" i="1"/>
  <c r="D220" i="1"/>
  <c r="E393" i="1"/>
  <c r="T39" i="4"/>
  <c r="T41" i="4" s="1"/>
  <c r="T503" i="4"/>
  <c r="T509" i="4" s="1"/>
  <c r="E39" i="4"/>
  <c r="K19" i="19"/>
  <c r="L7" i="19"/>
  <c r="M35" i="19"/>
  <c r="N33" i="19"/>
  <c r="N35" i="19" s="1"/>
  <c r="N39" i="19" s="1"/>
  <c r="D233" i="1"/>
  <c r="G233" i="1"/>
  <c r="D69" i="1"/>
  <c r="G69" i="1"/>
  <c r="D281" i="1"/>
  <c r="G281" i="1"/>
  <c r="D325" i="1"/>
  <c r="G325" i="1"/>
  <c r="D184" i="1"/>
  <c r="G184" i="1"/>
  <c r="D316" i="1"/>
  <c r="G316" i="1"/>
  <c r="G322" i="1"/>
  <c r="D322" i="1"/>
  <c r="D429" i="1"/>
  <c r="G429" i="1"/>
  <c r="D334" i="1"/>
  <c r="G334" i="1"/>
  <c r="G68" i="1"/>
  <c r="D68" i="1"/>
  <c r="D161" i="1"/>
  <c r="G161" i="1"/>
  <c r="G314" i="1"/>
  <c r="D314" i="1"/>
  <c r="D326" i="1"/>
  <c r="G326" i="1"/>
  <c r="D122" i="1"/>
  <c r="G122" i="1"/>
  <c r="D116" i="1"/>
  <c r="G116" i="1"/>
  <c r="D332" i="1"/>
  <c r="G332" i="1"/>
  <c r="G121" i="1"/>
  <c r="D121" i="1"/>
  <c r="D115" i="1"/>
  <c r="G115" i="1"/>
  <c r="D67" i="1"/>
  <c r="G67" i="1"/>
  <c r="D278" i="1"/>
  <c r="G278" i="1"/>
  <c r="G192" i="1"/>
  <c r="D70" i="1"/>
  <c r="G70" i="1"/>
  <c r="D191" i="1"/>
  <c r="G191" i="1"/>
  <c r="D455" i="1"/>
  <c r="G455" i="1"/>
  <c r="G335" i="1"/>
  <c r="D335" i="1"/>
  <c r="D317" i="1"/>
  <c r="G317" i="1"/>
  <c r="D453" i="1"/>
  <c r="G453" i="1"/>
  <c r="D505" i="1"/>
  <c r="G505" i="1"/>
  <c r="D118" i="1"/>
  <c r="G118" i="1"/>
  <c r="D123" i="1"/>
  <c r="G123" i="1"/>
  <c r="G240" i="1"/>
  <c r="D240" i="1"/>
  <c r="D309" i="1"/>
  <c r="G309" i="1"/>
  <c r="G113" i="1"/>
  <c r="E124" i="1"/>
  <c r="D113" i="1"/>
  <c r="D162" i="1"/>
  <c r="G162" i="1"/>
  <c r="D66" i="1"/>
  <c r="E74" i="1"/>
  <c r="E106" i="1" s="1"/>
  <c r="G66" i="1"/>
  <c r="D313" i="1"/>
  <c r="G313" i="1"/>
  <c r="D120" i="1"/>
  <c r="G120" i="1"/>
  <c r="D114" i="1"/>
  <c r="G114" i="1"/>
  <c r="D119" i="1"/>
  <c r="G119" i="1"/>
  <c r="D211" i="1"/>
  <c r="G211" i="1"/>
  <c r="D71" i="1"/>
  <c r="G71" i="1"/>
  <c r="G117" i="1"/>
  <c r="D117" i="1"/>
  <c r="D72" i="1"/>
  <c r="G72" i="1"/>
  <c r="E212" i="1"/>
  <c r="D210" i="1"/>
  <c r="G210" i="1"/>
  <c r="G307" i="1"/>
  <c r="D307" i="1"/>
  <c r="G462" i="1"/>
  <c r="D462" i="1"/>
  <c r="D323" i="1"/>
  <c r="G323" i="1"/>
  <c r="D493" i="1"/>
  <c r="G493" i="1"/>
  <c r="D318" i="1"/>
  <c r="G318" i="1"/>
  <c r="X509" i="4" l="1"/>
  <c r="L509" i="4"/>
  <c r="AE509" i="4"/>
  <c r="C499" i="4"/>
  <c r="F515" i="1" s="1"/>
  <c r="G515" i="1" s="1"/>
  <c r="BA509" i="4"/>
  <c r="AL509" i="4"/>
  <c r="G514" i="1"/>
  <c r="F27" i="1"/>
  <c r="F30" i="1" s="1"/>
  <c r="F31" i="1" s="1"/>
  <c r="P509" i="4"/>
  <c r="V503" i="4"/>
  <c r="V509" i="4" s="1"/>
  <c r="V39" i="4"/>
  <c r="V41" i="4" s="1"/>
  <c r="C33" i="4"/>
  <c r="C37" i="4" s="1"/>
  <c r="C27" i="4"/>
  <c r="C30" i="4" s="1"/>
  <c r="D41" i="4"/>
  <c r="D446" i="1"/>
  <c r="D17" i="1"/>
  <c r="E446" i="1"/>
  <c r="G446" i="1" s="1"/>
  <c r="E17" i="1"/>
  <c r="G17" i="1" s="1"/>
  <c r="G393" i="1"/>
  <c r="E41" i="4"/>
  <c r="M39" i="19"/>
  <c r="M41" i="19" s="1"/>
  <c r="N41" i="19" s="1"/>
  <c r="G14" i="3" s="1"/>
  <c r="L19" i="19"/>
  <c r="M7" i="19"/>
  <c r="E177" i="1"/>
  <c r="E173" i="1"/>
  <c r="D74" i="1"/>
  <c r="D106" i="1" s="1"/>
  <c r="G212" i="1"/>
  <c r="G124" i="1"/>
  <c r="D212" i="1"/>
  <c r="D124" i="1"/>
  <c r="G74" i="1"/>
  <c r="G106" i="1" s="1"/>
  <c r="G519" i="1" l="1"/>
  <c r="C39" i="4"/>
  <c r="C41" i="4" s="1"/>
  <c r="C503" i="4"/>
  <c r="G27" i="1"/>
  <c r="E21" i="8" s="1"/>
  <c r="E504" i="1"/>
  <c r="G504" i="1" s="1"/>
  <c r="B36" i="6"/>
  <c r="E270" i="1"/>
  <c r="E272" i="1" s="1"/>
  <c r="G308" i="1"/>
  <c r="I36" i="17"/>
  <c r="I38" i="17" s="1"/>
  <c r="E312" i="1"/>
  <c r="E310" i="1"/>
  <c r="E336" i="1"/>
  <c r="U27" i="13"/>
  <c r="G14" i="13" s="1"/>
  <c r="B32" i="6"/>
  <c r="F32" i="6" s="1"/>
  <c r="E290" i="1"/>
  <c r="G290" i="1" s="1"/>
  <c r="G38" i="3"/>
  <c r="E319" i="1"/>
  <c r="G319" i="1" s="1"/>
  <c r="K27" i="13"/>
  <c r="E239" i="1"/>
  <c r="G239" i="1" s="1"/>
  <c r="E315" i="1"/>
  <c r="D315" i="1" s="1"/>
  <c r="E241" i="1"/>
  <c r="D241" i="1" s="1"/>
  <c r="E327" i="1"/>
  <c r="M19" i="19"/>
  <c r="N7" i="19"/>
  <c r="N19" i="19" s="1"/>
  <c r="D239" i="1"/>
  <c r="D310" i="1"/>
  <c r="G310" i="1"/>
  <c r="D290" i="1"/>
  <c r="D319" i="1"/>
  <c r="D312" i="1"/>
  <c r="G312" i="1"/>
  <c r="D504" i="1"/>
  <c r="G270" i="1"/>
  <c r="D270" i="1"/>
  <c r="D272" i="1" s="1"/>
  <c r="D11" i="1" s="1"/>
  <c r="D177" i="1"/>
  <c r="D173" i="1"/>
  <c r="G177" i="1"/>
  <c r="G173" i="1"/>
  <c r="G16" i="3"/>
  <c r="H173" i="1"/>
  <c r="G20" i="3"/>
  <c r="H177" i="1"/>
  <c r="E185" i="1" l="1"/>
  <c r="D351" i="1"/>
  <c r="E424" i="1"/>
  <c r="G424" i="1" s="1"/>
  <c r="E432" i="1"/>
  <c r="D432" i="1" s="1"/>
  <c r="E420" i="1"/>
  <c r="D420" i="1" s="1"/>
  <c r="E419" i="1"/>
  <c r="D419" i="1" s="1"/>
  <c r="G241" i="1"/>
  <c r="G324" i="1"/>
  <c r="G327" i="1" s="1"/>
  <c r="D324" i="1"/>
  <c r="D327" i="1" s="1"/>
  <c r="D444" i="1" s="1"/>
  <c r="G333" i="1"/>
  <c r="G336" i="1" s="1"/>
  <c r="E427" i="1"/>
  <c r="E436" i="1"/>
  <c r="G436" i="1" s="1"/>
  <c r="D333" i="1"/>
  <c r="D336" i="1" s="1"/>
  <c r="E423" i="1"/>
  <c r="D423" i="1" s="1"/>
  <c r="E431" i="1"/>
  <c r="D308" i="1"/>
  <c r="D320" i="1" s="1"/>
  <c r="E435" i="1"/>
  <c r="G435" i="1" s="1"/>
  <c r="E430" i="1"/>
  <c r="G430" i="1" s="1"/>
  <c r="E421" i="1"/>
  <c r="G315" i="1"/>
  <c r="G320" i="1" s="1"/>
  <c r="E320" i="1"/>
  <c r="E329" i="1" s="1"/>
  <c r="E338" i="1" s="1"/>
  <c r="E15" i="1" s="1"/>
  <c r="G15" i="1" s="1"/>
  <c r="E425" i="1"/>
  <c r="D425" i="1" s="1"/>
  <c r="E422" i="1"/>
  <c r="E426" i="1"/>
  <c r="D426" i="1" s="1"/>
  <c r="D436" i="1"/>
  <c r="E444" i="1"/>
  <c r="G444" i="1" s="1"/>
  <c r="G423" i="1"/>
  <c r="G427" i="1"/>
  <c r="D427" i="1"/>
  <c r="D431" i="1"/>
  <c r="G431" i="1"/>
  <c r="G272" i="1"/>
  <c r="E11" i="1"/>
  <c r="G11" i="1" s="1"/>
  <c r="E13" i="8" s="1"/>
  <c r="I13" i="8" s="1"/>
  <c r="D421" i="1"/>
  <c r="G421" i="1"/>
  <c r="G425" i="1"/>
  <c r="D424" i="1"/>
  <c r="E454" i="1"/>
  <c r="E362" i="1"/>
  <c r="E359" i="1"/>
  <c r="E356" i="1"/>
  <c r="E349" i="1"/>
  <c r="E345" i="1"/>
  <c r="E342" i="1"/>
  <c r="E463" i="1"/>
  <c r="E358" i="1"/>
  <c r="E352" i="1"/>
  <c r="E344" i="1"/>
  <c r="E361" i="1"/>
  <c r="E357" i="1"/>
  <c r="E343" i="1"/>
  <c r="E341" i="1"/>
  <c r="E242" i="1"/>
  <c r="E346" i="1"/>
  <c r="E297" i="1"/>
  <c r="E360" i="1"/>
  <c r="E295" i="1"/>
  <c r="E279" i="1"/>
  <c r="E215" i="1"/>
  <c r="E494" i="1"/>
  <c r="E282" i="1"/>
  <c r="E286" i="1"/>
  <c r="E214" i="1"/>
  <c r="G432" i="1" l="1"/>
  <c r="G420" i="1"/>
  <c r="E433" i="1"/>
  <c r="E437" i="1" s="1"/>
  <c r="E448" i="1" s="1"/>
  <c r="G448" i="1" s="1"/>
  <c r="D422" i="1"/>
  <c r="D435" i="1"/>
  <c r="G419" i="1"/>
  <c r="G422" i="1"/>
  <c r="G329" i="1"/>
  <c r="G338" i="1" s="1"/>
  <c r="D329" i="1"/>
  <c r="D338" i="1" s="1"/>
  <c r="D15" i="1" s="1"/>
  <c r="G426" i="1"/>
  <c r="D430" i="1"/>
  <c r="D433" i="1"/>
  <c r="D437" i="1" s="1"/>
  <c r="D282" i="1"/>
  <c r="G282" i="1"/>
  <c r="G341" i="1"/>
  <c r="D341" i="1"/>
  <c r="E353" i="1"/>
  <c r="D494" i="1"/>
  <c r="G494" i="1"/>
  <c r="D352" i="1"/>
  <c r="G352" i="1"/>
  <c r="D342" i="1"/>
  <c r="G342" i="1"/>
  <c r="D359" i="1"/>
  <c r="G359" i="1"/>
  <c r="D185" i="1"/>
  <c r="G185" i="1"/>
  <c r="D470" i="1"/>
  <c r="G470" i="1"/>
  <c r="E470" i="1"/>
  <c r="G295" i="1"/>
  <c r="E299" i="1"/>
  <c r="D295" i="1"/>
  <c r="D297" i="1"/>
  <c r="G297" i="1"/>
  <c r="E216" i="1"/>
  <c r="D214" i="1"/>
  <c r="G214" i="1"/>
  <c r="G110" i="1"/>
  <c r="G181" i="1" s="1"/>
  <c r="E110" i="1"/>
  <c r="E181" i="1" s="1"/>
  <c r="D110" i="1"/>
  <c r="D181" i="1" s="1"/>
  <c r="D346" i="1"/>
  <c r="G346" i="1"/>
  <c r="G357" i="1"/>
  <c r="D357" i="1"/>
  <c r="D358" i="1"/>
  <c r="G358" i="1"/>
  <c r="D345" i="1"/>
  <c r="G345" i="1"/>
  <c r="D362" i="1"/>
  <c r="G362" i="1"/>
  <c r="D486" i="1"/>
  <c r="G486" i="1"/>
  <c r="G279" i="1"/>
  <c r="D279" i="1"/>
  <c r="E287" i="1"/>
  <c r="D344" i="1"/>
  <c r="G344" i="1"/>
  <c r="D356" i="1"/>
  <c r="E363" i="1"/>
  <c r="E394" i="1" s="1"/>
  <c r="G356" i="1"/>
  <c r="G343" i="1"/>
  <c r="D343" i="1"/>
  <c r="D286" i="1"/>
  <c r="G286" i="1"/>
  <c r="G215" i="1"/>
  <c r="D215" i="1"/>
  <c r="D360" i="1"/>
  <c r="G360" i="1"/>
  <c r="D242" i="1"/>
  <c r="D244" i="1" s="1"/>
  <c r="D48" i="1" s="1"/>
  <c r="G242" i="1"/>
  <c r="G244" i="1" s="1"/>
  <c r="E244" i="1"/>
  <c r="E48" i="1" s="1"/>
  <c r="G48" i="1" s="1"/>
  <c r="G361" i="1"/>
  <c r="D361" i="1"/>
  <c r="D463" i="1"/>
  <c r="G463" i="1"/>
  <c r="D349" i="1"/>
  <c r="G349" i="1"/>
  <c r="D454" i="1"/>
  <c r="G454" i="1"/>
  <c r="D484" i="1"/>
  <c r="G484" i="1"/>
  <c r="E21" i="1" l="1"/>
  <c r="G21" i="1" s="1"/>
  <c r="G433" i="1"/>
  <c r="G437" i="1" s="1"/>
  <c r="G287" i="1"/>
  <c r="E301" i="1"/>
  <c r="E303" i="1" s="1"/>
  <c r="D287" i="1"/>
  <c r="D21" i="1"/>
  <c r="D448" i="1"/>
  <c r="D363" i="1"/>
  <c r="D394" i="1" s="1"/>
  <c r="G22" i="3"/>
  <c r="E497" i="1" s="1"/>
  <c r="H181" i="1"/>
  <c r="D216" i="1"/>
  <c r="D299" i="1"/>
  <c r="G353" i="1"/>
  <c r="D353" i="1"/>
  <c r="G363" i="1"/>
  <c r="G394" i="1" s="1"/>
  <c r="G216" i="1"/>
  <c r="G299" i="1"/>
  <c r="E445" i="1"/>
  <c r="E365" i="1"/>
  <c r="D497" i="1" l="1"/>
  <c r="G497" i="1"/>
  <c r="G301" i="1"/>
  <c r="G303" i="1" s="1"/>
  <c r="E10" i="1"/>
  <c r="E12" i="1" s="1"/>
  <c r="D301" i="1"/>
  <c r="D303" i="1" s="1"/>
  <c r="G445" i="1"/>
  <c r="G449" i="1" s="1"/>
  <c r="G450" i="1" s="1"/>
  <c r="E449" i="1"/>
  <c r="E450" i="1" s="1"/>
  <c r="E49" i="1" s="1"/>
  <c r="G49" i="1" s="1"/>
  <c r="D445" i="1"/>
  <c r="D449" i="1" s="1"/>
  <c r="D450" i="1" s="1"/>
  <c r="D49" i="1" s="1"/>
  <c r="D365" i="1"/>
  <c r="G365" i="1"/>
  <c r="G439" i="1" s="1"/>
  <c r="G441" i="1" s="1"/>
  <c r="E457" i="1"/>
  <c r="E490" i="1"/>
  <c r="E465" i="1"/>
  <c r="E223" i="1"/>
  <c r="E195" i="1"/>
  <c r="E154" i="1"/>
  <c r="E150" i="1"/>
  <c r="E146" i="1"/>
  <c r="E496" i="1"/>
  <c r="E40" i="1" s="1"/>
  <c r="E235" i="1"/>
  <c r="E222" i="1"/>
  <c r="E187" i="1"/>
  <c r="E153" i="1"/>
  <c r="E149" i="1"/>
  <c r="E461" i="1"/>
  <c r="E164" i="1"/>
  <c r="E160" i="1"/>
  <c r="E152" i="1"/>
  <c r="E148" i="1"/>
  <c r="E145" i="1"/>
  <c r="E155" i="1"/>
  <c r="E60" i="1"/>
  <c r="E151" i="1"/>
  <c r="E147" i="1"/>
  <c r="E61" i="1"/>
  <c r="E16" i="1"/>
  <c r="E439" i="1"/>
  <c r="G32" i="3"/>
  <c r="H303" i="1"/>
  <c r="G10" i="1" l="1"/>
  <c r="E12" i="8" s="1"/>
  <c r="D10" i="1"/>
  <c r="D12" i="1" s="1"/>
  <c r="E165" i="1"/>
  <c r="G160" i="1"/>
  <c r="D160" i="1"/>
  <c r="D457" i="1"/>
  <c r="D458" i="1" s="1"/>
  <c r="G457" i="1"/>
  <c r="G458" i="1" s="1"/>
  <c r="E458" i="1"/>
  <c r="G164" i="1"/>
  <c r="D164" i="1"/>
  <c r="D187" i="1"/>
  <c r="D188" i="1" s="1"/>
  <c r="G187" i="1"/>
  <c r="G188" i="1" s="1"/>
  <c r="E188" i="1"/>
  <c r="D146" i="1"/>
  <c r="G146" i="1"/>
  <c r="D223" i="1"/>
  <c r="D228" i="1" s="1"/>
  <c r="G223" i="1"/>
  <c r="G228" i="1" s="1"/>
  <c r="E228" i="1"/>
  <c r="D155" i="1"/>
  <c r="G155" i="1"/>
  <c r="D496" i="1"/>
  <c r="D40" i="1" s="1"/>
  <c r="G496" i="1"/>
  <c r="G40" i="1"/>
  <c r="E32" i="8" s="1"/>
  <c r="I32" i="8" s="1"/>
  <c r="D147" i="1"/>
  <c r="G147" i="1"/>
  <c r="D151" i="1"/>
  <c r="G151" i="1"/>
  <c r="D461" i="1"/>
  <c r="E466" i="1"/>
  <c r="G461" i="1"/>
  <c r="D150" i="1"/>
  <c r="G150" i="1"/>
  <c r="D16" i="1"/>
  <c r="D23" i="1" s="1"/>
  <c r="D439" i="1"/>
  <c r="D441" i="1" s="1"/>
  <c r="G61" i="1"/>
  <c r="D61" i="1"/>
  <c r="D153" i="1"/>
  <c r="G153" i="1"/>
  <c r="D195" i="1"/>
  <c r="D196" i="1" s="1"/>
  <c r="G195" i="1"/>
  <c r="G196" i="1" s="1"/>
  <c r="E196" i="1"/>
  <c r="G145" i="1"/>
  <c r="E157" i="1"/>
  <c r="D145" i="1"/>
  <c r="G28" i="3"/>
  <c r="E441" i="1"/>
  <c r="H439" i="1"/>
  <c r="G148" i="1"/>
  <c r="D148" i="1"/>
  <c r="E224" i="1"/>
  <c r="E226" i="1" s="1"/>
  <c r="D222" i="1"/>
  <c r="G222" i="1"/>
  <c r="E229" i="1"/>
  <c r="E50" i="1" s="1"/>
  <c r="D465" i="1"/>
  <c r="G465" i="1"/>
  <c r="G16" i="1"/>
  <c r="G23" i="1" s="1"/>
  <c r="E18" i="8" s="1"/>
  <c r="E23" i="1"/>
  <c r="E62" i="1"/>
  <c r="D60" i="1"/>
  <c r="G60" i="1"/>
  <c r="G152" i="1"/>
  <c r="D152" i="1"/>
  <c r="D149" i="1"/>
  <c r="G149" i="1"/>
  <c r="D235" i="1"/>
  <c r="D236" i="1" s="1"/>
  <c r="D46" i="1" s="1"/>
  <c r="G235" i="1"/>
  <c r="G236" i="1" s="1"/>
  <c r="E236" i="1"/>
  <c r="E46" i="1" s="1"/>
  <c r="G46" i="1" s="1"/>
  <c r="D154" i="1"/>
  <c r="G154" i="1"/>
  <c r="G490" i="1"/>
  <c r="D490" i="1"/>
  <c r="G201" i="1" l="1"/>
  <c r="D201" i="1"/>
  <c r="G12" i="1"/>
  <c r="G62" i="1"/>
  <c r="E179" i="1"/>
  <c r="H179" i="1" s="1"/>
  <c r="E44" i="1"/>
  <c r="G157" i="1"/>
  <c r="D466" i="1"/>
  <c r="D472" i="1" s="1"/>
  <c r="D25" i="1" s="1"/>
  <c r="D165" i="1"/>
  <c r="G224" i="1"/>
  <c r="G226" i="1" s="1"/>
  <c r="G229" i="1"/>
  <c r="G50" i="1" s="1"/>
  <c r="D157" i="1"/>
  <c r="E15" i="8"/>
  <c r="I12" i="8"/>
  <c r="G44" i="1"/>
  <c r="E472" i="1"/>
  <c r="E25" i="1" s="1"/>
  <c r="G25" i="1" s="1"/>
  <c r="E19" i="8" s="1"/>
  <c r="I19" i="8" s="1"/>
  <c r="G165" i="1"/>
  <c r="G30" i="3"/>
  <c r="H441" i="1"/>
  <c r="D62" i="1"/>
  <c r="D224" i="1"/>
  <c r="D226" i="1" s="1"/>
  <c r="D229" i="1"/>
  <c r="D50" i="1" s="1"/>
  <c r="E201" i="1"/>
  <c r="G466" i="1"/>
  <c r="G472" i="1" s="1"/>
  <c r="D44" i="1"/>
  <c r="E171" i="1"/>
  <c r="G171" i="1" l="1"/>
  <c r="G203" i="1" s="1"/>
  <c r="G24" i="3"/>
  <c r="E481" i="1" s="1"/>
  <c r="G179" i="1"/>
  <c r="D171" i="1"/>
  <c r="D43" i="1" s="1"/>
  <c r="D45" i="1" s="1"/>
  <c r="D179" i="1"/>
  <c r="E203" i="1"/>
  <c r="E43" i="1"/>
  <c r="E45" i="1" s="1"/>
  <c r="G26" i="3" s="1"/>
  <c r="E489" i="1"/>
  <c r="E477" i="1"/>
  <c r="E478" i="1"/>
  <c r="E476" i="1"/>
  <c r="G43" i="1" l="1"/>
  <c r="G45" i="1" s="1"/>
  <c r="G27" i="13"/>
  <c r="G16" i="13" s="1"/>
  <c r="Y27" i="13"/>
  <c r="E247" i="1"/>
  <c r="D247" i="1" s="1"/>
  <c r="E482" i="1"/>
  <c r="G482" i="1" s="1"/>
  <c r="W27" i="13"/>
  <c r="E248" i="1"/>
  <c r="D253" i="1"/>
  <c r="D203" i="1"/>
  <c r="G481" i="1"/>
  <c r="D481" i="1"/>
  <c r="D477" i="1"/>
  <c r="G477" i="1"/>
  <c r="D476" i="1"/>
  <c r="E479" i="1"/>
  <c r="G476" i="1"/>
  <c r="D489" i="1"/>
  <c r="G489" i="1"/>
  <c r="D478" i="1"/>
  <c r="G478" i="1"/>
  <c r="AD16" i="13" l="1"/>
  <c r="AD14" i="13"/>
  <c r="G247" i="1"/>
  <c r="G12" i="13"/>
  <c r="G18" i="13"/>
  <c r="G22" i="13"/>
  <c r="AB22" i="13" s="1"/>
  <c r="AD22" i="13" s="1"/>
  <c r="E491" i="1"/>
  <c r="E26" i="1" s="1"/>
  <c r="G26" i="1" s="1"/>
  <c r="E20" i="8" s="1"/>
  <c r="D482" i="1"/>
  <c r="E249" i="1"/>
  <c r="E47" i="1"/>
  <c r="G47" i="1" s="1"/>
  <c r="G248" i="1"/>
  <c r="D248" i="1"/>
  <c r="D249" i="1" s="1"/>
  <c r="E259" i="1"/>
  <c r="E52" i="1"/>
  <c r="G52" i="1" s="1"/>
  <c r="G253" i="1"/>
  <c r="G259" i="1" s="1"/>
  <c r="D479" i="1"/>
  <c r="E508" i="1"/>
  <c r="E507" i="1"/>
  <c r="E509" i="1"/>
  <c r="D47" i="1"/>
  <c r="G479" i="1"/>
  <c r="G491" i="1" s="1"/>
  <c r="D259" i="1"/>
  <c r="D52" i="1"/>
  <c r="D491" i="1" l="1"/>
  <c r="D26" i="1" s="1"/>
  <c r="G249" i="1"/>
  <c r="G261" i="1" s="1"/>
  <c r="G20" i="13"/>
  <c r="G24" i="13" s="1"/>
  <c r="E261" i="1"/>
  <c r="G53" i="1"/>
  <c r="I37" i="8" s="1"/>
  <c r="E53" i="1"/>
  <c r="D53" i="1"/>
  <c r="D261" i="1"/>
  <c r="D509" i="1"/>
  <c r="G509" i="1"/>
  <c r="D507" i="1"/>
  <c r="G507" i="1"/>
  <c r="E510" i="1"/>
  <c r="E29" i="1" s="1"/>
  <c r="D508" i="1"/>
  <c r="G508" i="1"/>
  <c r="I20" i="8"/>
  <c r="G510" i="1" l="1"/>
  <c r="G29" i="1"/>
  <c r="D510" i="1"/>
  <c r="D29" i="1" s="1"/>
  <c r="D30" i="1" s="1"/>
  <c r="D39" i="1" s="1"/>
  <c r="D41" i="1" s="1"/>
  <c r="D55" i="1" s="1"/>
  <c r="E39" i="1" l="1"/>
  <c r="E41" i="1" s="1"/>
  <c r="E55" i="1" s="1"/>
  <c r="E22" i="8"/>
  <c r="G30" i="1"/>
  <c r="G31" i="1" l="1"/>
  <c r="I22" i="8"/>
  <c r="I24" i="13"/>
  <c r="I18" i="13"/>
  <c r="AD18" i="13" s="1"/>
  <c r="I12" i="13"/>
  <c r="AD12" i="13" l="1"/>
  <c r="AB20" i="13"/>
  <c r="AB24" i="13" s="1"/>
  <c r="AD20" i="13" l="1"/>
  <c r="AF12" i="13" s="1"/>
  <c r="E11" i="10" s="1"/>
  <c r="AF14" i="13" l="1"/>
  <c r="E13" i="10" s="1"/>
  <c r="AD24" i="13"/>
  <c r="AF16" i="13"/>
  <c r="E15" i="10" s="1"/>
  <c r="AF18" i="13"/>
  <c r="E17" i="10" s="1"/>
  <c r="E19" i="10" l="1"/>
  <c r="G11" i="10" s="1"/>
  <c r="K11" i="10" s="1"/>
  <c r="AF20" i="13"/>
  <c r="AF24" i="13" s="1"/>
  <c r="E8" i="9" s="1"/>
  <c r="I40" i="8"/>
  <c r="G17" i="10"/>
  <c r="K17" i="10" s="1"/>
  <c r="G13" i="10"/>
  <c r="K13" i="10" s="1"/>
  <c r="G15" i="10" l="1"/>
  <c r="K15" i="10" s="1"/>
  <c r="K19" i="10" s="1"/>
  <c r="E10" i="9" s="1"/>
  <c r="E12" i="9" s="1"/>
  <c r="G19" i="10" l="1"/>
  <c r="I41" i="8"/>
  <c r="F33" i="1"/>
  <c r="F37" i="1" l="1"/>
  <c r="F39" i="1" s="1"/>
  <c r="F41" i="1" s="1"/>
  <c r="G33" i="1"/>
  <c r="F519" i="1"/>
  <c r="E24" i="8" l="1"/>
  <c r="G37" i="1"/>
  <c r="G39" i="1" s="1"/>
  <c r="G41" i="1" s="1"/>
  <c r="G55" i="1" l="1"/>
  <c r="E14" i="9"/>
  <c r="E16" i="9" s="1"/>
  <c r="E20" i="9" s="1"/>
  <c r="G11" i="8" s="1"/>
  <c r="E28" i="8"/>
  <c r="E31" i="8" s="1"/>
  <c r="E34" i="8" s="1"/>
  <c r="G15" i="8" l="1"/>
  <c r="I11" i="8"/>
  <c r="I15" i="8" s="1"/>
  <c r="I44" i="8" l="1"/>
  <c r="I47" i="8"/>
  <c r="D12" i="23" s="1"/>
  <c r="D18" i="23" s="1"/>
  <c r="G18" i="8"/>
  <c r="F14" i="23" l="1"/>
  <c r="F16" i="23"/>
  <c r="F12" i="23"/>
  <c r="I18" i="8"/>
  <c r="G21" i="8"/>
  <c r="I21" i="8" s="1"/>
  <c r="G24" i="8" l="1"/>
  <c r="I24" i="8" s="1"/>
  <c r="I28" i="8" s="1"/>
  <c r="I31" i="8" s="1"/>
  <c r="I34" i="8" s="1"/>
  <c r="I38" i="8" s="1"/>
  <c r="G28" i="8" l="1"/>
  <c r="G31" i="8" s="1"/>
  <c r="G34" i="8" s="1"/>
</calcChain>
</file>

<file path=xl/sharedStrings.xml><?xml version="1.0" encoding="utf-8"?>
<sst xmlns="http://schemas.openxmlformats.org/spreadsheetml/2006/main" count="2174" uniqueCount="1069">
  <si>
    <t>PER BOOKS</t>
  </si>
  <si>
    <t>ADJUSTED</t>
  </si>
  <si>
    <t>Line</t>
  </si>
  <si>
    <t>COMPANY</t>
  </si>
  <si>
    <t>GOING LEVEL</t>
  </si>
  <si>
    <t xml:space="preserve">HARD CODES  </t>
  </si>
  <si>
    <t>No.</t>
  </si>
  <si>
    <t>Description</t>
  </si>
  <si>
    <t>JURIS</t>
  </si>
  <si>
    <t>ADJUSTMENTS</t>
  </si>
  <si>
    <t>ALLOCATOR</t>
  </si>
  <si>
    <t>TO BE ALLOCATED</t>
  </si>
  <si>
    <t>(1)</t>
  </si>
  <si>
    <t>(2)</t>
  </si>
  <si>
    <t>Operating Revenues - Firm Wholesale Sales of Electricity</t>
  </si>
  <si>
    <t>Provision for Rate Refund</t>
  </si>
  <si>
    <t>Other Electric Operating Revenues</t>
  </si>
  <si>
    <t>Non-Firm Sales Revenues</t>
  </si>
  <si>
    <t xml:space="preserve">  Total Operating Revenues</t>
  </si>
  <si>
    <t>Operation and Maintenance Expenses</t>
  </si>
  <si>
    <t>Power Production</t>
  </si>
  <si>
    <t>Transmission</t>
  </si>
  <si>
    <t>Distribution</t>
  </si>
  <si>
    <t>Customer Accounts</t>
  </si>
  <si>
    <t>Sales Expense</t>
  </si>
  <si>
    <t>Customer Service &amp; Information</t>
  </si>
  <si>
    <t>Administrative and General</t>
  </si>
  <si>
    <t>Undistributed Adjustments</t>
  </si>
  <si>
    <t xml:space="preserve">  Total Operation and Maintenance Expense</t>
  </si>
  <si>
    <t>Depreciation and Amortization Expense</t>
  </si>
  <si>
    <t>Taxes Other than Federal Income Taxes</t>
  </si>
  <si>
    <t>State Income Tax</t>
  </si>
  <si>
    <t>Interest on Customer Deposits</t>
  </si>
  <si>
    <t>Other</t>
  </si>
  <si>
    <t>Net Operating Income Before F.I.T.</t>
  </si>
  <si>
    <t>Federal Income Tax</t>
  </si>
  <si>
    <t xml:space="preserve">  Current Federal Income Tax</t>
  </si>
  <si>
    <t xml:space="preserve">  Deferred Federal Income Tax</t>
  </si>
  <si>
    <t xml:space="preserve">  Deferred Investment Tax Credit</t>
  </si>
  <si>
    <t xml:space="preserve">    Total Federal Income Taxes</t>
  </si>
  <si>
    <t>Operating Income</t>
  </si>
  <si>
    <t>Net Operating Income</t>
  </si>
  <si>
    <t>Electric Plant in Service - Original Cost</t>
  </si>
  <si>
    <t>Accumulated Provision for Depreciation &amp; Amortization</t>
  </si>
  <si>
    <t>Construction Work in Progress</t>
  </si>
  <si>
    <t>Electric Plant Held for Future Use</t>
  </si>
  <si>
    <t>Accumulated Deferred Income Taxes</t>
  </si>
  <si>
    <t>Rate Base</t>
  </si>
  <si>
    <t>`</t>
  </si>
  <si>
    <t>Rate of Return</t>
  </si>
  <si>
    <t>Development of Rate Base</t>
  </si>
  <si>
    <t>Electric Plant in Service</t>
  </si>
  <si>
    <t>Intangible Plant</t>
  </si>
  <si>
    <t>Capitalized Software</t>
  </si>
  <si>
    <t>Direct</t>
  </si>
  <si>
    <t xml:space="preserve">     AFUDC</t>
  </si>
  <si>
    <t>Production Plant</t>
  </si>
  <si>
    <t>Steam Production</t>
  </si>
  <si>
    <t>A310 Land &amp; Land Rights</t>
  </si>
  <si>
    <t>Demand</t>
  </si>
  <si>
    <t>A311 Structures and Improvements</t>
  </si>
  <si>
    <t xml:space="preserve">A312 Boiler Plant Equipment </t>
  </si>
  <si>
    <t>A313 Engines/Engine Driven Gen.</t>
  </si>
  <si>
    <t>A314 Turbogenerator Units</t>
  </si>
  <si>
    <t>A315 Accessory Electric Equip.</t>
  </si>
  <si>
    <t>A316 Misc. Power Plant Equip.</t>
  </si>
  <si>
    <t>A317 ARO Steam Production Plant</t>
  </si>
  <si>
    <t>Nuclear Production</t>
  </si>
  <si>
    <t>A320 Land &amp; Land Rights</t>
  </si>
  <si>
    <t>A321 Structures and Improvements</t>
  </si>
  <si>
    <t xml:space="preserve">A322 Reactor Plant Equipment </t>
  </si>
  <si>
    <t>A323 Turbogenerator Units</t>
  </si>
  <si>
    <t>A324 Accessory Electric Equip.</t>
  </si>
  <si>
    <t>A325 Misc. Power Plant Equipment</t>
  </si>
  <si>
    <t>Hydraulic Production</t>
  </si>
  <si>
    <t>A330 Land &amp; Land Rights(MACSS Cap)</t>
  </si>
  <si>
    <t>A331 Structures and Improvements</t>
  </si>
  <si>
    <t>A332 Reserviors, Dams, and Waterways</t>
  </si>
  <si>
    <t>A333 Water Wheels, Turbines, and Generators</t>
  </si>
  <si>
    <t>A334 Accessory Electric Equipment</t>
  </si>
  <si>
    <t>A335 Miscellaneous Power Plant Equip.</t>
  </si>
  <si>
    <t>A336 Roads, Railroads, and Bridges</t>
  </si>
  <si>
    <t>A337 ARO Hydraulic Production</t>
  </si>
  <si>
    <t>Other Production</t>
  </si>
  <si>
    <t>A340 Land &amp; Land Rights</t>
  </si>
  <si>
    <t>A341 Structures and Improvements</t>
  </si>
  <si>
    <t>A342 Fuel Holder, Producer &amp; Acc</t>
  </si>
  <si>
    <t>A343 Prime Movers</t>
  </si>
  <si>
    <t>A344 Generators</t>
  </si>
  <si>
    <t>A345 Accessory Plant Equipment</t>
  </si>
  <si>
    <t>A346 Misc. Power Plant Equipment</t>
  </si>
  <si>
    <t>FERC AFUDC Adjustment</t>
  </si>
  <si>
    <t>Contra AFUDC Adjustment</t>
  </si>
  <si>
    <t>Transmission Plant</t>
  </si>
  <si>
    <t>A350 Land and Land Rights</t>
  </si>
  <si>
    <t>A352 Structures and Improvements TRAN</t>
  </si>
  <si>
    <t>A353 Station Equipment TRAN</t>
  </si>
  <si>
    <t>A352 Structures and Improvements GEN</t>
  </si>
  <si>
    <t>A353 Station Equipment GEN</t>
  </si>
  <si>
    <t>A354 Towers and Fixtures</t>
  </si>
  <si>
    <t>A355 Poles and Fixtures</t>
  </si>
  <si>
    <t>A356 O.H. Conductors &amp; Devices</t>
  </si>
  <si>
    <t>A357 Undergound Conduit</t>
  </si>
  <si>
    <t>A358 Underground Conductors</t>
  </si>
  <si>
    <t>A359 Roads and Trails</t>
  </si>
  <si>
    <t>Distribution Plant</t>
  </si>
  <si>
    <t>A360Land and Land Rights</t>
  </si>
  <si>
    <t>A361Structures and Improvements</t>
  </si>
  <si>
    <t>A362Station Equipment</t>
  </si>
  <si>
    <t>A363Storage Battery Equipment</t>
  </si>
  <si>
    <t>A364Poles,Towers &amp; Fixtures Primary</t>
  </si>
  <si>
    <t>A365O.H. Conductors &amp; Devices Primary</t>
  </si>
  <si>
    <t>A366Underground Conduits Primary</t>
  </si>
  <si>
    <t>A367U.G. Conductors &amp; Devices Primary</t>
  </si>
  <si>
    <t>A368Line Transformers Primary</t>
  </si>
  <si>
    <t>A369Services</t>
  </si>
  <si>
    <t>A370Meters</t>
  </si>
  <si>
    <t>A371Install. on Customer Prem.</t>
  </si>
  <si>
    <t>A372Leased Prop. on Cust. Premises</t>
  </si>
  <si>
    <t>A373Street Lights</t>
  </si>
  <si>
    <t>A374ARO</t>
  </si>
  <si>
    <t>General Plant</t>
  </si>
  <si>
    <t>A389Land and Land Rights</t>
  </si>
  <si>
    <t>A390Structures and Improvements</t>
  </si>
  <si>
    <t>A391Office Furniture &amp; Equip.</t>
  </si>
  <si>
    <t>A392Transportation Equipment</t>
  </si>
  <si>
    <t xml:space="preserve">A393Stores Equipment </t>
  </si>
  <si>
    <t>A394Tools, Shop &amp; Garage Equip.</t>
  </si>
  <si>
    <t>A395Laboratory Equipment</t>
  </si>
  <si>
    <t>A396Power Operated Equipment</t>
  </si>
  <si>
    <t>A397Communication Equipment</t>
  </si>
  <si>
    <t>A398Misc. Equipment</t>
  </si>
  <si>
    <t>A399Other Tang. Property</t>
  </si>
  <si>
    <t>39919ARO General Plant</t>
  </si>
  <si>
    <t>Total Plant in Service</t>
  </si>
  <si>
    <t>Less: Reserve for Depreciation/RWIP - Accts 1080001,1080011,1080005</t>
  </si>
  <si>
    <t xml:space="preserve">     Production</t>
  </si>
  <si>
    <t xml:space="preserve">     Transmission Plant</t>
  </si>
  <si>
    <t xml:space="preserve">     Distribution</t>
  </si>
  <si>
    <t xml:space="preserve">     General</t>
  </si>
  <si>
    <t>Less Reserve for Amortization</t>
  </si>
  <si>
    <t>Net Electric Plant in Service</t>
  </si>
  <si>
    <t>Construction Work in Progress - Account 107</t>
  </si>
  <si>
    <t xml:space="preserve">     Intangible</t>
  </si>
  <si>
    <t xml:space="preserve">    AFUDC</t>
  </si>
  <si>
    <t xml:space="preserve">     Transmission</t>
  </si>
  <si>
    <t>Total Construction Work in Progress</t>
  </si>
  <si>
    <t>Completed Construction Not Classified -Acct 106</t>
  </si>
  <si>
    <t xml:space="preserve">    Intangible Plant</t>
  </si>
  <si>
    <t xml:space="preserve">     Production Plant</t>
  </si>
  <si>
    <t xml:space="preserve">     Distribution Plant</t>
  </si>
  <si>
    <t xml:space="preserve">     General Plant</t>
  </si>
  <si>
    <t>Plant Held for Future Use - Acct 105</t>
  </si>
  <si>
    <t xml:space="preserve">     Fuel / Allowance Inventory</t>
  </si>
  <si>
    <t>Energy</t>
  </si>
  <si>
    <t xml:space="preserve">     Production M&amp;S Inventory</t>
  </si>
  <si>
    <t xml:space="preserve">     Transmission M&amp;S Inventory</t>
  </si>
  <si>
    <t xml:space="preserve">     Distribution M&amp;S Inventory</t>
  </si>
  <si>
    <t xml:space="preserve">     Prepaid Pension Benefit</t>
  </si>
  <si>
    <t xml:space="preserve">     Prepaid Other</t>
  </si>
  <si>
    <t>Rate Base Additions (Deductions)</t>
  </si>
  <si>
    <t xml:space="preserve">     Accumulated Deferred Income Taxes, other than Deferred Fuel</t>
  </si>
  <si>
    <t xml:space="preserve">     Unallocated Deferred FIT</t>
  </si>
  <si>
    <t xml:space="preserve">     Deferred Investment Tax Credit</t>
  </si>
  <si>
    <t xml:space="preserve">     Customer Deposits</t>
  </si>
  <si>
    <t xml:space="preserve">     After Tax Effect of ARO </t>
  </si>
  <si>
    <t xml:space="preserve">     Total Rate Base Deductions</t>
  </si>
  <si>
    <t>Total Rate Base</t>
  </si>
  <si>
    <t>Non-Firm Sales:</t>
  </si>
  <si>
    <t xml:space="preserve">     Demand Related </t>
  </si>
  <si>
    <t xml:space="preserve">     Energy Related</t>
  </si>
  <si>
    <t xml:space="preserve">     Unallocated</t>
  </si>
  <si>
    <t>Other Operating Revenues</t>
  </si>
  <si>
    <t xml:space="preserve">     450-Forfeited Discounts</t>
  </si>
  <si>
    <t xml:space="preserve">     451-Miscellaneous Service Revenues</t>
  </si>
  <si>
    <t>Rent from Electric Property</t>
  </si>
  <si>
    <t xml:space="preserve">     4541-Rent-Assoc Cos- Production</t>
  </si>
  <si>
    <t xml:space="preserve">     4541-Rent-Assoc Cos- Transmission</t>
  </si>
  <si>
    <t xml:space="preserve">     4541-Rent-Assoc Cos- Distribution </t>
  </si>
  <si>
    <t xml:space="preserve">     4542-Rent-Non-Assoc Cos- Production</t>
  </si>
  <si>
    <t xml:space="preserve">     4542-Rent-Non-Assoc Cos- Transmission</t>
  </si>
  <si>
    <t xml:space="preserve">     4542-Rent-Non-Assoc Cos- Distribution </t>
  </si>
  <si>
    <t xml:space="preserve">     4540005 Rent from Elec Prop-Pole Attch</t>
  </si>
  <si>
    <t xml:space="preserve">     4540004-Rent-Non-Assoc Cos-ABD Distribution</t>
  </si>
  <si>
    <t xml:space="preserve">     4540004-Rent-Non-Assoc Cos-ABD Transmission</t>
  </si>
  <si>
    <t>Other Electric Revenues</t>
  </si>
  <si>
    <t xml:space="preserve">     456-Other Electric Production</t>
  </si>
  <si>
    <t>Power Production Expenses</t>
  </si>
  <si>
    <t xml:space="preserve"> Steam Generation Expenses</t>
  </si>
  <si>
    <t xml:space="preserve">     500-Supervision  &amp; Engineering</t>
  </si>
  <si>
    <t xml:space="preserve">     503-Steam other Sources</t>
  </si>
  <si>
    <t xml:space="preserve">     504-Steam Transferred Credit</t>
  </si>
  <si>
    <t xml:space="preserve">     505-Electric</t>
  </si>
  <si>
    <t xml:space="preserve">     506-Misc. Steam Power Expenses</t>
  </si>
  <si>
    <t xml:space="preserve">     507-Rents</t>
  </si>
  <si>
    <t xml:space="preserve">     509-Allowances</t>
  </si>
  <si>
    <t xml:space="preserve">          Total Steam Operation</t>
  </si>
  <si>
    <t xml:space="preserve">     510-Supervision &amp; Engineering</t>
  </si>
  <si>
    <t xml:space="preserve">     511-Structures</t>
  </si>
  <si>
    <t xml:space="preserve">     512-Boiler Plant</t>
  </si>
  <si>
    <t xml:space="preserve">     513-Electric Plant</t>
  </si>
  <si>
    <t xml:space="preserve">     514-Misc Steam Plant</t>
  </si>
  <si>
    <t xml:space="preserve">     Total Steam Generation Expense</t>
  </si>
  <si>
    <t>Other Power Supply Expense</t>
  </si>
  <si>
    <t xml:space="preserve">     555-Purchased Power Expense Demand</t>
  </si>
  <si>
    <t xml:space="preserve">     555-Purchased Power Expense Energy</t>
  </si>
  <si>
    <t xml:space="preserve">     556-Sys Control &amp; Load Dispatching</t>
  </si>
  <si>
    <t xml:space="preserve">     557- Other Expenses</t>
  </si>
  <si>
    <t xml:space="preserve">         Total Other Power Supply Expense</t>
  </si>
  <si>
    <t xml:space="preserve">   Total Production O&amp;M Expense</t>
  </si>
  <si>
    <t>Transmission Expense</t>
  </si>
  <si>
    <t xml:space="preserve">     560-Supervision &amp; Engineering</t>
  </si>
  <si>
    <t xml:space="preserve">     562-Station Equipment</t>
  </si>
  <si>
    <t xml:space="preserve">     563-Overhead Lines</t>
  </si>
  <si>
    <t xml:space="preserve">     564-Underground Lines</t>
  </si>
  <si>
    <t xml:space="preserve">     566-Misc Transmission</t>
  </si>
  <si>
    <t xml:space="preserve">     567-Rents</t>
  </si>
  <si>
    <t xml:space="preserve">   Total Transmission Operation Expense</t>
  </si>
  <si>
    <t>Transmission Maintenance</t>
  </si>
  <si>
    <t xml:space="preserve">     568-Supervision &amp; Engineering</t>
  </si>
  <si>
    <t xml:space="preserve">     569-Structures</t>
  </si>
  <si>
    <t xml:space="preserve">     570-Station Equipment</t>
  </si>
  <si>
    <t xml:space="preserve">     571-Overhead Lines</t>
  </si>
  <si>
    <t xml:space="preserve">     572-Underground Lines</t>
  </si>
  <si>
    <t xml:space="preserve">     573-Misc Transmission Expenses</t>
  </si>
  <si>
    <t xml:space="preserve">     575- PJM Admin</t>
  </si>
  <si>
    <t xml:space="preserve">   Total Transmission Maintenance Expense</t>
  </si>
  <si>
    <t xml:space="preserve">   Total Transmission O&amp;M Expense</t>
  </si>
  <si>
    <t>Distribution Expense</t>
  </si>
  <si>
    <t xml:space="preserve">     580-Supervision &amp; Engineering</t>
  </si>
  <si>
    <t xml:space="preserve">     581-Load Dispatching</t>
  </si>
  <si>
    <t xml:space="preserve">     582-Station Equipment</t>
  </si>
  <si>
    <t xml:space="preserve">     583-Overhead Lines</t>
  </si>
  <si>
    <t xml:space="preserve">     584-Underground Lines</t>
  </si>
  <si>
    <t xml:space="preserve">     585-Street &amp; Area Lighting</t>
  </si>
  <si>
    <t xml:space="preserve">     586-Meters</t>
  </si>
  <si>
    <t xml:space="preserve">     587-Customer Installations</t>
  </si>
  <si>
    <t xml:space="preserve">     588-Misc Distribution </t>
  </si>
  <si>
    <t xml:space="preserve">     589-Rents</t>
  </si>
  <si>
    <t xml:space="preserve">     590-Supervision &amp; Engineering</t>
  </si>
  <si>
    <t xml:space="preserve">     591-Structures</t>
  </si>
  <si>
    <t xml:space="preserve">     592-Station Equipment</t>
  </si>
  <si>
    <t xml:space="preserve">     593-Overhead Lines</t>
  </si>
  <si>
    <t xml:space="preserve">     593-Forestry Direct Assigned</t>
  </si>
  <si>
    <t xml:space="preserve">     594-Underground Lines</t>
  </si>
  <si>
    <t xml:space="preserve">     595-Line Transformers</t>
  </si>
  <si>
    <t xml:space="preserve">     596-Street &amp; Area Lighting</t>
  </si>
  <si>
    <t xml:space="preserve">     597-Meters</t>
  </si>
  <si>
    <t xml:space="preserve">     598-Misc Distribution Plant</t>
  </si>
  <si>
    <t xml:space="preserve">     Total Distribution Expense</t>
  </si>
  <si>
    <t>Customer Accounts Expense</t>
  </si>
  <si>
    <t xml:space="preserve">     901-Supervision &amp; Engineering</t>
  </si>
  <si>
    <t xml:space="preserve">     902-Meter Reading</t>
  </si>
  <si>
    <t xml:space="preserve">     903-Customer Records &amp; Collection Expense</t>
  </si>
  <si>
    <t xml:space="preserve">     9040000-Uncollectable Accounts</t>
  </si>
  <si>
    <t xml:space="preserve">     9040007-Uncollectible Misc Receivables</t>
  </si>
  <si>
    <t xml:space="preserve">     905-Misc Customer Accounts</t>
  </si>
  <si>
    <t>Customer Information Expense</t>
  </si>
  <si>
    <t xml:space="preserve">     907-Supervision</t>
  </si>
  <si>
    <t xml:space="preserve">     908-Customer Assistance</t>
  </si>
  <si>
    <t xml:space="preserve">     909-Information &amp; Instruction</t>
  </si>
  <si>
    <t xml:space="preserve">     910-Misc Customer Service</t>
  </si>
  <si>
    <t>Customer Service</t>
  </si>
  <si>
    <t xml:space="preserve">     911-Supervision</t>
  </si>
  <si>
    <t xml:space="preserve">     912-Demo &amp; Selling</t>
  </si>
  <si>
    <t xml:space="preserve">     913-Advertising</t>
  </si>
  <si>
    <t xml:space="preserve">     916-Misc SALES Expense</t>
  </si>
  <si>
    <t>Administrative &amp; General Expense</t>
  </si>
  <si>
    <t xml:space="preserve">     920-Salaries</t>
  </si>
  <si>
    <t xml:space="preserve">     921-Office Supplies</t>
  </si>
  <si>
    <t xml:space="preserve">     922-Administrative Expense Transferred</t>
  </si>
  <si>
    <t xml:space="preserve">     923-Outside Services</t>
  </si>
  <si>
    <t xml:space="preserve">     924-Property Insurance</t>
  </si>
  <si>
    <t xml:space="preserve">     925-Injuries &amp; Damages</t>
  </si>
  <si>
    <t xml:space="preserve">     926-Employee Pension &amp; Benefits</t>
  </si>
  <si>
    <t xml:space="preserve">     9260057 Post Ret Medicare Subsidy Direct</t>
  </si>
  <si>
    <t xml:space="preserve">     927-Franchise Requirements</t>
  </si>
  <si>
    <t xml:space="preserve">     928-Regulatory Commission Expense Allocated</t>
  </si>
  <si>
    <t xml:space="preserve">     930.1-General Advertising Expense</t>
  </si>
  <si>
    <t xml:space="preserve">     930.2-Misc General Expense</t>
  </si>
  <si>
    <t xml:space="preserve">     931-Rent</t>
  </si>
  <si>
    <t xml:space="preserve">     935-Admin &amp; General Maintenance</t>
  </si>
  <si>
    <t xml:space="preserve">     9350015 - Software License Deferral</t>
  </si>
  <si>
    <t xml:space="preserve">     Total Admin &amp; General Expense</t>
  </si>
  <si>
    <t>Depreciation Expense</t>
  </si>
  <si>
    <t xml:space="preserve">      Production</t>
  </si>
  <si>
    <t xml:space="preserve">     Transmission Excl. GSU's</t>
  </si>
  <si>
    <t xml:space="preserve">     Transmission - GSU's</t>
  </si>
  <si>
    <t>Amortization Expense</t>
  </si>
  <si>
    <t xml:space="preserve">     Intangible Plant</t>
  </si>
  <si>
    <t>Regulatory Debits</t>
  </si>
  <si>
    <t>Taxes Other than F.I.T.</t>
  </si>
  <si>
    <t>Current Payroll Taxes</t>
  </si>
  <si>
    <t xml:space="preserve">     FICA</t>
  </si>
  <si>
    <t xml:space="preserve">     Fed Unemployment</t>
  </si>
  <si>
    <t xml:space="preserve">     State Unemployment</t>
  </si>
  <si>
    <t xml:space="preserve"> Real and Personal Property Tax</t>
  </si>
  <si>
    <t>Net Plant</t>
  </si>
  <si>
    <t>Sales &amp; Use</t>
  </si>
  <si>
    <t>Regis Fee</t>
  </si>
  <si>
    <t>Business Franchise Taxes</t>
  </si>
  <si>
    <t>Federal Excise</t>
  </si>
  <si>
    <t>Taxes on Capital Leases</t>
  </si>
  <si>
    <t>Interest On Customer Deposits</t>
  </si>
  <si>
    <t>Other Expense Items</t>
  </si>
  <si>
    <t>G/L Disp. Of Util Plant Gain Disp. Of Util Plant 4116000</t>
  </si>
  <si>
    <t>Loss Disp. Of Util Plant 4117000</t>
  </si>
  <si>
    <t>Accretion 4110005</t>
  </si>
  <si>
    <t>A/R Factoring</t>
  </si>
  <si>
    <t>431-Other Interest Expense</t>
  </si>
  <si>
    <t xml:space="preserve">     Total Other</t>
  </si>
  <si>
    <t>Income Taxes</t>
  </si>
  <si>
    <t>Current Federal Income Taxes</t>
  </si>
  <si>
    <t>Deferred Federal Income Taxes</t>
  </si>
  <si>
    <t>Deferred Investment Tax Credit</t>
  </si>
  <si>
    <t xml:space="preserve">     Total Income Taxes</t>
  </si>
  <si>
    <t>Production</t>
  </si>
  <si>
    <t>KPCo TOTAL</t>
  </si>
  <si>
    <t>Operating Revenues - Sale of Electricity</t>
  </si>
  <si>
    <t>Operating Revenues - Sales of Electricity</t>
  </si>
  <si>
    <t xml:space="preserve">     5010005-Def Fuel</t>
  </si>
  <si>
    <t xml:space="preserve">     561-Load Dispatching</t>
  </si>
  <si>
    <t xml:space="preserve">     5930010 Storm Expense Amortization</t>
  </si>
  <si>
    <t xml:space="preserve">     928- Rate Case Expense</t>
  </si>
  <si>
    <t xml:space="preserve">    Reg Debits - 4073000</t>
  </si>
  <si>
    <t>Municipal License</t>
  </si>
  <si>
    <t>P.S.C.</t>
  </si>
  <si>
    <t>Gross Reciepts Tax</t>
  </si>
  <si>
    <t>Current/Deferred State Income Tax</t>
  </si>
  <si>
    <t>ITC Adjustment</t>
  </si>
  <si>
    <t>AFUDC Offset</t>
  </si>
  <si>
    <t>Prov-Leased Assets - Capital Leases 1011006</t>
  </si>
  <si>
    <t>Capital Leases Acct 1011001</t>
  </si>
  <si>
    <t>Accrued Capital Leases Acct 1011012</t>
  </si>
  <si>
    <t>KENTUCKY POWER COMPANY</t>
  </si>
  <si>
    <t>LINE       NO.</t>
  </si>
  <si>
    <t>DESCRIPTION</t>
  </si>
  <si>
    <t>FACTOR</t>
  </si>
  <si>
    <t>RETAIL</t>
  </si>
  <si>
    <t>SOURCE</t>
  </si>
  <si>
    <t>Production Demand</t>
  </si>
  <si>
    <t>PDAF</t>
  </si>
  <si>
    <t>Transmission Demand</t>
  </si>
  <si>
    <t>TDAF</t>
  </si>
  <si>
    <t>EAF</t>
  </si>
  <si>
    <t>Gross Plant Transmission</t>
  </si>
  <si>
    <t>GP-TRANS</t>
  </si>
  <si>
    <t>Gross Plant Distribution</t>
  </si>
  <si>
    <t>GP-DIST</t>
  </si>
  <si>
    <t>Gross Plant - T&amp;D</t>
  </si>
  <si>
    <t>GP-T&amp;D</t>
  </si>
  <si>
    <t>Gross Plant - PTD</t>
  </si>
  <si>
    <t>GP-PTD</t>
  </si>
  <si>
    <t>Gross Plant - Total</t>
  </si>
  <si>
    <t>GP-TOT</t>
  </si>
  <si>
    <t>NP</t>
  </si>
  <si>
    <t>O&amp;M Expense</t>
  </si>
  <si>
    <t>O&amp;M</t>
  </si>
  <si>
    <t>O&amp;M Labor</t>
  </si>
  <si>
    <t>OML</t>
  </si>
  <si>
    <t>Operating Revenue</t>
  </si>
  <si>
    <t>OP-REV</t>
  </si>
  <si>
    <t>SPECIFIC</t>
  </si>
  <si>
    <t>N/A</t>
  </si>
  <si>
    <t>JURIS ONLY</t>
  </si>
  <si>
    <t>KENTUCKY PSC</t>
  </si>
  <si>
    <t>NON-KY P.S.C</t>
  </si>
  <si>
    <t>PDAF / EAF</t>
  </si>
  <si>
    <t>Operating Revenues - Wholesale Sales of Electricity</t>
  </si>
  <si>
    <t>System Sales Clause</t>
  </si>
  <si>
    <t>Labor - OML</t>
  </si>
  <si>
    <t>Regional Market Expenses</t>
  </si>
  <si>
    <t xml:space="preserve">     Electric Plant In Service - Net</t>
  </si>
  <si>
    <t>Prepayments</t>
  </si>
  <si>
    <t>Materials &amp; Supplies</t>
  </si>
  <si>
    <t>Cash Working Capital</t>
  </si>
  <si>
    <t xml:space="preserve">     Customer Advances</t>
  </si>
  <si>
    <t>Customer Advances &amp; Deposits</t>
  </si>
  <si>
    <t>Specific</t>
  </si>
  <si>
    <t xml:space="preserve">     Total Power Production</t>
  </si>
  <si>
    <t xml:space="preserve">     Transmission Expense</t>
  </si>
  <si>
    <t xml:space="preserve">     Total Customer Related Expense</t>
  </si>
  <si>
    <t xml:space="preserve">     Total A&amp;G Expense</t>
  </si>
  <si>
    <t xml:space="preserve">     501-Fuel Delivered and Consumed</t>
  </si>
  <si>
    <t xml:space="preserve">     501-Fuel Other</t>
  </si>
  <si>
    <t xml:space="preserve">KPSC                                         Maintenance                                                                      Assessment                                               </t>
  </si>
  <si>
    <t>Capacity Charge Revenues                                                                Rockport                                                        Unit Power Agreement</t>
  </si>
  <si>
    <t>State Income Tax Rate</t>
  </si>
  <si>
    <t>Federal Income Tax Rate</t>
  </si>
  <si>
    <t>Rate Case                                                                               Expense</t>
  </si>
  <si>
    <t xml:space="preserve">  ITC Adjustment</t>
  </si>
  <si>
    <t>Interest                                        Synchronization</t>
  </si>
  <si>
    <t xml:space="preserve">Customer                                     Annualization </t>
  </si>
  <si>
    <t>KY PSC JURIS</t>
  </si>
  <si>
    <t xml:space="preserve">     Total Transmission Expense</t>
  </si>
  <si>
    <t xml:space="preserve">     Total Power Production Expense</t>
  </si>
  <si>
    <t xml:space="preserve">     Total Admin.&amp; General Expense</t>
  </si>
  <si>
    <t xml:space="preserve">KPCo AFUDC                                                                     Offset </t>
  </si>
  <si>
    <t>Mitchell                                                                  Coal                                                                                 Stock</t>
  </si>
  <si>
    <t>Labor - OML / SPECIFIC</t>
  </si>
  <si>
    <t>Kentucky Power Company</t>
  </si>
  <si>
    <r>
      <t xml:space="preserve">Acct       </t>
    </r>
    <r>
      <rPr>
        <u/>
        <sz val="10"/>
        <rFont val="Arial"/>
        <family val="2"/>
      </rPr>
      <t>No.</t>
    </r>
  </si>
  <si>
    <t>Expense</t>
  </si>
  <si>
    <t>Supervision &amp; Engineering</t>
  </si>
  <si>
    <t>Fuel</t>
  </si>
  <si>
    <t>Fuel Expense Deferred</t>
  </si>
  <si>
    <t>Steam Expense</t>
  </si>
  <si>
    <t>Electric Expense</t>
  </si>
  <si>
    <t>Misc Steam Power Expense</t>
  </si>
  <si>
    <t>Rents</t>
  </si>
  <si>
    <t>Steam Generation Maintenance</t>
  </si>
  <si>
    <t>514 &amp; 515</t>
  </si>
  <si>
    <t>Maintenance of Structures</t>
  </si>
  <si>
    <t>Maintenance of Boiler Plant</t>
  </si>
  <si>
    <t>Maintenance of Electric Plant</t>
  </si>
  <si>
    <t>Maintenance of Miscellaneous Steam</t>
  </si>
  <si>
    <t>Total Steam Power O &amp; M</t>
  </si>
  <si>
    <t>Total Steam Generation - Maintenance</t>
  </si>
  <si>
    <t>Total KPCo O&amp;M Expense Per Books</t>
  </si>
  <si>
    <t>Total O&amp;M Payroll</t>
  </si>
  <si>
    <t>A&amp;G Excluding Regulation</t>
  </si>
  <si>
    <t>Restated Expense</t>
  </si>
  <si>
    <t>Non-Jurisdictional</t>
  </si>
  <si>
    <t>Customer Account Expense</t>
  </si>
  <si>
    <t>Customer Services</t>
  </si>
  <si>
    <t>A &amp; G Regulatory</t>
  </si>
  <si>
    <t>A &amp; G Other</t>
  </si>
  <si>
    <t>Total Operating &amp; Maintenance Expense</t>
  </si>
  <si>
    <t>Operations</t>
  </si>
  <si>
    <t>Maintenance</t>
  </si>
  <si>
    <t>Distribution Operations Expense</t>
  </si>
  <si>
    <t>Distribution Maintenance Expense</t>
  </si>
  <si>
    <t>Purchased</t>
  </si>
  <si>
    <t>System Pool</t>
  </si>
  <si>
    <t>Total Purchased Power</t>
  </si>
  <si>
    <t>Less:</t>
  </si>
  <si>
    <t>System Sales / Resale</t>
  </si>
  <si>
    <t>System Sales/Resale's - Associated Companies</t>
  </si>
  <si>
    <t>Transmission Charges</t>
  </si>
  <si>
    <t>Total System Sales</t>
  </si>
  <si>
    <t>Backup Energy</t>
  </si>
  <si>
    <t xml:space="preserve">Total </t>
  </si>
  <si>
    <t>Purchased Power</t>
  </si>
  <si>
    <t>Capacity</t>
  </si>
  <si>
    <t>Total</t>
  </si>
  <si>
    <t>Account 1823022</t>
  </si>
  <si>
    <t>Account 1823054</t>
  </si>
  <si>
    <t>MONTHLY BOOK CREDITS</t>
  </si>
  <si>
    <t>ALLOWANCE FOR FUNDS USED DURING CONSTRUCTION (AFUDC) - CREDITS</t>
  </si>
  <si>
    <r>
      <t xml:space="preserve">LINE             </t>
    </r>
    <r>
      <rPr>
        <u/>
        <sz val="10"/>
        <rFont val="Arial"/>
        <family val="2"/>
      </rPr>
      <t>NO.</t>
    </r>
  </si>
  <si>
    <t>MONTH</t>
  </si>
  <si>
    <r>
      <t xml:space="preserve">432         </t>
    </r>
    <r>
      <rPr>
        <u/>
        <sz val="10"/>
        <rFont val="Arial"/>
        <family val="2"/>
      </rPr>
      <t>Borrowed</t>
    </r>
  </si>
  <si>
    <r>
      <t xml:space="preserve">419               </t>
    </r>
    <r>
      <rPr>
        <u/>
        <sz val="10"/>
        <rFont val="Arial"/>
        <family val="2"/>
      </rPr>
      <t>Other</t>
    </r>
  </si>
  <si>
    <r>
      <t xml:space="preserve">Total             </t>
    </r>
    <r>
      <rPr>
        <u/>
        <sz val="10"/>
        <rFont val="Arial"/>
        <family val="2"/>
      </rPr>
      <t>AFUDC</t>
    </r>
  </si>
  <si>
    <t>April</t>
  </si>
  <si>
    <t xml:space="preserve">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</si>
  <si>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</si>
  <si>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</si>
  <si>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</si>
  <si>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</si>
  <si>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</si>
  <si>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</si>
  <si>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</si>
  <si>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</si>
  <si>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</si>
  <si>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</si>
  <si>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</si>
  <si>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-------------</t>
  </si>
  <si>
    <t>TOTAL</t>
  </si>
  <si>
    <t>=======</t>
  </si>
  <si>
    <t>=========</t>
  </si>
  <si>
    <t xml:space="preserve">    Total Operating Revenues</t>
  </si>
  <si>
    <t xml:space="preserve">    Total Operation and Maintenance Expense</t>
  </si>
  <si>
    <t xml:space="preserve">    Electric Plant In Service - Net</t>
  </si>
  <si>
    <t xml:space="preserve">    Total Intangible Plant</t>
  </si>
  <si>
    <t xml:space="preserve">    Total Steam Production</t>
  </si>
  <si>
    <t xml:space="preserve">    Total Nuclear Production</t>
  </si>
  <si>
    <t xml:space="preserve">    Total  Hydraulic Production</t>
  </si>
  <si>
    <t xml:space="preserve">    Total Other Production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</si>
  <si>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</si>
  <si>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</si>
  <si>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</si>
  <si>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</si>
  <si>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 xml:space="preserve">    Total Capital Leases</t>
  </si>
  <si>
    <t xml:space="preserve">     Total Reserve for Depreciaton / RWIP</t>
  </si>
  <si>
    <t xml:space="preserve">     Total Transmission Plant</t>
  </si>
  <si>
    <t xml:space="preserve">     Total Distribution Plant</t>
  </si>
  <si>
    <t xml:space="preserve">     Total General Plant</t>
  </si>
  <si>
    <t xml:space="preserve">     Total Reserve for Amortization</t>
  </si>
  <si>
    <t xml:space="preserve">     Total Intangilbe Plant</t>
  </si>
  <si>
    <t xml:space="preserve">     Total Production Plant</t>
  </si>
  <si>
    <t xml:space="preserve">     Total Prov-Leased Assets</t>
  </si>
  <si>
    <t xml:space="preserve">     Total Plant Held for Future Use</t>
  </si>
  <si>
    <t xml:space="preserve">     Total Completed Construction Not Classified</t>
  </si>
  <si>
    <t xml:space="preserve">     Total Non-Firm Sales</t>
  </si>
  <si>
    <t xml:space="preserve">     Total Rent from Electric Property</t>
  </si>
  <si>
    <t xml:space="preserve">     Total Other Electric Revenues</t>
  </si>
  <si>
    <t xml:space="preserve">     Total Other Operating Revenues</t>
  </si>
  <si>
    <t xml:space="preserve">     Total Operating Revenues</t>
  </si>
  <si>
    <t xml:space="preserve">     Total Steam Operation</t>
  </si>
  <si>
    <t xml:space="preserve">     Total Steam Maintenance</t>
  </si>
  <si>
    <t xml:space="preserve">     Total Other Power Supply Expense</t>
  </si>
  <si>
    <t xml:space="preserve">     Total Production O&amp;M Expense</t>
  </si>
  <si>
    <t xml:space="preserve">     Total Transmission Operation Expense</t>
  </si>
  <si>
    <t xml:space="preserve">     Total Transmission Maintenance Expense</t>
  </si>
  <si>
    <t xml:space="preserve">     Total Transmission O&amp;M Expense</t>
  </si>
  <si>
    <t xml:space="preserve">     Total Distribution Operation</t>
  </si>
  <si>
    <t xml:space="preserve">     Total Distribution Maintenance</t>
  </si>
  <si>
    <t xml:space="preserve">     Total Customer Accounts</t>
  </si>
  <si>
    <t xml:space="preserve">     Total Customer Information</t>
  </si>
  <si>
    <t xml:space="preserve">     Total Customer Service</t>
  </si>
  <si>
    <t xml:space="preserve">     Total Admin &amp; General Operation</t>
  </si>
  <si>
    <t xml:space="preserve">     Total Operation &amp; Maint Exp</t>
  </si>
  <si>
    <t xml:space="preserve">        Subtotal</t>
  </si>
  <si>
    <t xml:space="preserve">     Total Cash Working Capital</t>
  </si>
  <si>
    <t xml:space="preserve">     Total Depreciation Expense</t>
  </si>
  <si>
    <t xml:space="preserve">     Total Amortization Expense</t>
  </si>
  <si>
    <t xml:space="preserve">     Total Regulatory Debits</t>
  </si>
  <si>
    <t xml:space="preserve">     Total Depreciation &amp; Amortization Expense</t>
  </si>
  <si>
    <t xml:space="preserve">     Total Payroll Related Tax</t>
  </si>
  <si>
    <t xml:space="preserve">     Total Taxes Other than F.I.T.</t>
  </si>
  <si>
    <t xml:space="preserve">     Total Acc Prov Depreciation and Amortization</t>
  </si>
  <si>
    <t xml:space="preserve">     Total Materials &amp; Supplies</t>
  </si>
  <si>
    <t xml:space="preserve">     Total Prepayments</t>
  </si>
  <si>
    <t xml:space="preserve">     Total Intangible Plant</t>
  </si>
  <si>
    <t xml:space="preserve">     Total Steam Production</t>
  </si>
  <si>
    <t xml:space="preserve">     Total Nuclear Production</t>
  </si>
  <si>
    <t xml:space="preserve">     Total  Hydraulic Production</t>
  </si>
  <si>
    <t xml:space="preserve">     Total Other Production</t>
  </si>
  <si>
    <t xml:space="preserve">     Total Capital Leases</t>
  </si>
  <si>
    <t>Real and Personal Property Tax</t>
  </si>
  <si>
    <t>System Sales Adjusted</t>
  </si>
  <si>
    <t>SECTION   V</t>
  </si>
  <si>
    <t>FULLY ADJUSTED BASE CASE SUMMARY</t>
  </si>
  <si>
    <t>SCHEDULE   1</t>
  </si>
  <si>
    <r>
      <t xml:space="preserve">LINE   </t>
    </r>
    <r>
      <rPr>
        <u/>
        <sz val="10"/>
        <rFont val="Arial"/>
        <family val="2"/>
      </rPr>
      <t>NO.</t>
    </r>
  </si>
  <si>
    <r>
      <t xml:space="preserve">BASE CASE PSC </t>
    </r>
    <r>
      <rPr>
        <u/>
        <sz val="10"/>
        <rFont val="Arial"/>
        <family val="2"/>
      </rPr>
      <t>JURISDICTION</t>
    </r>
  </si>
  <si>
    <r>
      <t xml:space="preserve">PROPOSED </t>
    </r>
    <r>
      <rPr>
        <u/>
        <sz val="10"/>
        <rFont val="Arial"/>
        <family val="2"/>
      </rPr>
      <t>CHANGE</t>
    </r>
  </si>
  <si>
    <r>
      <t xml:space="preserve">ADJUSTED PSC </t>
    </r>
    <r>
      <rPr>
        <u/>
        <sz val="10"/>
        <rFont val="Arial"/>
        <family val="2"/>
      </rPr>
      <t>JURISDICTION</t>
    </r>
  </si>
  <si>
    <t>Operating Revenues</t>
  </si>
  <si>
    <t>Sales Of Electricity</t>
  </si>
  <si>
    <t>--------------------</t>
  </si>
  <si>
    <t>Total Operating Revenues</t>
  </si>
  <si>
    <t>Operating Expenses</t>
  </si>
  <si>
    <t>Operation &amp; Maintenance</t>
  </si>
  <si>
    <t>Depreciation</t>
  </si>
  <si>
    <t>Taxes Other Than Income Taxes</t>
  </si>
  <si>
    <t>Federal Income Tax :</t>
  </si>
  <si>
    <t xml:space="preserve">       Current</t>
  </si>
  <si>
    <t xml:space="preserve">       Deferred</t>
  </si>
  <si>
    <t xml:space="preserve">       ITC Adjustment</t>
  </si>
  <si>
    <t>Total Operating Expenses</t>
  </si>
  <si>
    <t>AFUDC Offset Adjustment / Deferred Income</t>
  </si>
  <si>
    <t xml:space="preserve">Net Electric Operating Income - Adjusted  </t>
  </si>
  <si>
    <t>============</t>
  </si>
  <si>
    <t>Capitalization</t>
  </si>
  <si>
    <t>Change in Revenue Requirement</t>
  </si>
  <si>
    <t>Rate of Return (WP S-2, Pg 1, L 5, Col 6)</t>
  </si>
  <si>
    <t>SECTION V</t>
  </si>
  <si>
    <t>SCHEDULE 2</t>
  </si>
  <si>
    <t>Line       No.</t>
  </si>
  <si>
    <t xml:space="preserve">Percent of                  Incremental                          Gross Revenues </t>
  </si>
  <si>
    <t>---------------------</t>
  </si>
  <si>
    <t>Required Net Electric Operating Income (L1 X L2)</t>
  </si>
  <si>
    <t>Net Electric Operating Income Change (L3 - L4)</t>
  </si>
  <si>
    <t>Gross Revenue Conversion Factor (Per WP S-2, Pg 2, L 9)</t>
  </si>
  <si>
    <t>Change in Revenue Requirement (L5 X L6) Increase / (Decrease)</t>
  </si>
  <si>
    <t>*</t>
  </si>
  <si>
    <t>===========</t>
  </si>
  <si>
    <t>COST OF CAPITAL</t>
  </si>
  <si>
    <t>WORKPAPER S-2</t>
  </si>
  <si>
    <t>PAGE 1 OF 3</t>
  </si>
  <si>
    <t>Reapportioned</t>
  </si>
  <si>
    <t>Annual</t>
  </si>
  <si>
    <t>Weighted</t>
  </si>
  <si>
    <t>Kentucky</t>
  </si>
  <si>
    <t>Percentage</t>
  </si>
  <si>
    <t>Cost</t>
  </si>
  <si>
    <t>Average</t>
  </si>
  <si>
    <t>Jurisdictional</t>
  </si>
  <si>
    <t>of</t>
  </si>
  <si>
    <t>Capital   1/</t>
  </si>
  <si>
    <t>Rate</t>
  </si>
  <si>
    <t>Percent</t>
  </si>
  <si>
    <t>(6) = (4) X (5)</t>
  </si>
  <si>
    <t>Long Term Debt</t>
  </si>
  <si>
    <t>2/</t>
  </si>
  <si>
    <t>Short Term Debt</t>
  </si>
  <si>
    <t>3/</t>
  </si>
  <si>
    <t>Accounts Receivable Financing 4/</t>
  </si>
  <si>
    <t>5/</t>
  </si>
  <si>
    <t>Common Equity</t>
  </si>
  <si>
    <t>6/</t>
  </si>
  <si>
    <t>-------------------</t>
  </si>
  <si>
    <t>==========</t>
  </si>
  <si>
    <t>1/</t>
  </si>
  <si>
    <t>Per workpaper S-3, Pg 2, Ln 16</t>
  </si>
  <si>
    <t>4/</t>
  </si>
  <si>
    <t>Per Commission Order March 31, 2003 Case No. 2002-00169</t>
  </si>
  <si>
    <t>PAGE 2 OF 3</t>
  </si>
  <si>
    <t>Less: Uncollectible Accounts Expense   1/</t>
  </si>
  <si>
    <t>KPSC Maintenance Fee</t>
  </si>
  <si>
    <t>Income Before income Taxes</t>
  </si>
  <si>
    <t>Income Before Federal Income Taxes</t>
  </si>
  <si>
    <t>Operating Income Percentage</t>
  </si>
  <si>
    <t>Gross Revenue Conversion Factor (100% / L8)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</si>
  <si>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</si>
  <si>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</si>
  <si>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</si>
  <si>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</si>
  <si>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</si>
  <si>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</si>
  <si>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</si>
  <si>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</si>
  <si>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</si>
  <si>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</si>
  <si>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</si>
  <si>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</si>
  <si>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</si>
  <si>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PAGE 3 OF 3</t>
  </si>
  <si>
    <t>Electric       Revenues</t>
  </si>
  <si>
    <t>Account-Net       Charged Off</t>
  </si>
  <si>
    <t>Percent of Electric       Revenues</t>
  </si>
  <si>
    <t>Three Year Average</t>
  </si>
  <si>
    <t>CAPITALIZATION</t>
  </si>
  <si>
    <t>Mitchell</t>
  </si>
  <si>
    <t>FRECO</t>
  </si>
  <si>
    <t>Non</t>
  </si>
  <si>
    <t>PER BOOK</t>
  </si>
  <si>
    <t>Coal Stock</t>
  </si>
  <si>
    <t>A/C 124</t>
  </si>
  <si>
    <t>Utility</t>
  </si>
  <si>
    <t>Sub</t>
  </si>
  <si>
    <t>BALANCE</t>
  </si>
  <si>
    <t>Adjustment</t>
  </si>
  <si>
    <t>Property</t>
  </si>
  <si>
    <t>Accounts Receivable Financing</t>
  </si>
  <si>
    <t>Sub-Total</t>
  </si>
  <si>
    <t>Job Development Tax Credit</t>
  </si>
  <si>
    <t>($000)</t>
  </si>
  <si>
    <t>Net Proceeds</t>
  </si>
  <si>
    <t>Cost of</t>
  </si>
  <si>
    <t>Original</t>
  </si>
  <si>
    <t>on Principal</t>
  </si>
  <si>
    <t>Debt</t>
  </si>
  <si>
    <t xml:space="preserve">Average </t>
  </si>
  <si>
    <t>Principal</t>
  </si>
  <si>
    <t>Discount</t>
  </si>
  <si>
    <t>Amt. Based on</t>
  </si>
  <si>
    <t>Net</t>
  </si>
  <si>
    <t>Effective</t>
  </si>
  <si>
    <t>Current</t>
  </si>
  <si>
    <t>Based on</t>
  </si>
  <si>
    <t>Name</t>
  </si>
  <si>
    <t>Ln</t>
  </si>
  <si>
    <t>Interest</t>
  </si>
  <si>
    <t>Date of</t>
  </si>
  <si>
    <t>Term</t>
  </si>
  <si>
    <t>Amount</t>
  </si>
  <si>
    <t>(Prem) &amp;</t>
  </si>
  <si>
    <t>Original Prem.</t>
  </si>
  <si>
    <t>Proceed</t>
  </si>
  <si>
    <t xml:space="preserve">Carrying </t>
  </si>
  <si>
    <t xml:space="preserve">Cost of </t>
  </si>
  <si>
    <t>No</t>
  </si>
  <si>
    <t>Rate (%)</t>
  </si>
  <si>
    <t>Offering</t>
  </si>
  <si>
    <t>Maturity</t>
  </si>
  <si>
    <t>InYears</t>
  </si>
  <si>
    <t>Issued</t>
  </si>
  <si>
    <t>(Disc) &amp; Exp</t>
  </si>
  <si>
    <t>Ratio</t>
  </si>
  <si>
    <t>Outstanding</t>
  </si>
  <si>
    <t>Value</t>
  </si>
  <si>
    <t>Issuer</t>
  </si>
  <si>
    <t>KPCo</t>
  </si>
  <si>
    <t>Subtotal</t>
  </si>
  <si>
    <t>Senior Notes</t>
  </si>
  <si>
    <t>Senior Unsecured Notes</t>
  </si>
  <si>
    <t>06/13/2003</t>
  </si>
  <si>
    <t>12/01/2032</t>
  </si>
  <si>
    <t>06/18/2009</t>
  </si>
  <si>
    <t>06/18/2021</t>
  </si>
  <si>
    <t>06/18/2029</t>
  </si>
  <si>
    <t>06/18/2039</t>
  </si>
  <si>
    <t>Total Kentucky Power</t>
  </si>
  <si>
    <t>WORKPAPER S-3</t>
  </si>
  <si>
    <t>PAGE 2 OF 4</t>
  </si>
  <si>
    <t>Month</t>
  </si>
  <si>
    <t>Year</t>
  </si>
  <si>
    <t>Notes Payable                        Outstanding at                                                   End of Month</t>
  </si>
  <si>
    <t>---------------</t>
  </si>
  <si>
    <t>Average Borrowings Outstanding During the Period</t>
  </si>
  <si>
    <t>Weighted Average Interest Rate of Borrowings</t>
  </si>
  <si>
    <t xml:space="preserve">       Outstanding During the Period (Ln 15 / Ln 14)</t>
  </si>
  <si>
    <t>========</t>
  </si>
  <si>
    <t>Line No.</t>
  </si>
  <si>
    <t>Tons</t>
  </si>
  <si>
    <t>Average       $/Ton</t>
  </si>
  <si>
    <t>PAGE 4 OF 4</t>
  </si>
  <si>
    <t xml:space="preserve">     502-Steam / Consumables</t>
  </si>
  <si>
    <t>(5)</t>
  </si>
  <si>
    <t>(6)</t>
  </si>
  <si>
    <t>Customers</t>
  </si>
  <si>
    <t>CUST.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</si>
  <si>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</si>
  <si>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</si>
  <si>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</si>
  <si>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</si>
  <si>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</si>
  <si>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</si>
  <si>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</si>
  <si>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</si>
  <si>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</si>
  <si>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</si>
  <si>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</si>
  <si>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</si>
  <si>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</si>
  <si>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Date of MW Peak</t>
  </si>
  <si>
    <t>TOTAL /</t>
  </si>
  <si>
    <t>Hour of MW Peak</t>
  </si>
  <si>
    <t>1600</t>
  </si>
  <si>
    <t>0800</t>
  </si>
  <si>
    <t>AVERAGE</t>
  </si>
  <si>
    <t>------------------</t>
  </si>
  <si>
    <t>Kentucky Peaks - Max. Load (MW)   *</t>
  </si>
  <si>
    <t>System Sales Excluding Losses</t>
  </si>
  <si>
    <t xml:space="preserve">       Loss %</t>
  </si>
  <si>
    <t>System Sales Including Losses</t>
  </si>
  <si>
    <t>Municipals (FERC Jurisdiction)</t>
  </si>
  <si>
    <t>Olive Hill, Excluding Losses</t>
  </si>
  <si>
    <t>Olive Hill, Including Losses</t>
  </si>
  <si>
    <t>Vanceburg, Excluding Losses</t>
  </si>
  <si>
    <t>Vanceburg, Including Losses</t>
  </si>
  <si>
    <t>Total Municipals Including Losses</t>
  </si>
  <si>
    <t>Allocation Factor (FERC Jurisdictional)</t>
  </si>
  <si>
    <t>/</t>
  </si>
  <si>
    <t>=</t>
  </si>
  <si>
    <t>Retail (KY Jurisdictional) Load</t>
  </si>
  <si>
    <t>Allocation Factor (KPSC Jurisdictional)</t>
  </si>
  <si>
    <t>Kentucky Power Company Internal Load plus System Sales at time of Internal Peak.</t>
  </si>
  <si>
    <t>MWH</t>
  </si>
  <si>
    <r>
      <t xml:space="preserve">% LOSS       </t>
    </r>
    <r>
      <rPr>
        <u/>
        <sz val="10"/>
        <rFont val="Arial"/>
        <family val="2"/>
      </rPr>
      <t>FACTOR</t>
    </r>
  </si>
  <si>
    <r>
      <t xml:space="preserve">MWH       </t>
    </r>
    <r>
      <rPr>
        <u/>
        <sz val="10"/>
        <rFont val="Arial"/>
        <family val="2"/>
      </rPr>
      <t>LOSSES</t>
    </r>
  </si>
  <si>
    <r>
      <t xml:space="preserve">MWH W /       </t>
    </r>
    <r>
      <rPr>
        <u/>
        <sz val="10"/>
        <rFont val="Arial"/>
        <family val="2"/>
      </rPr>
      <t>LOSSES</t>
    </r>
  </si>
  <si>
    <t xml:space="preserve">Transmission - </t>
  </si>
  <si>
    <t>Firm Sales - Vanceburg</t>
  </si>
  <si>
    <t xml:space="preserve">Distribution - </t>
  </si>
  <si>
    <t>Firm Sales - Olive Hill</t>
  </si>
  <si>
    <r>
      <t xml:space="preserve">TOTAL       </t>
    </r>
    <r>
      <rPr>
        <u/>
        <sz val="10"/>
        <rFont val="Arial"/>
        <family val="2"/>
      </rPr>
      <t xml:space="preserve">COMPANY       </t>
    </r>
  </si>
  <si>
    <t>ELIMINATION</t>
  </si>
  <si>
    <r>
      <t xml:space="preserve">TOTAL       COMPANY       </t>
    </r>
    <r>
      <rPr>
        <u/>
        <sz val="10"/>
        <rFont val="Arial"/>
        <family val="2"/>
      </rPr>
      <t>ADJUSTED</t>
    </r>
  </si>
  <si>
    <r>
      <t xml:space="preserve">CITY OF       </t>
    </r>
    <r>
      <rPr>
        <u/>
        <sz val="10"/>
        <rFont val="Arial"/>
        <family val="2"/>
      </rPr>
      <t>OLIVE HILL</t>
    </r>
  </si>
  <si>
    <r>
      <t xml:space="preserve">CITY OF       </t>
    </r>
    <r>
      <rPr>
        <u/>
        <sz val="10"/>
        <rFont val="Arial"/>
        <family val="2"/>
      </rPr>
      <t>VANCEBURG</t>
    </r>
  </si>
  <si>
    <r>
      <t xml:space="preserve">TOTAL       </t>
    </r>
    <r>
      <rPr>
        <u/>
        <sz val="10"/>
        <rFont val="Arial"/>
        <family val="2"/>
      </rPr>
      <t>RETAIL</t>
    </r>
  </si>
  <si>
    <t>Sources of Energy</t>
  </si>
  <si>
    <t>Generation</t>
  </si>
  <si>
    <t>Purchases</t>
  </si>
  <si>
    <t>Net interchange</t>
  </si>
  <si>
    <t>Total Sources</t>
  </si>
  <si>
    <t>Disposition of Energy</t>
  </si>
  <si>
    <t>Sales / Ultimate Customers</t>
  </si>
  <si>
    <t>Sales for Resale</t>
  </si>
  <si>
    <t>Firm Sales (Mun.) - Olive Hill</t>
  </si>
  <si>
    <t>Firm Sales (Mun.) - Vanceburg</t>
  </si>
  <si>
    <t>Total Sales / Resale                                                   (LINES 10+11+12)</t>
  </si>
  <si>
    <t>Energy Losses</t>
  </si>
  <si>
    <t>Total Disposition                                                         (LINES 8+9+13+14)</t>
  </si>
  <si>
    <t>Allocation Factor</t>
  </si>
  <si>
    <t>City of Olive Hill</t>
  </si>
  <si>
    <t>City of Vanceburg</t>
  </si>
  <si>
    <t xml:space="preserve">Year </t>
  </si>
  <si>
    <t>Loss Factors by System</t>
  </si>
  <si>
    <t>% Demand</t>
  </si>
  <si>
    <t>% Energy</t>
  </si>
  <si>
    <r>
      <t xml:space="preserve"> Cumulative (Composite)</t>
    </r>
    <r>
      <rPr>
        <sz val="10"/>
        <rFont val="Arial"/>
        <family val="2"/>
      </rPr>
      <t xml:space="preserve"> Loss  Expansion Factors (1)</t>
    </r>
  </si>
  <si>
    <t>System</t>
  </si>
  <si>
    <t>Loss</t>
  </si>
  <si>
    <t>Subtransmission</t>
  </si>
  <si>
    <t xml:space="preserve">Distribution Substation Trxfrs - 69kV (1) </t>
  </si>
  <si>
    <t>Composite                             Loss</t>
  </si>
  <si>
    <r>
      <t>Notes:</t>
    </r>
    <r>
      <rPr>
        <sz val="10"/>
        <rFont val="Arial"/>
        <family val="2"/>
      </rPr>
      <t xml:space="preserve">  </t>
    </r>
  </si>
  <si>
    <t>(1) Composite Loss Factors are applicable to load metered at respective delivery point to determine losses back to the generator.</t>
  </si>
  <si>
    <t xml:space="preserve">  </t>
  </si>
  <si>
    <t>Allocated</t>
  </si>
  <si>
    <t xml:space="preserve">Eliminate Advertising                                 Expense        </t>
  </si>
  <si>
    <t xml:space="preserve">     Subtotal Gross Plant     GP-TOT</t>
  </si>
  <si>
    <t>State Business Occup Taxes</t>
  </si>
  <si>
    <t>G/L Disp. Of Allowances 411.8</t>
  </si>
  <si>
    <t>Exclude FERC RQ</t>
  </si>
  <si>
    <t>9/30/2014</t>
  </si>
  <si>
    <t>9/30/2026</t>
  </si>
  <si>
    <t>Pollution Control Bond</t>
  </si>
  <si>
    <t>Balance End of Test Year (Low Sulfur)</t>
  </si>
  <si>
    <t>Balance End of Test Year (High Sulfur)</t>
  </si>
  <si>
    <t>Daily Burn Rate  (Low Sulfur)</t>
  </si>
  <si>
    <t>Daily Burn Rate  (High Sulfur)</t>
  </si>
  <si>
    <t>Day Supply Requested (Low Sulfur)</t>
  </si>
  <si>
    <t>Day Supply Requested (High Sulfur)</t>
  </si>
  <si>
    <t>Days Supply on Hand - Low Sulfur (Ln 1 / Ln 3)</t>
  </si>
  <si>
    <t>Days Supply on Hand - High Sulfur (Ln 2 / Ln 4)</t>
  </si>
  <si>
    <t>=============</t>
  </si>
  <si>
    <t>Annualization                                                of Lease Costs</t>
  </si>
  <si>
    <t>ARO Accretion</t>
  </si>
  <si>
    <t>Weather Normalization</t>
  </si>
  <si>
    <t xml:space="preserve">     Subtotal Gross Plant     GP-PTD</t>
  </si>
  <si>
    <t xml:space="preserve">     Subtotal Gross Plant     GP-TRANS</t>
  </si>
  <si>
    <t xml:space="preserve">     Subtotal Gross Plant     GP-DIST</t>
  </si>
  <si>
    <t xml:space="preserve">     Subtotal Gross Plant     GP-T&amp;D</t>
  </si>
  <si>
    <t>CUST</t>
  </si>
  <si>
    <t>Accretion 4111005</t>
  </si>
  <si>
    <t>AFUDC Offset - Production</t>
  </si>
  <si>
    <t>AFUDC Offset - Transmission</t>
  </si>
  <si>
    <t>AFUDC Offset - Distribution</t>
  </si>
  <si>
    <t>AFUDC Offset - General</t>
  </si>
  <si>
    <t xml:space="preserve">     456-Other Electric LSE Charge - Retail Demand</t>
  </si>
  <si>
    <t xml:space="preserve">     456-Other Electric LSE Charge - Retail Energy</t>
  </si>
  <si>
    <t xml:space="preserve">     456-Other Electric Non-Juris</t>
  </si>
  <si>
    <t xml:space="preserve">     456-Other ElectricTransmission ABD</t>
  </si>
  <si>
    <t xml:space="preserve">     456-Other Electric Transmission EKPC</t>
  </si>
  <si>
    <t xml:space="preserve">     456-Other Electric TO Revenues</t>
  </si>
  <si>
    <t xml:space="preserve">     456-Other Electric Distribution ABD</t>
  </si>
  <si>
    <t xml:space="preserve">     456-Other Electric Revenues DSM</t>
  </si>
  <si>
    <t xml:space="preserve">     565  Transmission by Others</t>
  </si>
  <si>
    <t xml:space="preserve">     565  LSE Transmission Purchases - Retail Demand</t>
  </si>
  <si>
    <t>4310007-Other Interest Expense</t>
  </si>
  <si>
    <t>13 Month Average Accounts Receivable Balance and 13 Month Average Annual Carrying Cost</t>
  </si>
  <si>
    <t>Acct 4190005</t>
  </si>
  <si>
    <t>Acct 4300003</t>
  </si>
  <si>
    <t>Mitchell FGD</t>
  </si>
  <si>
    <t>From Base to</t>
  </si>
  <si>
    <t>Environmental</t>
  </si>
  <si>
    <t xml:space="preserve"> CP Demand</t>
  </si>
  <si>
    <t>CP Demand</t>
  </si>
  <si>
    <t xml:space="preserve">     561-Load Dispatching - PJM</t>
  </si>
  <si>
    <t xml:space="preserve">     561-Load Dispatching - Company</t>
  </si>
  <si>
    <t>Removal</t>
  </si>
  <si>
    <t xml:space="preserve">     Subtotal O&amp;M Labor - OML</t>
  </si>
  <si>
    <t>Total Construction Work in Progress Less AFUDC</t>
  </si>
  <si>
    <t>Total  AFUDC</t>
  </si>
  <si>
    <t>Other Including Customer Deposits</t>
  </si>
  <si>
    <t>Schedule M Adjustment  ---  Addback &lt;Deduct&gt;</t>
  </si>
  <si>
    <t>Normalization %</t>
  </si>
  <si>
    <t>HR-J Post in Service AFUDC</t>
  </si>
  <si>
    <t>Accum. Dep. On ARO Assets</t>
  </si>
  <si>
    <t>KPCO DEMAND ALLOCATION FACTORS</t>
  </si>
  <si>
    <t>KPCO ENERGY ALLOCATION FACTORS</t>
  </si>
  <si>
    <t>KPCO JURISDICTIONAL ALLOCATION FACTORS</t>
  </si>
  <si>
    <t>Schedule 9</t>
  </si>
  <si>
    <t>Schedule 10</t>
  </si>
  <si>
    <t>Schedule 9                                (Vanceburg)</t>
  </si>
  <si>
    <t>Schedule 9                                (Olive Hill)</t>
  </si>
  <si>
    <t>Schedule 10                                (Olive Hill)</t>
  </si>
  <si>
    <t>Schedule 10                                (Vanceburg)</t>
  </si>
  <si>
    <t>Sch 9</t>
  </si>
  <si>
    <t>Sch 10</t>
  </si>
  <si>
    <t>Sch 4, Line 425</t>
  </si>
  <si>
    <t>Sch 4, Line 423</t>
  </si>
  <si>
    <t>Sch 4, Line 167</t>
  </si>
  <si>
    <t>Sch 4, Line 169</t>
  </si>
  <si>
    <t>Sch 4, Line 171</t>
  </si>
  <si>
    <t>Sch 4, Line 173</t>
  </si>
  <si>
    <t>Sch 4, Line 39</t>
  </si>
  <si>
    <t>Total Operating Revenue</t>
  </si>
  <si>
    <t>Per workpaper S-3, Pg 1, Ln 15, Col 14</t>
  </si>
  <si>
    <t>Fuel Stock Requested - Low Sulfur (Ln 3 X Ln 7)</t>
  </si>
  <si>
    <t>Fuel Stock Requested - High Sulfur (Ln 4 X Ln 8)</t>
  </si>
  <si>
    <t>Adjustment to Test Year - Low Sulfur (Ln 9 - Ln 1)</t>
  </si>
  <si>
    <t>Adjustment to Test Year - High Sulfur (Ln 10 - Ln 1)</t>
  </si>
  <si>
    <t>KPCo's Adjustment Test Year (Ln 11 + Ln 12)</t>
  </si>
  <si>
    <t>KPSC Jurisdictional Amount (Ln 13 X Ln 14)</t>
  </si>
  <si>
    <r>
      <t xml:space="preserve">Monthly               Debt                          Rate                  </t>
    </r>
    <r>
      <rPr>
        <u/>
        <sz val="10"/>
        <rFont val="Arial"/>
        <family val="2"/>
      </rPr>
      <t>Applicable</t>
    </r>
  </si>
  <si>
    <r>
      <t xml:space="preserve">Monthly               Equity                        Rate                  </t>
    </r>
    <r>
      <rPr>
        <u/>
        <sz val="10"/>
        <rFont val="Arial"/>
        <family val="2"/>
      </rPr>
      <t>Applicable</t>
    </r>
  </si>
  <si>
    <r>
      <t>ENERGY</t>
    </r>
    <r>
      <rPr>
        <u/>
        <sz val="10"/>
        <rFont val="Arial"/>
        <family val="2"/>
      </rPr>
      <t xml:space="preserve"> LOSS CALCULATIONS</t>
    </r>
  </si>
  <si>
    <t>Capitalization (Per Sch 3, L 7, Col 14)</t>
  </si>
  <si>
    <t>A&amp;G Allocators</t>
  </si>
  <si>
    <t>Non-KY P.S.C. Juris</t>
  </si>
  <si>
    <t xml:space="preserve">     565  LSE Transmission Purchases - Retail Energy</t>
  </si>
  <si>
    <t xml:space="preserve">     565  Transmission Purchases - Non-Juris</t>
  </si>
  <si>
    <t>FERC Trans Rate Case Expense</t>
  </si>
  <si>
    <t>SPECIFIC/PDAF</t>
  </si>
  <si>
    <t xml:space="preserve">     508-IPP Operations</t>
  </si>
  <si>
    <t>12/30/2014</t>
  </si>
  <si>
    <t>12/30/2026</t>
  </si>
  <si>
    <t xml:space="preserve">     501-Gas Reservation Fee</t>
  </si>
  <si>
    <t>Kentucky Internal Peak Load</t>
  </si>
  <si>
    <t xml:space="preserve">TOTAL       Non Retail Jurisdiction       </t>
  </si>
  <si>
    <t>LSE OATT Charges - Retail Demand 565&amp;456</t>
  </si>
  <si>
    <t>LSE OATT Charges - Retail Energy 565&amp;456</t>
  </si>
  <si>
    <t>Trans COS - Demand</t>
  </si>
  <si>
    <t>Transmission Owner PJM Revenue</t>
  </si>
  <si>
    <t>CITY OF       HAMILTON</t>
  </si>
  <si>
    <t>Remove DSM Rider</t>
  </si>
  <si>
    <t>Remove HEAP Surcharge</t>
  </si>
  <si>
    <t>Remove Economic Development Surcharge</t>
  </si>
  <si>
    <t>Pension and OPEB Expense</t>
  </si>
  <si>
    <t>Employee Related Group Benefit Expenses</t>
  </si>
  <si>
    <t>Severance Related Payroll Expenses</t>
  </si>
  <si>
    <t>Total Incentive Compensation &amp; Payroll Adjustments</t>
  </si>
  <si>
    <t>ARO Depreciation Expense</t>
  </si>
  <si>
    <t>Fuel Under (Over) Revenue &amp; Expense</t>
  </si>
  <si>
    <t>O&amp;M Expense Interest on Customer Deposits</t>
  </si>
  <si>
    <t>Remove Non-Recoverable Business Expenses</t>
  </si>
  <si>
    <t>PJM LSE OATT Expense</t>
  </si>
  <si>
    <t>Annualize PJM Admin Fees</t>
  </si>
  <si>
    <t>System Sales Clause - reset OSS Margin Baseline</t>
  </si>
  <si>
    <t>NERC Compliance &amp; Cyber Security</t>
  </si>
  <si>
    <t>Consumables</t>
  </si>
  <si>
    <t>Env Surcharge - Remove Mitchell FGD Expenses</t>
  </si>
  <si>
    <t>Annualization Depreciation/Amortization Expense</t>
  </si>
  <si>
    <t>Decommissioning Rider Removal</t>
  </si>
  <si>
    <t>Remove Decommissioning Rider ADIT from Rate Base</t>
  </si>
  <si>
    <t>Decommissioning</t>
  </si>
  <si>
    <t>Remove FGD Plant and M&amp;S from Rate Base (Mitchell)</t>
  </si>
  <si>
    <t>Environmental Surcharge Revenue Sync - remove FGD revenue, sync non-FGD revenue, remove deferrals</t>
  </si>
  <si>
    <t>Allocation Factor - EAF</t>
  </si>
  <si>
    <t>ALLOCATED</t>
  </si>
  <si>
    <t xml:space="preserve"> Adjustments</t>
  </si>
  <si>
    <t>Kentucky Jurisdiction</t>
  </si>
  <si>
    <t>Surcharge Book to Bill</t>
  </si>
  <si>
    <t>KY Retail</t>
  </si>
  <si>
    <t xml:space="preserve">     565  LSE Transmission Purchases </t>
  </si>
  <si>
    <t>Per Recommendation of Company Witnesses McKenzie</t>
  </si>
  <si>
    <t>Olive Hill Substation</t>
  </si>
  <si>
    <t>Olive Hill Meters</t>
  </si>
  <si>
    <t>Retail bad debt amount acct 4265010</t>
  </si>
  <si>
    <t>565 Trans by Others</t>
  </si>
  <si>
    <t>A&amp;G</t>
  </si>
  <si>
    <t>Schedules 6, 9 and 10</t>
  </si>
  <si>
    <t xml:space="preserve">     Accumulated Deferred Income Taxes</t>
  </si>
  <si>
    <t>Property Tax Expense Annualization</t>
  </si>
  <si>
    <t>Non-firm Sales</t>
  </si>
  <si>
    <t>PDAF/EAF</t>
  </si>
  <si>
    <t xml:space="preserve">    Total AFUDC Adjustment</t>
  </si>
  <si>
    <t xml:space="preserve">     Total AFUDC Adjustment</t>
  </si>
  <si>
    <t xml:space="preserve">     Total Rate Base (excludng Cash Working Capital)</t>
  </si>
  <si>
    <t>Total Rate Base (excluding Cash Working Capital)</t>
  </si>
  <si>
    <t>Schedule 3, Column 14, Lines 1, 2, 3 &amp; 4</t>
  </si>
  <si>
    <t>PAGE 3 OF 4</t>
  </si>
  <si>
    <t>(3)</t>
  </si>
  <si>
    <t>(4)</t>
  </si>
  <si>
    <t>Case No. 2017-00179</t>
  </si>
  <si>
    <r>
      <t xml:space="preserve">Ln </t>
    </r>
    <r>
      <rPr>
        <b/>
        <u/>
        <sz val="10"/>
        <rFont val="Arial"/>
        <family val="2"/>
      </rPr>
      <t>No.</t>
    </r>
  </si>
  <si>
    <t>Reference</t>
  </si>
  <si>
    <r>
      <rPr>
        <b/>
        <sz val="10"/>
        <rFont val="Arial"/>
        <family val="2"/>
      </rPr>
      <t>Cumulative Percentage</t>
    </r>
    <r>
      <rPr>
        <b/>
        <u/>
        <sz val="10"/>
        <rFont val="Arial"/>
        <family val="2"/>
      </rPr>
      <t xml:space="preserve"> Increase</t>
    </r>
  </si>
  <si>
    <t xml:space="preserve">Proposed Increase to Revenue Requirement  </t>
  </si>
  <si>
    <t>Section V, Schedule 1, Cell I47</t>
  </si>
  <si>
    <t>Section II, Exhibit J</t>
  </si>
  <si>
    <t>Total Increase  (Ln 2 + Ln 3 + Ln 4)</t>
  </si>
  <si>
    <t>REVENUE REQUIREMENT</t>
  </si>
  <si>
    <t>COMPUTATION OF THE GROSS REVENUE</t>
  </si>
  <si>
    <t>CONVERSION FACTOR</t>
  </si>
  <si>
    <t>COMPUTATION OF FACTOR TO BE APPLIED TO ADDITIONAL</t>
  </si>
  <si>
    <t>DETERMINATION OF AN UNCOLLECTIBLE ACCOUNTS</t>
  </si>
  <si>
    <t>REVENUES GENERATED BY RATE INCREASE, IN</t>
  </si>
  <si>
    <t>ADJUSTMENT TO BE ADDED TO O&amp;M EXPENSE</t>
  </si>
  <si>
    <t>LONG-TERM DEBT</t>
  </si>
  <si>
    <t>SCHEDULE OF SHORT-TERM DEBT</t>
  </si>
  <si>
    <t>COAL STOCK ADJUSTMENT</t>
  </si>
  <si>
    <t>MICTHELL PLANT</t>
  </si>
  <si>
    <t>ELECTRIC OPERATION &amp; MAINTENANCE EXPENSE</t>
  </si>
  <si>
    <t>ENERGY &amp; CAPACITY CHARGES</t>
  </si>
  <si>
    <t>(1a)</t>
  </si>
  <si>
    <t>Test Year Retail Sales Revenues per Income Statement</t>
  </si>
  <si>
    <t>(1b)</t>
  </si>
  <si>
    <t>Test Year Retail Sales Revenues</t>
  </si>
  <si>
    <t>Section V, Schedule 4, Cell C7</t>
  </si>
  <si>
    <t>Net Electric Operating Income   (Line 4 - Line 12)</t>
  </si>
  <si>
    <t>Test Year Net Electric Operating Income (Per Sch 4, Col 6, Ln 35)</t>
  </si>
  <si>
    <t>Sch 4, Line 175</t>
  </si>
  <si>
    <t>Sch 4, Line 287</t>
  </si>
  <si>
    <t>9/12/2017</t>
  </si>
  <si>
    <t>9/12/2024</t>
  </si>
  <si>
    <t>9/12/2027</t>
  </si>
  <si>
    <t>9/12/2029</t>
  </si>
  <si>
    <t>9/12/2047</t>
  </si>
  <si>
    <t>Twelve Months Ended 03/31/2020</t>
  </si>
  <si>
    <t>2019</t>
  </si>
  <si>
    <t>2020</t>
  </si>
  <si>
    <t xml:space="preserve">        KPCo Losses based on Test Year ended March 31, 2020</t>
  </si>
  <si>
    <t>APR 1, 2019</t>
  </si>
  <si>
    <t>0700</t>
  </si>
  <si>
    <t>MAY 28, 2019</t>
  </si>
  <si>
    <t>JUN 27, 2019</t>
  </si>
  <si>
    <t>JUL 27, 2019</t>
  </si>
  <si>
    <t>AUG 19, 2019</t>
  </si>
  <si>
    <t>SEP 11, 2019</t>
  </si>
  <si>
    <t>OCT 1, 2019</t>
  </si>
  <si>
    <t>NOV 13, 2019</t>
  </si>
  <si>
    <t>DEC 19, 2019</t>
  </si>
  <si>
    <t>JAN 22, 2020</t>
  </si>
  <si>
    <t>FEB 15, 2020</t>
  </si>
  <si>
    <t>MAR 1, 2020</t>
  </si>
  <si>
    <t>TEST YEAR ENDED MARCH 31, 2020</t>
  </si>
  <si>
    <t>12 Months Ended 3/31/2018</t>
  </si>
  <si>
    <t>12 Months Ended 3/31/2019</t>
  </si>
  <si>
    <t>12 Months Ended 3/31/2020</t>
  </si>
  <si>
    <t xml:space="preserve">April </t>
  </si>
  <si>
    <t>Prov-Leased Assets - Capital Leases 1011006, 1011036</t>
  </si>
  <si>
    <t>Accrued Capital and Operating Leases Acct 1011012, 1011031, 1011032, 1011036</t>
  </si>
  <si>
    <t xml:space="preserve">     Prepaid Pension Benefit -1650010, 1650035</t>
  </si>
  <si>
    <t xml:space="preserve">Amort Big Sandy Operation Rider </t>
  </si>
  <si>
    <t>AFUDC Offset - Intangible</t>
  </si>
  <si>
    <t>Sales and Use Tax</t>
  </si>
  <si>
    <t>State Business Occupation Tax</t>
  </si>
  <si>
    <t>Term Loan</t>
  </si>
  <si>
    <t xml:space="preserve">Local Bank Term Loan </t>
  </si>
  <si>
    <t xml:space="preserve">January </t>
  </si>
  <si>
    <t>Februrary</t>
  </si>
  <si>
    <t>Interest Expense for the Twelve Months Ended 03/31/2020</t>
  </si>
  <si>
    <t>Eliminate Tariff Insert Expense</t>
  </si>
  <si>
    <t xml:space="preserve">Rockport UPA Demand Expense </t>
  </si>
  <si>
    <t>PJM Capacity Performance Insurance Premium Cost</t>
  </si>
  <si>
    <t>Def and Amortize GreenHat Default Charges</t>
  </si>
  <si>
    <t>Removal of Pole Rental Revenues and Expenese to prior periods</t>
  </si>
  <si>
    <t>Removal Non-Ongoing Expense Related to COVID-19 Pandemic</t>
  </si>
  <si>
    <t>Removal Prior Period Insurance Proceeds</t>
  </si>
  <si>
    <t>Removal Prior Period Rockport Bill</t>
  </si>
  <si>
    <t>Amoritization Deferred Plant Maintenance Costs</t>
  </si>
  <si>
    <t>Add Deferred Plant Maintenance Reg. Asset to Capitalization</t>
  </si>
  <si>
    <t>Removal NERC Compliance Cyber Security Assets from Capitalization</t>
  </si>
  <si>
    <t>Removal Rockport Def. Reg. Asset net of Def. Tax from Capitalization</t>
  </si>
  <si>
    <t>Veg Management Tree Trimming</t>
  </si>
  <si>
    <t>Remove FIT Expenses - Excess Related to Tax Cut Tariff Rider</t>
  </si>
  <si>
    <t>Deferred Plant</t>
  </si>
  <si>
    <t>Reg Asset</t>
  </si>
  <si>
    <t>NERC Compliance</t>
  </si>
  <si>
    <t>Cyber Security</t>
  </si>
  <si>
    <t>Rockport</t>
  </si>
  <si>
    <t>Deferral</t>
  </si>
  <si>
    <t>Remvoal</t>
  </si>
  <si>
    <t>Removal of Federal Tax Cut Rider Credits</t>
  </si>
  <si>
    <t>Specific Customer                                    Adj</t>
  </si>
  <si>
    <t>Book to Bill</t>
  </si>
  <si>
    <t xml:space="preserve">Remove PPA Rider Revenue, Expense </t>
  </si>
  <si>
    <t>Normalization                                                             Major Storm Damage (3yr avg)</t>
  </si>
  <si>
    <t>27-33</t>
  </si>
  <si>
    <t>Annualize EOP Rates</t>
  </si>
  <si>
    <t>Test Year Ended March 31, 2020</t>
  </si>
  <si>
    <t>671H, 671I</t>
  </si>
  <si>
    <t>671K,671N, 671O, 671P</t>
  </si>
  <si>
    <t>432I split between 6 &amp; 7</t>
  </si>
  <si>
    <t>671J</t>
  </si>
  <si>
    <t>632U</t>
  </si>
  <si>
    <t>605B 906A</t>
  </si>
  <si>
    <t>672O</t>
  </si>
  <si>
    <t>612Y</t>
  </si>
  <si>
    <t>230A, 280A</t>
  </si>
  <si>
    <t>280H</t>
  </si>
  <si>
    <t>906P</t>
  </si>
  <si>
    <t>960F-XS</t>
  </si>
  <si>
    <t>911S</t>
  </si>
  <si>
    <t>No Def Fuel</t>
  </si>
  <si>
    <t>No Timing Dif</t>
  </si>
  <si>
    <t>No Timing Diff</t>
  </si>
  <si>
    <t>ETR</t>
  </si>
  <si>
    <t>Not current</t>
  </si>
  <si>
    <t xml:space="preserve">675H </t>
  </si>
  <si>
    <t xml:space="preserve">     561-Load Dispatching-PJM</t>
  </si>
  <si>
    <t>Removal Regulatory Asset Amort.</t>
  </si>
  <si>
    <t>Proposed Decrease in Capacity Charge</t>
  </si>
  <si>
    <t>Proposed Grid Modernization Rider</t>
  </si>
  <si>
    <t>Remove Capacity Charge and SSC Over/Under (Adj 1&amp;7)</t>
  </si>
  <si>
    <t>Line of Credit Fees</t>
  </si>
  <si>
    <t>BSDR Direct Assign</t>
  </si>
  <si>
    <t xml:space="preserve">DSM, Econ Dev &amp; HEAP Rider Expenses </t>
  </si>
  <si>
    <t>PPA Direct Assign</t>
  </si>
  <si>
    <t>Less: Federal income Taxes (L6 X 21.00%)</t>
  </si>
  <si>
    <t>Less: State Income Taxes (L4 X 5.8545%)  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</si>
</sst>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#,##0.0000_);\(#,##0.0000\)"/>
    <numFmt numFmtId="168" formatCode="#,##0.000000"/>
    <numFmt numFmtId="169" formatCode="#,##0.0000000"/>
    <numFmt numFmtId="170" formatCode="#,##0.00000"/>
    <numFmt numFmtId="171" formatCode="_(* #,##0.0_);_(* \(#,##0.0\);&quot;&quot;;_(@_)"/>
    <numFmt numFmtId="172" formatCode="[Blue]#,##0,_);[Red]\(#,##0,\)"/>
    <numFmt numFmtId="173" formatCode="#,##0.000_);\(#,##0.000\)"/>
    <numFmt numFmtId="174" formatCode="#,##0.000"/>
    <numFmt numFmtId="175" formatCode="&quot;$&quot;#,##0"/>
    <numFmt numFmtId="176" formatCode="0.0000%"/>
    <numFmt numFmtId="177" formatCode="0.000000%"/>
    <numFmt numFmtId="178" formatCode="0_);\(0\)"/>
    <numFmt numFmtId="179" formatCode="mm/dd/yy"/>
    <numFmt numFmtId="180" formatCode="0.000"/>
    <numFmt numFmtId="181" formatCode="_(* #,##0.000_);_(* \(#,##0.000\);_(* &quot;-&quot;??_);_(@_)"/>
    <numFmt numFmtId="182" formatCode="0.0"/>
    <numFmt numFmtId="183" formatCode="_(&quot;$&quot;* #,##0_);_(&quot;$&quot;* \(#,##0\);_(&quot;$&quot;* &quot;-&quot;??_);_(@_)"/>
    <numFmt numFmtId="184" formatCode="#,##0.00000_);\(#,##0.00000\)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#,##0.00000000_);\(#,##0.00000000\)"/>
    <numFmt numFmtId="188" formatCode="0.00000000_);\(0.00000000\)"/>
    <numFmt numFmtId="189" formatCode="#,##0.0_);\(#,##0.0\)"/>
    <numFmt numFmtId="190" formatCode="0.00000%"/>
    <numFmt numFmtId="191" formatCode="_(* #,##0.00000000_);_(* \(#,##0.00000000\);_(* &quot;-&quot;??_);_(@_)"/>
    <numFmt numFmtId="192" formatCode="#,##0.000000_);\(#,##0.000000\)"/>
  </numFmts>
  <fonts count="10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b/>
      <u/>
      <sz val="10"/>
      <name val="Arial"/>
      <family val="2"/>
    </font>
    <font>
      <sz val="8"/>
      <name val="Arial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theme="1"/>
      <name val="Arial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name val="Arial MT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66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8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4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32" fillId="2" borderId="6" applyNumberFormat="0" applyAlignment="0" applyProtection="0"/>
    <xf numFmtId="0" fontId="33" fillId="2" borderId="6" applyNumberFormat="0" applyAlignment="0" applyProtection="0"/>
    <xf numFmtId="0" fontId="33" fillId="2" borderId="6" applyNumberFormat="0" applyAlignment="0" applyProtection="0"/>
    <xf numFmtId="0" fontId="33" fillId="2" borderId="6" applyNumberFormat="0" applyAlignment="0" applyProtection="0"/>
    <xf numFmtId="0" fontId="34" fillId="2" borderId="6" applyNumberFormat="0" applyAlignment="0" applyProtection="0"/>
    <xf numFmtId="0" fontId="35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6" fillId="10" borderId="7" applyNumberFormat="0" applyAlignment="0" applyProtection="0"/>
    <xf numFmtId="0" fontId="37" fillId="26" borderId="7" applyNumberFormat="0" applyAlignment="0" applyProtection="0"/>
    <xf numFmtId="0" fontId="36" fillId="26" borderId="7" applyNumberFormat="0" applyAlignment="0" applyProtection="0"/>
    <xf numFmtId="0" fontId="35" fillId="26" borderId="7" applyNumberFormat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1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3" applyNumberFormat="0" applyFill="0" applyAlignment="0" applyProtection="0"/>
    <xf numFmtId="0" fontId="60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9" borderId="6" applyNumberFormat="0" applyAlignment="0" applyProtection="0"/>
    <xf numFmtId="0" fontId="62" fillId="9" borderId="6" applyNumberFormat="0" applyAlignment="0" applyProtection="0"/>
    <xf numFmtId="0" fontId="62" fillId="9" borderId="6" applyNumberFormat="0" applyAlignment="0" applyProtection="0"/>
    <xf numFmtId="0" fontId="62" fillId="9" borderId="6" applyNumberFormat="0" applyAlignment="0" applyProtection="0"/>
    <xf numFmtId="0" fontId="63" fillId="9" borderId="6" applyNumberFormat="0" applyAlignment="0" applyProtection="0"/>
    <xf numFmtId="41" fontId="64" fillId="0" borderId="0">
      <alignment horizontal="left"/>
    </xf>
    <xf numFmtId="0" fontId="65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7" fillId="0" borderId="14" applyNumberFormat="0" applyFill="0" applyAlignment="0" applyProtection="0"/>
    <xf numFmtId="0" fontId="68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0" borderId="0"/>
    <xf numFmtId="0" fontId="19" fillId="0" borderId="0"/>
    <xf numFmtId="37" fontId="22" fillId="0" borderId="0"/>
    <xf numFmtId="0" fontId="22" fillId="0" borderId="0"/>
    <xf numFmtId="0" fontId="39" fillId="0" borderId="0"/>
    <xf numFmtId="0" fontId="16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0" fontId="19" fillId="0" borderId="0"/>
    <xf numFmtId="0" fontId="72" fillId="0" borderId="0"/>
    <xf numFmtId="0" fontId="72" fillId="0" borderId="0"/>
    <xf numFmtId="0" fontId="19" fillId="0" borderId="0"/>
    <xf numFmtId="0" fontId="72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38" fontId="17" fillId="0" borderId="0"/>
    <xf numFmtId="0" fontId="16" fillId="0" borderId="0"/>
    <xf numFmtId="0" fontId="19" fillId="0" borderId="0"/>
    <xf numFmtId="0" fontId="17" fillId="0" borderId="0"/>
    <xf numFmtId="0" fontId="17" fillId="0" borderId="0"/>
    <xf numFmtId="0" fontId="71" fillId="0" borderId="0"/>
    <xf numFmtId="0" fontId="71" fillId="0" borderId="0"/>
    <xf numFmtId="0" fontId="71" fillId="0" borderId="0"/>
    <xf numFmtId="0" fontId="17" fillId="5" borderId="15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0" fontId="17" fillId="5" borderId="6" applyNumberFormat="0" applyFont="0" applyAlignment="0" applyProtection="0"/>
    <xf numFmtId="43" fontId="62" fillId="0" borderId="0"/>
    <xf numFmtId="172" fontId="73" fillId="0" borderId="0"/>
    <xf numFmtId="0" fontId="74" fillId="2" borderId="16" applyNumberFormat="0" applyAlignment="0" applyProtection="0"/>
    <xf numFmtId="0" fontId="75" fillId="2" borderId="16" applyNumberFormat="0" applyAlignment="0" applyProtection="0"/>
    <xf numFmtId="0" fontId="75" fillId="2" borderId="16" applyNumberFormat="0" applyAlignment="0" applyProtection="0"/>
    <xf numFmtId="0" fontId="75" fillId="2" borderId="16" applyNumberFormat="0" applyAlignment="0" applyProtection="0"/>
    <xf numFmtId="0" fontId="76" fillId="2" borderId="16" applyNumberFormat="0" applyAlignment="0" applyProtection="0"/>
    <xf numFmtId="9" fontId="3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0" fontId="77" fillId="0" borderId="17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39" fillId="27" borderId="0" applyNumberFormat="0" applyFon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2" fillId="0" borderId="19" applyNumberFormat="0" applyFill="0" applyAlignment="0" applyProtection="0"/>
    <xf numFmtId="0" fontId="81" fillId="0" borderId="19" applyNumberFormat="0" applyFill="0" applyAlignment="0" applyProtection="0"/>
    <xf numFmtId="0" fontId="80" fillId="0" borderId="1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15" fillId="0" borderId="0"/>
    <xf numFmtId="44" fontId="8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" fillId="0" borderId="0"/>
    <xf numFmtId="0" fontId="19" fillId="0" borderId="0"/>
    <xf numFmtId="0" fontId="8" fillId="0" borderId="0"/>
    <xf numFmtId="0" fontId="19" fillId="0" borderId="0"/>
    <xf numFmtId="0" fontId="17" fillId="0" borderId="0"/>
    <xf numFmtId="0" fontId="17" fillId="0" borderId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21" fillId="28" borderId="0"/>
    <xf numFmtId="0" fontId="17" fillId="0" borderId="0"/>
    <xf numFmtId="0" fontId="1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</cellStyleXfs>
  <cellXfs count="442">
    <xf numFmtId="0" fontId="0" fillId="0" borderId="0" xfId="0"/>
    <xf numFmtId="37" fontId="0" fillId="0" borderId="0" xfId="0" applyNumberFormat="1" applyFill="1" applyBorder="1"/>
    <xf numFmtId="0" fontId="18" fillId="0" borderId="0" xfId="0" applyFont="1" applyFill="1" applyAlignment="1">
      <alignment horizontal="left" vertical="center"/>
    </xf>
    <xf numFmtId="0" fontId="18" fillId="0" borderId="0" xfId="0" applyFont="1" applyFill="1"/>
    <xf numFmtId="0" fontId="18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164" fontId="17" fillId="0" borderId="0" xfId="1" applyNumberFormat="1" applyFont="1" applyFill="1" applyBorder="1" applyAlignment="1">
      <alignment horizontal="right"/>
    </xf>
    <xf numFmtId="37" fontId="17" fillId="0" borderId="0" xfId="0" applyNumberFormat="1" applyFont="1" applyFill="1" applyAlignment="1">
      <alignment horizontal="right"/>
    </xf>
    <xf numFmtId="165" fontId="17" fillId="0" borderId="0" xfId="2" applyNumberFormat="1" applyFont="1" applyFill="1" applyAlignment="1">
      <alignment horizontal="right"/>
    </xf>
    <xf numFmtId="164" fontId="17" fillId="0" borderId="0" xfId="1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43" fontId="17" fillId="0" borderId="0" xfId="1" applyFont="1" applyFill="1"/>
    <xf numFmtId="0" fontId="17" fillId="0" borderId="0" xfId="0" applyFont="1" applyFill="1" applyBorder="1" applyAlignment="1">
      <alignment horizontal="left"/>
    </xf>
    <xf numFmtId="37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37" fontId="17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/>
    <xf numFmtId="37" fontId="18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7" fillId="0" borderId="0" xfId="3"/>
    <xf numFmtId="0" fontId="17" fillId="0" borderId="0" xfId="3" applyFont="1"/>
    <xf numFmtId="49" fontId="17" fillId="0" borderId="0" xfId="3" applyNumberFormat="1" applyAlignment="1">
      <alignment wrapText="1"/>
    </xf>
    <xf numFmtId="37" fontId="17" fillId="0" borderId="0" xfId="3" applyNumberFormat="1" applyAlignment="1">
      <alignment horizontal="center"/>
    </xf>
    <xf numFmtId="173" fontId="17" fillId="0" borderId="0" xfId="3" applyNumberFormat="1"/>
    <xf numFmtId="49" fontId="17" fillId="0" borderId="0" xfId="3" applyNumberFormat="1"/>
    <xf numFmtId="49" fontId="18" fillId="0" borderId="0" xfId="3" applyNumberFormat="1" applyFont="1" applyAlignment="1">
      <alignment horizontal="center" wrapText="1"/>
    </xf>
    <xf numFmtId="37" fontId="18" fillId="0" borderId="0" xfId="3" applyNumberFormat="1" applyFont="1" applyAlignment="1">
      <alignment horizontal="center"/>
    </xf>
    <xf numFmtId="0" fontId="17" fillId="0" borderId="0" xfId="3" applyBorder="1" applyAlignment="1">
      <alignment horizontal="center"/>
    </xf>
    <xf numFmtId="0" fontId="17" fillId="0" borderId="0" xfId="3" applyBorder="1"/>
    <xf numFmtId="0" fontId="20" fillId="0" borderId="0" xfId="3" applyFont="1" applyAlignment="1">
      <alignment horizontal="center"/>
    </xf>
    <xf numFmtId="37" fontId="18" fillId="0" borderId="0" xfId="3" applyNumberFormat="1" applyFont="1" applyAlignment="1">
      <alignment horizontal="center" wrapText="1"/>
    </xf>
    <xf numFmtId="37" fontId="17" fillId="0" borderId="0" xfId="0" applyNumberFormat="1" applyFont="1" applyFill="1"/>
    <xf numFmtId="37" fontId="0" fillId="0" borderId="0" xfId="0" applyNumberFormat="1"/>
    <xf numFmtId="0" fontId="0" fillId="0" borderId="0" xfId="0" applyFill="1" applyBorder="1"/>
    <xf numFmtId="0" fontId="0" fillId="0" borderId="0" xfId="0" applyFill="1" applyAlignment="1">
      <alignment horizontal="left"/>
    </xf>
    <xf numFmtId="0" fontId="20" fillId="0" borderId="0" xfId="0" applyFont="1" applyFill="1" applyBorder="1"/>
    <xf numFmtId="37" fontId="17" fillId="0" borderId="0" xfId="0" applyNumberFormat="1" applyFont="1" applyFill="1" applyBorder="1" applyAlignment="1">
      <alignment horizontal="right"/>
    </xf>
    <xf numFmtId="0" fontId="90" fillId="0" borderId="0" xfId="0" applyFont="1" applyFill="1" applyBorder="1"/>
    <xf numFmtId="0" fontId="17" fillId="0" borderId="0" xfId="3"/>
    <xf numFmtId="173" fontId="0" fillId="0" borderId="0" xfId="0" applyNumberFormat="1"/>
    <xf numFmtId="37" fontId="17" fillId="0" borderId="2" xfId="0" applyNumberFormat="1" applyFont="1" applyFill="1" applyBorder="1" applyAlignment="1">
      <alignment horizontal="right"/>
    </xf>
    <xf numFmtId="165" fontId="17" fillId="0" borderId="0" xfId="2" applyNumberFormat="1" applyFont="1" applyFill="1" applyBorder="1" applyAlignment="1">
      <alignment horizontal="right"/>
    </xf>
    <xf numFmtId="37" fontId="17" fillId="0" borderId="2" xfId="0" applyNumberFormat="1" applyFont="1" applyFill="1" applyBorder="1" applyAlignment="1">
      <alignment horizontal="left"/>
    </xf>
    <xf numFmtId="37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92" fillId="0" borderId="0" xfId="0" applyFont="1" applyFill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37" fontId="18" fillId="0" borderId="3" xfId="0" applyNumberFormat="1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vertical="center"/>
    </xf>
    <xf numFmtId="165" fontId="17" fillId="0" borderId="1" xfId="2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37" fontId="18" fillId="0" borderId="0" xfId="0" applyNumberFormat="1" applyFont="1" applyFill="1" applyBorder="1"/>
    <xf numFmtId="0" fontId="18" fillId="0" borderId="5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37" fontId="17" fillId="0" borderId="1" xfId="0" applyNumberFormat="1" applyFont="1" applyFill="1" applyBorder="1" applyAlignment="1">
      <alignment horizontal="right"/>
    </xf>
    <xf numFmtId="37" fontId="17" fillId="0" borderId="0" xfId="0" applyNumberFormat="1" applyFont="1" applyFill="1" applyBorder="1"/>
    <xf numFmtId="164" fontId="17" fillId="0" borderId="0" xfId="1" applyNumberFormat="1" applyFont="1" applyFill="1" applyBorder="1"/>
    <xf numFmtId="173" fontId="0" fillId="0" borderId="0" xfId="0" applyNumberFormat="1" applyFill="1"/>
    <xf numFmtId="173" fontId="17" fillId="0" borderId="0" xfId="3" applyNumberFormat="1" applyFill="1"/>
    <xf numFmtId="180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1" applyNumberFormat="1" applyFont="1" applyFill="1" applyBorder="1"/>
    <xf numFmtId="180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173" fontId="17" fillId="0" borderId="0" xfId="3" applyNumberFormat="1" applyFill="1" applyBorder="1"/>
    <xf numFmtId="0" fontId="17" fillId="0" borderId="0" xfId="3" applyFill="1" applyBorder="1"/>
    <xf numFmtId="49" fontId="17" fillId="0" borderId="0" xfId="3" applyNumberFormat="1" applyFill="1" applyBorder="1"/>
    <xf numFmtId="181" fontId="0" fillId="0" borderId="0" xfId="1" applyNumberFormat="1" applyFont="1"/>
    <xf numFmtId="173" fontId="0" fillId="0" borderId="0" xfId="1" applyNumberFormat="1" applyFont="1"/>
    <xf numFmtId="173" fontId="0" fillId="0" borderId="0" xfId="0" applyNumberFormat="1" applyFill="1" applyBorder="1"/>
    <xf numFmtId="173" fontId="0" fillId="0" borderId="0" xfId="1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74" fontId="18" fillId="0" borderId="0" xfId="0" applyNumberFormat="1" applyFont="1" applyFill="1" applyBorder="1"/>
    <xf numFmtId="37" fontId="17" fillId="0" borderId="2" xfId="0" applyNumberFormat="1" applyFont="1" applyFill="1" applyBorder="1" applyAlignment="1">
      <alignment horizontal="right" vertical="center"/>
    </xf>
    <xf numFmtId="49" fontId="17" fillId="0" borderId="0" xfId="3" applyNumberFormat="1" applyFont="1" applyFill="1" applyAlignment="1">
      <alignment horizontal="center" wrapText="1"/>
    </xf>
    <xf numFmtId="37" fontId="0" fillId="0" borderId="0" xfId="0" applyNumberFormat="1" applyFill="1"/>
    <xf numFmtId="0" fontId="17" fillId="0" borderId="0" xfId="0" applyFont="1" applyFill="1"/>
    <xf numFmtId="164" fontId="17" fillId="0" borderId="0" xfId="1" applyNumberFormat="1" applyFont="1" applyFill="1"/>
    <xf numFmtId="0" fontId="18" fillId="0" borderId="0" xfId="0" applyFont="1" applyFill="1" applyBorder="1" applyAlignment="1">
      <alignment horizontal="left" vertical="center"/>
    </xf>
    <xf numFmtId="37" fontId="18" fillId="0" borderId="3" xfId="0" applyNumberFormat="1" applyFont="1" applyFill="1" applyBorder="1" applyAlignment="1">
      <alignment horizontal="right" vertical="center"/>
    </xf>
    <xf numFmtId="37" fontId="17" fillId="0" borderId="3" xfId="0" applyNumberFormat="1" applyFont="1" applyFill="1" applyBorder="1" applyAlignment="1">
      <alignment horizontal="right" vertical="center"/>
    </xf>
    <xf numFmtId="37" fontId="21" fillId="0" borderId="0" xfId="0" applyNumberFormat="1" applyFont="1" applyFill="1"/>
    <xf numFmtId="0" fontId="0" fillId="0" borderId="0" xfId="0" applyFill="1"/>
    <xf numFmtId="176" fontId="21" fillId="0" borderId="0" xfId="0" applyNumberFormat="1" applyFont="1" applyFill="1"/>
    <xf numFmtId="181" fontId="18" fillId="0" borderId="0" xfId="1" applyNumberFormat="1" applyFont="1" applyFill="1" applyBorder="1" applyAlignment="1">
      <alignment horizontal="center" vertical="center"/>
    </xf>
    <xf numFmtId="173" fontId="18" fillId="0" borderId="0" xfId="0" applyNumberFormat="1" applyFont="1" applyFill="1" applyBorder="1" applyAlignment="1">
      <alignment horizontal="right"/>
    </xf>
    <xf numFmtId="173" fontId="18" fillId="0" borderId="0" xfId="0" applyNumberFormat="1" applyFont="1" applyFill="1" applyAlignment="1">
      <alignment horizontal="right"/>
    </xf>
    <xf numFmtId="173" fontId="18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49" fontId="90" fillId="0" borderId="0" xfId="0" applyNumberFormat="1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center" wrapText="1"/>
    </xf>
    <xf numFmtId="49" fontId="17" fillId="0" borderId="0" xfId="0" applyNumberFormat="1" applyFont="1" applyFill="1" applyAlignment="1">
      <alignment wrapText="1"/>
    </xf>
    <xf numFmtId="49" fontId="90" fillId="0" borderId="0" xfId="0" applyNumberFormat="1" applyFont="1" applyFill="1" applyAlignment="1">
      <alignment horizontal="center" wrapText="1"/>
    </xf>
    <xf numFmtId="49" fontId="18" fillId="0" borderId="0" xfId="0" applyNumberFormat="1" applyFont="1" applyFill="1" applyAlignment="1">
      <alignment horizontal="center" wrapText="1"/>
    </xf>
    <xf numFmtId="37" fontId="17" fillId="0" borderId="0" xfId="0" applyNumberFormat="1" applyFont="1" applyFill="1" applyAlignment="1">
      <alignment horizontal="center"/>
    </xf>
    <xf numFmtId="0" fontId="90" fillId="0" borderId="0" xfId="0" applyFont="1" applyFill="1"/>
    <xf numFmtId="5" fontId="17" fillId="0" borderId="0" xfId="0" applyNumberFormat="1" applyFont="1" applyFill="1"/>
    <xf numFmtId="49" fontId="17" fillId="0" borderId="0" xfId="0" applyNumberFormat="1" applyFont="1" applyFill="1" applyAlignment="1">
      <alignment horizontal="right"/>
    </xf>
    <xf numFmtId="5" fontId="18" fillId="0" borderId="0" xfId="0" applyNumberFormat="1" applyFont="1" applyFill="1"/>
    <xf numFmtId="10" fontId="17" fillId="0" borderId="0" xfId="0" applyNumberFormat="1" applyFont="1" applyFill="1"/>
    <xf numFmtId="5" fontId="17" fillId="0" borderId="0" xfId="0" applyNumberFormat="1" applyFont="1" applyFill="1" applyAlignment="1">
      <alignment horizontal="right"/>
    </xf>
    <xf numFmtId="10" fontId="18" fillId="0" borderId="0" xfId="0" applyNumberFormat="1" applyFont="1" applyFill="1"/>
    <xf numFmtId="0" fontId="17" fillId="0" borderId="0" xfId="0" applyFont="1" applyFill="1" applyAlignment="1">
      <alignment horizontal="left"/>
    </xf>
    <xf numFmtId="7" fontId="0" fillId="0" borderId="0" xfId="0" applyNumberFormat="1" applyFill="1"/>
    <xf numFmtId="0" fontId="17" fillId="0" borderId="0" xfId="0" applyFont="1" applyFill="1" applyBorder="1" applyAlignment="1">
      <alignment horizontal="center" vertical="top"/>
    </xf>
    <xf numFmtId="37" fontId="17" fillId="0" borderId="0" xfId="0" applyNumberFormat="1" applyFont="1" applyFill="1" applyBorder="1" applyAlignment="1">
      <alignment horizontal="center"/>
    </xf>
    <xf numFmtId="37" fontId="17" fillId="0" borderId="0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/>
    </xf>
    <xf numFmtId="37" fontId="17" fillId="0" borderId="1" xfId="0" applyNumberFormat="1" applyFont="1" applyFill="1" applyBorder="1" applyAlignment="1">
      <alignment horizontal="center" vertical="top"/>
    </xf>
    <xf numFmtId="37" fontId="17" fillId="0" borderId="0" xfId="0" applyNumberFormat="1" applyFont="1" applyFill="1" applyBorder="1" applyAlignment="1">
      <alignment horizontal="center" vertical="top" wrapText="1"/>
    </xf>
    <xf numFmtId="164" fontId="17" fillId="0" borderId="0" xfId="1" quotePrefix="1" applyNumberFormat="1" applyFont="1" applyFill="1" applyAlignment="1">
      <alignment horizontal="center"/>
    </xf>
    <xf numFmtId="164" fontId="17" fillId="0" borderId="0" xfId="1" quotePrefix="1" applyNumberFormat="1" applyFont="1" applyFill="1" applyBorder="1" applyAlignment="1">
      <alignment horizontal="center"/>
    </xf>
    <xf numFmtId="37" fontId="17" fillId="0" borderId="0" xfId="1" quotePrefix="1" applyNumberFormat="1" applyFont="1" applyFill="1" applyBorder="1" applyAlignment="1">
      <alignment horizontal="center"/>
    </xf>
    <xf numFmtId="165" fontId="17" fillId="0" borderId="0" xfId="2" applyNumberFormat="1" applyFont="1" applyFill="1" applyBorder="1"/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/>
    </xf>
    <xf numFmtId="165" fontId="17" fillId="0" borderId="0" xfId="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173" fontId="17" fillId="0" borderId="0" xfId="0" applyNumberFormat="1" applyFont="1" applyFill="1" applyBorder="1" applyAlignment="1">
      <alignment horizontal="right" vertical="center"/>
    </xf>
    <xf numFmtId="37" fontId="9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37" fontId="17" fillId="0" borderId="3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textRotation="180"/>
    </xf>
    <xf numFmtId="37" fontId="17" fillId="0" borderId="4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 textRotation="180"/>
    </xf>
    <xf numFmtId="166" fontId="17" fillId="0" borderId="0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right" vertical="center"/>
    </xf>
    <xf numFmtId="10" fontId="17" fillId="0" borderId="0" xfId="2" applyNumberFormat="1" applyFont="1" applyFill="1" applyBorder="1" applyAlignment="1">
      <alignment horizontal="right" vertical="center"/>
    </xf>
    <xf numFmtId="10" fontId="17" fillId="0" borderId="0" xfId="0" applyNumberFormat="1" applyFont="1" applyFill="1" applyAlignment="1">
      <alignment horizontal="right" vertical="center"/>
    </xf>
    <xf numFmtId="43" fontId="17" fillId="0" borderId="0" xfId="1" applyFont="1" applyFill="1" applyAlignment="1">
      <alignment horizontal="center" vertical="center"/>
    </xf>
    <xf numFmtId="37" fontId="17" fillId="0" borderId="0" xfId="0" applyNumberFormat="1" applyFont="1" applyFill="1" applyAlignment="1">
      <alignment vertical="center"/>
    </xf>
    <xf numFmtId="0" fontId="17" fillId="0" borderId="2" xfId="0" applyFont="1" applyFill="1" applyBorder="1" applyAlignment="1">
      <alignment horizontal="left"/>
    </xf>
    <xf numFmtId="3" fontId="17" fillId="0" borderId="2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37" fontId="17" fillId="0" borderId="2" xfId="0" applyNumberFormat="1" applyFont="1" applyFill="1" applyBorder="1" applyAlignment="1">
      <alignment horizontal="left" vertical="center"/>
    </xf>
    <xf numFmtId="167" fontId="17" fillId="0" borderId="0" xfId="0" applyNumberFormat="1" applyFont="1" applyFill="1" applyAlignment="1">
      <alignment horizontal="right"/>
    </xf>
    <xf numFmtId="37" fontId="17" fillId="0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left" vertical="center"/>
    </xf>
    <xf numFmtId="37" fontId="17" fillId="0" borderId="0" xfId="0" applyNumberFormat="1" applyFont="1" applyFill="1" applyBorder="1" applyAlignment="1">
      <alignment horizontal="left" vertical="center"/>
    </xf>
    <xf numFmtId="43" fontId="17" fillId="0" borderId="0" xfId="0" applyNumberFormat="1" applyFont="1" applyFill="1" applyBorder="1" applyAlignment="1">
      <alignment horizontal="left"/>
    </xf>
    <xf numFmtId="39" fontId="17" fillId="0" borderId="4" xfId="0" applyNumberFormat="1" applyFont="1" applyFill="1" applyBorder="1" applyAlignment="1">
      <alignment horizontal="right" vertical="center"/>
    </xf>
    <xf numFmtId="3" fontId="17" fillId="0" borderId="4" xfId="0" applyNumberFormat="1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left"/>
    </xf>
    <xf numFmtId="3" fontId="17" fillId="0" borderId="2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horizontal="right" vertical="center"/>
    </xf>
    <xf numFmtId="164" fontId="17" fillId="0" borderId="0" xfId="1" applyNumberFormat="1" applyFont="1" applyFill="1" applyBorder="1" applyAlignment="1">
      <alignment vertical="center"/>
    </xf>
    <xf numFmtId="37" fontId="17" fillId="0" borderId="0" xfId="0" applyNumberFormat="1" applyFont="1" applyFill="1" applyBorder="1" applyAlignment="1">
      <alignment vertical="center"/>
    </xf>
    <xf numFmtId="37" fontId="17" fillId="0" borderId="1" xfId="0" applyNumberFormat="1" applyFont="1" applyFill="1" applyBorder="1" applyAlignment="1">
      <alignment vertical="center"/>
    </xf>
    <xf numFmtId="7" fontId="17" fillId="0" borderId="0" xfId="457" applyNumberFormat="1" applyFont="1" applyFill="1" applyBorder="1"/>
    <xf numFmtId="37" fontId="17" fillId="0" borderId="2" xfId="1" applyNumberFormat="1" applyFont="1" applyFill="1" applyBorder="1" applyAlignment="1">
      <alignment horizontal="right" vertical="center"/>
    </xf>
    <xf numFmtId="164" fontId="17" fillId="0" borderId="2" xfId="1" applyNumberFormat="1" applyFont="1" applyFill="1" applyBorder="1" applyAlignment="1">
      <alignment horizontal="left" vertical="center"/>
    </xf>
    <xf numFmtId="37" fontId="17" fillId="0" borderId="0" xfId="1" applyNumberFormat="1" applyFont="1" applyFill="1" applyBorder="1" applyAlignment="1">
      <alignment vertical="center"/>
    </xf>
    <xf numFmtId="164" fontId="17" fillId="0" borderId="0" xfId="1" applyNumberFormat="1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37" fontId="17" fillId="0" borderId="0" xfId="1" applyNumberFormat="1" applyFont="1" applyFill="1" applyBorder="1" applyAlignment="1">
      <alignment horizontal="right" vertical="center"/>
    </xf>
    <xf numFmtId="37" fontId="17" fillId="0" borderId="0" xfId="1" applyNumberFormat="1" applyFont="1" applyFill="1" applyAlignment="1">
      <alignment horizontal="right" vertical="center"/>
    </xf>
    <xf numFmtId="164" fontId="17" fillId="0" borderId="1" xfId="1" applyNumberFormat="1" applyFont="1" applyFill="1" applyBorder="1" applyAlignment="1">
      <alignment vertical="center"/>
    </xf>
    <xf numFmtId="37" fontId="17" fillId="0" borderId="1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 applyAlignment="1">
      <alignment horizontal="left" vertical="center"/>
    </xf>
    <xf numFmtId="164" fontId="17" fillId="0" borderId="5" xfId="1" applyNumberFormat="1" applyFont="1" applyFill="1" applyBorder="1" applyAlignment="1">
      <alignment vertical="center"/>
    </xf>
    <xf numFmtId="37" fontId="17" fillId="0" borderId="5" xfId="0" applyNumberFormat="1" applyFont="1" applyFill="1" applyBorder="1" applyAlignment="1">
      <alignment horizontal="right"/>
    </xf>
    <xf numFmtId="37" fontId="17" fillId="0" borderId="5" xfId="1" applyNumberFormat="1" applyFont="1" applyFill="1" applyBorder="1" applyAlignment="1">
      <alignment horizontal="right" vertical="center"/>
    </xf>
    <xf numFmtId="164" fontId="17" fillId="0" borderId="5" xfId="1" applyNumberFormat="1" applyFont="1" applyFill="1" applyBorder="1" applyAlignment="1">
      <alignment horizontal="left" vertical="center"/>
    </xf>
    <xf numFmtId="164" fontId="17" fillId="0" borderId="3" xfId="1" applyNumberFormat="1" applyFont="1" applyFill="1" applyBorder="1" applyAlignment="1">
      <alignment vertical="center"/>
    </xf>
    <xf numFmtId="37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/>
    </xf>
    <xf numFmtId="175" fontId="17" fillId="0" borderId="0" xfId="457" applyNumberFormat="1" applyFont="1" applyFill="1" applyBorder="1"/>
    <xf numFmtId="4" fontId="17" fillId="0" borderId="0" xfId="0" applyNumberFormat="1" applyFont="1" applyFill="1" applyBorder="1" applyAlignment="1">
      <alignment horizontal="left"/>
    </xf>
    <xf numFmtId="43" fontId="17" fillId="0" borderId="0" xfId="1" applyFont="1" applyFill="1" applyBorder="1"/>
    <xf numFmtId="4" fontId="17" fillId="0" borderId="0" xfId="0" applyNumberFormat="1" applyFont="1" applyFill="1" applyBorder="1"/>
    <xf numFmtId="168" fontId="17" fillId="0" borderId="0" xfId="0" applyNumberFormat="1" applyFont="1" applyFill="1" applyBorder="1"/>
    <xf numFmtId="169" fontId="17" fillId="0" borderId="0" xfId="0" applyNumberFormat="1" applyFont="1" applyFill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 vertical="center"/>
    </xf>
    <xf numFmtId="4" fontId="17" fillId="0" borderId="0" xfId="0" applyNumberFormat="1" applyFont="1" applyFill="1"/>
    <xf numFmtId="168" fontId="17" fillId="0" borderId="0" xfId="0" applyNumberFormat="1" applyFont="1" applyFill="1"/>
    <xf numFmtId="170" fontId="17" fillId="0" borderId="0" xfId="0" applyNumberFormat="1" applyFont="1" applyFill="1"/>
    <xf numFmtId="4" fontId="17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left"/>
    </xf>
    <xf numFmtId="0" fontId="17" fillId="0" borderId="0" xfId="3" applyFont="1" applyFill="1"/>
    <xf numFmtId="0" fontId="17" fillId="0" borderId="0" xfId="3" applyFont="1" applyFill="1" applyBorder="1"/>
    <xf numFmtId="49" fontId="17" fillId="0" borderId="0" xfId="3" applyNumberFormat="1" applyFont="1" applyFill="1" applyBorder="1" applyAlignment="1">
      <alignment horizontal="left" wrapText="1"/>
    </xf>
    <xf numFmtId="49" fontId="17" fillId="0" borderId="0" xfId="3" applyNumberFormat="1" applyFont="1" applyFill="1" applyBorder="1" applyAlignment="1">
      <alignment wrapText="1"/>
    </xf>
    <xf numFmtId="37" fontId="17" fillId="0" borderId="0" xfId="3" applyNumberFormat="1" applyFont="1" applyFill="1"/>
    <xf numFmtId="37" fontId="17" fillId="0" borderId="0" xfId="3" applyNumberFormat="1" applyFont="1" applyFill="1" applyBorder="1"/>
    <xf numFmtId="0" fontId="18" fillId="0" borderId="0" xfId="0" applyFont="1" applyFill="1" applyAlignment="1">
      <alignment horizontal="center"/>
    </xf>
    <xf numFmtId="37" fontId="17" fillId="0" borderId="1" xfId="0" applyNumberFormat="1" applyFont="1" applyFill="1" applyBorder="1"/>
    <xf numFmtId="39" fontId="17" fillId="0" borderId="3" xfId="0" applyNumberFormat="1" applyFont="1" applyFill="1" applyBorder="1" applyAlignment="1">
      <alignment horizontal="right" vertical="center"/>
    </xf>
    <xf numFmtId="37" fontId="17" fillId="0" borderId="2" xfId="0" applyNumberFormat="1" applyFont="1" applyFill="1" applyBorder="1" applyAlignment="1">
      <alignment vertical="center"/>
    </xf>
    <xf numFmtId="37" fontId="17" fillId="0" borderId="5" xfId="0" applyNumberFormat="1" applyFont="1" applyFill="1" applyBorder="1"/>
    <xf numFmtId="37" fontId="17" fillId="0" borderId="4" xfId="0" applyNumberFormat="1" applyFont="1" applyFill="1" applyBorder="1" applyAlignment="1">
      <alignment horizontal="right"/>
    </xf>
    <xf numFmtId="37" fontId="17" fillId="0" borderId="0" xfId="1" applyNumberFormat="1" applyFont="1" applyFill="1"/>
    <xf numFmtId="10" fontId="17" fillId="0" borderId="0" xfId="3" applyNumberFormat="1" applyFont="1" applyFill="1" applyAlignment="1">
      <alignment horizontal="right"/>
    </xf>
    <xf numFmtId="49" fontId="17" fillId="0" borderId="0" xfId="3" applyNumberFormat="1" applyFont="1" applyFill="1" applyBorder="1" applyAlignment="1">
      <alignment horizontal="center" wrapText="1"/>
    </xf>
    <xf numFmtId="43" fontId="17" fillId="0" borderId="0" xfId="0" applyNumberFormat="1" applyFont="1" applyFill="1"/>
    <xf numFmtId="164" fontId="17" fillId="0" borderId="1" xfId="1" applyNumberFormat="1" applyFont="1" applyFill="1" applyBorder="1"/>
    <xf numFmtId="0" fontId="90" fillId="0" borderId="0" xfId="0" applyFont="1" applyFill="1" applyAlignment="1">
      <alignment horizontal="left"/>
    </xf>
    <xf numFmtId="0" fontId="17" fillId="0" borderId="0" xfId="3" applyFont="1" applyFill="1" applyAlignment="1">
      <alignment horizontal="left"/>
    </xf>
    <xf numFmtId="43" fontId="17" fillId="0" borderId="0" xfId="0" applyNumberFormat="1" applyFont="1" applyFill="1" applyBorder="1"/>
    <xf numFmtId="0" fontId="18" fillId="0" borderId="0" xfId="3" applyFont="1" applyFill="1" applyAlignment="1">
      <alignment horizontal="center"/>
    </xf>
    <xf numFmtId="37" fontId="17" fillId="0" borderId="0" xfId="1" applyNumberFormat="1" applyFont="1" applyFill="1" applyBorder="1" applyAlignment="1">
      <alignment horizontal="right"/>
    </xf>
    <xf numFmtId="164" fontId="17" fillId="0" borderId="0" xfId="0" applyNumberFormat="1" applyFont="1" applyFill="1"/>
    <xf numFmtId="164" fontId="91" fillId="0" borderId="0" xfId="1" applyNumberFormat="1" applyFont="1" applyFill="1"/>
    <xf numFmtId="164" fontId="17" fillId="0" borderId="0" xfId="0" applyNumberFormat="1" applyFont="1" applyFill="1" applyBorder="1"/>
    <xf numFmtId="173" fontId="17" fillId="0" borderId="0" xfId="0" applyNumberFormat="1" applyFont="1" applyFill="1"/>
    <xf numFmtId="0" fontId="9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37" fontId="17" fillId="0" borderId="0" xfId="0" applyNumberFormat="1" applyFont="1" applyFill="1" applyAlignment="1">
      <alignment horizontal="left"/>
    </xf>
    <xf numFmtId="37" fontId="17" fillId="0" borderId="0" xfId="0" applyNumberFormat="1" applyFont="1" applyFill="1" applyAlignment="1">
      <alignment horizontal="right" wrapText="1"/>
    </xf>
    <xf numFmtId="10" fontId="17" fillId="0" borderId="0" xfId="0" applyNumberFormat="1" applyFont="1" applyFill="1" applyAlignment="1">
      <alignment horizontal="right" wrapText="1"/>
    </xf>
    <xf numFmtId="0" fontId="17" fillId="0" borderId="0" xfId="0" applyNumberFormat="1" applyFont="1" applyFill="1" applyAlignment="1">
      <alignment horizontal="center" wrapText="1"/>
    </xf>
    <xf numFmtId="37" fontId="90" fillId="0" borderId="0" xfId="0" applyNumberFormat="1" applyFont="1" applyFill="1" applyAlignment="1">
      <alignment horizontal="left"/>
    </xf>
    <xf numFmtId="0" fontId="17" fillId="0" borderId="0" xfId="0" applyFont="1" applyFill="1" applyAlignment="1"/>
    <xf numFmtId="0" fontId="17" fillId="0" borderId="0" xfId="0" applyFont="1" applyFill="1" applyAlignment="1">
      <alignment textRotation="180" wrapText="1"/>
    </xf>
    <xf numFmtId="173" fontId="18" fillId="0" borderId="0" xfId="0" applyNumberFormat="1" applyFont="1" applyFill="1"/>
    <xf numFmtId="0" fontId="96" fillId="0" borderId="0" xfId="0" applyFont="1" applyFill="1" applyBorder="1" applyAlignment="1">
      <alignment horizontal="center"/>
    </xf>
    <xf numFmtId="164" fontId="17" fillId="0" borderId="1" xfId="0" applyNumberFormat="1" applyFont="1" applyFill="1" applyBorder="1"/>
    <xf numFmtId="181" fontId="18" fillId="0" borderId="0" xfId="1" applyNumberFormat="1" applyFont="1" applyFill="1" applyBorder="1"/>
    <xf numFmtId="43" fontId="17" fillId="0" borderId="0" xfId="1" applyFont="1" applyFill="1" applyBorder="1" applyAlignment="1">
      <alignment horizontal="right"/>
    </xf>
    <xf numFmtId="49" fontId="17" fillId="0" borderId="0" xfId="0" applyNumberFormat="1" applyFont="1" applyFill="1"/>
    <xf numFmtId="183" fontId="17" fillId="0" borderId="0" xfId="457" applyNumberFormat="1" applyFont="1" applyFill="1" applyAlignment="1">
      <alignment horizontal="right"/>
    </xf>
    <xf numFmtId="39" fontId="17" fillId="0" borderId="0" xfId="0" applyNumberFormat="1" applyFont="1" applyFill="1"/>
    <xf numFmtId="184" fontId="17" fillId="0" borderId="0" xfId="0" applyNumberFormat="1" applyFont="1" applyFill="1"/>
    <xf numFmtId="5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 applyAlignment="1">
      <alignment horizontal="center"/>
    </xf>
    <xf numFmtId="178" fontId="17" fillId="0" borderId="0" xfId="0" applyNumberFormat="1" applyFont="1" applyFill="1"/>
    <xf numFmtId="183" fontId="17" fillId="0" borderId="0" xfId="457" applyNumberFormat="1" applyFont="1" applyFill="1"/>
    <xf numFmtId="0" fontId="17" fillId="0" borderId="0" xfId="3" applyFill="1"/>
    <xf numFmtId="49" fontId="17" fillId="0" borderId="0" xfId="3" applyNumberFormat="1" applyFill="1" applyAlignment="1">
      <alignment wrapText="1"/>
    </xf>
    <xf numFmtId="49" fontId="17" fillId="0" borderId="0" xfId="3" applyNumberFormat="1" applyFill="1"/>
    <xf numFmtId="164" fontId="17" fillId="0" borderId="0" xfId="0" applyNumberFormat="1" applyFont="1" applyFill="1" applyBorder="1" applyAlignment="1">
      <alignment horizontal="center"/>
    </xf>
    <xf numFmtId="10" fontId="17" fillId="0" borderId="0" xfId="2" applyNumberFormat="1" applyFont="1" applyFill="1" applyBorder="1" applyAlignment="1">
      <alignment horizontal="right"/>
    </xf>
    <xf numFmtId="164" fontId="17" fillId="0" borderId="0" xfId="1" applyNumberFormat="1" applyFont="1" applyFill="1" applyAlignment="1">
      <alignment horizontal="right"/>
    </xf>
    <xf numFmtId="10" fontId="95" fillId="0" borderId="0" xfId="3" applyNumberFormat="1" applyFont="1" applyFill="1" applyAlignment="1">
      <alignment horizontal="right"/>
    </xf>
    <xf numFmtId="37" fontId="17" fillId="0" borderId="0" xfId="0" applyNumberFormat="1" applyFont="1" applyFill="1" applyBorder="1" applyAlignment="1">
      <alignment horizontal="left"/>
    </xf>
    <xf numFmtId="37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center"/>
    </xf>
    <xf numFmtId="10" fontId="17" fillId="0" borderId="0" xfId="0" applyNumberFormat="1" applyFont="1" applyFill="1" applyAlignment="1">
      <alignment horizontal="center"/>
    </xf>
    <xf numFmtId="43" fontId="17" fillId="0" borderId="0" xfId="1" applyFont="1" applyFill="1" applyAlignment="1">
      <alignment horizontal="center"/>
    </xf>
    <xf numFmtId="7" fontId="17" fillId="0" borderId="0" xfId="0" applyNumberFormat="1" applyFont="1" applyFill="1"/>
    <xf numFmtId="37" fontId="17" fillId="0" borderId="0" xfId="0" applyNumberFormat="1" applyFont="1" applyFill="1" applyAlignment="1">
      <alignment horizontal="center" wrapText="1"/>
    </xf>
    <xf numFmtId="10" fontId="17" fillId="0" borderId="0" xfId="0" applyNumberFormat="1" applyFont="1" applyFill="1" applyAlignment="1">
      <alignment horizontal="right"/>
    </xf>
    <xf numFmtId="176" fontId="17" fillId="0" borderId="0" xfId="0" applyNumberFormat="1" applyFont="1" applyFill="1"/>
    <xf numFmtId="177" fontId="17" fillId="0" borderId="0" xfId="0" applyNumberFormat="1" applyFont="1" applyFill="1"/>
    <xf numFmtId="176" fontId="17" fillId="0" borderId="0" xfId="0" applyNumberFormat="1" applyFont="1" applyFill="1" applyAlignment="1">
      <alignment horizontal="right"/>
    </xf>
    <xf numFmtId="44" fontId="17" fillId="0" borderId="0" xfId="0" applyNumberFormat="1" applyFont="1" applyFill="1"/>
    <xf numFmtId="180" fontId="17" fillId="0" borderId="0" xfId="0" applyNumberFormat="1" applyFont="1" applyFill="1"/>
    <xf numFmtId="49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49" fontId="20" fillId="0" borderId="0" xfId="0" applyNumberFormat="1" applyFont="1" applyFill="1" applyAlignment="1">
      <alignment wrapText="1"/>
    </xf>
    <xf numFmtId="166" fontId="0" fillId="0" borderId="0" xfId="0" applyNumberFormat="1" applyFill="1"/>
    <xf numFmtId="179" fontId="0" fillId="0" borderId="0" xfId="1" applyNumberFormat="1" applyFont="1" applyFill="1" applyAlignment="1">
      <alignment horizontal="center"/>
    </xf>
    <xf numFmtId="39" fontId="0" fillId="0" borderId="0" xfId="1" applyNumberFormat="1" applyFont="1" applyFill="1" applyAlignment="1">
      <alignment horizontal="center"/>
    </xf>
    <xf numFmtId="5" fontId="0" fillId="0" borderId="0" xfId="0" applyNumberFormat="1" applyFill="1"/>
    <xf numFmtId="5" fontId="0" fillId="0" borderId="0" xfId="0" applyNumberFormat="1" applyFill="1" applyBorder="1"/>
    <xf numFmtId="10" fontId="0" fillId="0" borderId="0" xfId="0" applyNumberFormat="1" applyFill="1"/>
    <xf numFmtId="2" fontId="0" fillId="0" borderId="0" xfId="0" applyNumberFormat="1" applyFill="1"/>
    <xf numFmtId="5" fontId="17" fillId="0" borderId="0" xfId="0" applyNumberFormat="1" applyFont="1" applyFill="1" applyBorder="1"/>
    <xf numFmtId="49" fontId="0" fillId="0" borderId="0" xfId="0" applyNumberFormat="1" applyFill="1"/>
    <xf numFmtId="39" fontId="0" fillId="0" borderId="0" xfId="0" applyNumberFormat="1" applyFill="1" applyAlignment="1">
      <alignment horizontal="center"/>
    </xf>
    <xf numFmtId="0" fontId="0" fillId="0" borderId="1" xfId="0" applyFill="1" applyBorder="1"/>
    <xf numFmtId="5" fontId="0" fillId="0" borderId="5" xfId="0" applyNumberFormat="1" applyFill="1" applyBorder="1"/>
    <xf numFmtId="10" fontId="0" fillId="0" borderId="0" xfId="0" applyNumberFormat="1" applyFill="1" applyBorder="1"/>
    <xf numFmtId="0" fontId="20" fillId="0" borderId="0" xfId="0" applyFont="1" applyFill="1"/>
    <xf numFmtId="164" fontId="0" fillId="0" borderId="5" xfId="0" applyNumberFormat="1" applyFill="1" applyBorder="1"/>
    <xf numFmtId="0" fontId="20" fillId="0" borderId="0" xfId="3" applyFont="1" applyFill="1"/>
    <xf numFmtId="0" fontId="17" fillId="0" borderId="0" xfId="3" applyFill="1" applyAlignment="1">
      <alignment horizontal="center"/>
    </xf>
    <xf numFmtId="164" fontId="17" fillId="0" borderId="5" xfId="3" applyNumberFormat="1" applyFill="1" applyBorder="1"/>
    <xf numFmtId="5" fontId="17" fillId="0" borderId="5" xfId="3" applyNumberFormat="1" applyFill="1" applyBorder="1"/>
    <xf numFmtId="164" fontId="0" fillId="0" borderId="4" xfId="0" applyNumberFormat="1" applyFill="1" applyBorder="1"/>
    <xf numFmtId="176" fontId="0" fillId="0" borderId="4" xfId="0" applyNumberFormat="1" applyFill="1" applyBorder="1"/>
    <xf numFmtId="0" fontId="9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wrapText="1"/>
    </xf>
    <xf numFmtId="37" fontId="0" fillId="0" borderId="0" xfId="0" applyNumberFormat="1" applyFill="1" applyAlignment="1">
      <alignment horizontal="right" wrapText="1"/>
    </xf>
    <xf numFmtId="7" fontId="0" fillId="0" borderId="0" xfId="0" applyNumberFormat="1" applyFill="1" applyAlignment="1">
      <alignment horizontal="right" wrapText="1"/>
    </xf>
    <xf numFmtId="5" fontId="0" fillId="0" borderId="0" xfId="0" applyNumberFormat="1" applyFill="1" applyAlignment="1">
      <alignment wrapText="1"/>
    </xf>
    <xf numFmtId="37" fontId="0" fillId="0" borderId="0" xfId="0" applyNumberFormat="1" applyFill="1" applyAlignment="1">
      <alignment wrapText="1"/>
    </xf>
    <xf numFmtId="7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49" fontId="17" fillId="0" borderId="0" xfId="0" applyNumberFormat="1" applyFont="1" applyFill="1" applyAlignment="1">
      <alignment horizontal="left"/>
    </xf>
    <xf numFmtId="173" fontId="0" fillId="0" borderId="0" xfId="0" applyNumberFormat="1" applyFill="1" applyAlignment="1">
      <alignment wrapText="1"/>
    </xf>
    <xf numFmtId="173" fontId="0" fillId="0" borderId="0" xfId="0" applyNumberFormat="1" applyFill="1" applyAlignment="1">
      <alignment horizontal="right"/>
    </xf>
    <xf numFmtId="39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wrapText="1"/>
    </xf>
    <xf numFmtId="176" fontId="18" fillId="0" borderId="0" xfId="3" applyNumberFormat="1" applyFont="1" applyFill="1" applyAlignment="1">
      <alignment horizontal="right"/>
    </xf>
    <xf numFmtId="37" fontId="17" fillId="0" borderId="1" xfId="3" applyNumberFormat="1" applyFont="1" applyFill="1" applyBorder="1"/>
    <xf numFmtId="0" fontId="90" fillId="0" borderId="0" xfId="3" applyFont="1" applyFill="1" applyAlignment="1">
      <alignment horizontal="center"/>
    </xf>
    <xf numFmtId="49" fontId="90" fillId="0" borderId="0" xfId="3" applyNumberFormat="1" applyFont="1" applyFill="1" applyAlignment="1">
      <alignment horizontal="center" wrapText="1"/>
    </xf>
    <xf numFmtId="5" fontId="17" fillId="0" borderId="1" xfId="0" applyNumberFormat="1" applyFont="1" applyFill="1" applyBorder="1"/>
    <xf numFmtId="37" fontId="17" fillId="0" borderId="0" xfId="3" applyNumberFormat="1" applyFill="1"/>
    <xf numFmtId="49" fontId="17" fillId="0" borderId="0" xfId="3" applyNumberFormat="1" applyFont="1" applyFill="1" applyAlignment="1">
      <alignment wrapText="1"/>
    </xf>
    <xf numFmtId="49" fontId="17" fillId="0" borderId="0" xfId="3" applyNumberFormat="1" applyFont="1" applyFill="1"/>
    <xf numFmtId="0" fontId="17" fillId="0" borderId="0" xfId="3" applyFont="1" applyFill="1" applyAlignment="1">
      <alignment horizontal="right"/>
    </xf>
    <xf numFmtId="49" fontId="86" fillId="0" borderId="0" xfId="3" applyNumberFormat="1" applyFont="1" applyFill="1" applyAlignment="1">
      <alignment horizontal="center"/>
    </xf>
    <xf numFmtId="43" fontId="17" fillId="0" borderId="0" xfId="1" applyFont="1" applyFill="1" applyAlignment="1">
      <alignment horizontal="right"/>
    </xf>
    <xf numFmtId="0" fontId="17" fillId="0" borderId="0" xfId="0" applyNumberFormat="1" applyFont="1" applyFill="1" applyAlignment="1">
      <alignment horizontal="center"/>
    </xf>
    <xf numFmtId="49" fontId="18" fillId="0" borderId="0" xfId="0" applyNumberFormat="1" applyFont="1" applyFill="1"/>
    <xf numFmtId="49" fontId="95" fillId="0" borderId="0" xfId="0" applyNumberFormat="1" applyFont="1" applyFill="1"/>
    <xf numFmtId="166" fontId="18" fillId="0" borderId="0" xfId="0" applyNumberFormat="1" applyFont="1" applyFill="1"/>
    <xf numFmtId="166" fontId="17" fillId="0" borderId="0" xfId="0" applyNumberFormat="1" applyFont="1" applyFill="1"/>
    <xf numFmtId="166" fontId="18" fillId="0" borderId="0" xfId="0" applyNumberFormat="1" applyFont="1" applyFill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49" fontId="98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178" fontId="18" fillId="0" borderId="0" xfId="0" quotePrefix="1" applyNumberFormat="1" applyFont="1" applyFill="1" applyAlignment="1">
      <alignment horizontal="center"/>
    </xf>
    <xf numFmtId="183" fontId="18" fillId="0" borderId="0" xfId="214" applyNumberFormat="1" applyFont="1" applyFill="1" applyBorder="1"/>
    <xf numFmtId="183" fontId="18" fillId="0" borderId="0" xfId="214" applyNumberFormat="1" applyFont="1" applyFill="1"/>
    <xf numFmtId="183" fontId="18" fillId="0" borderId="1" xfId="214" applyNumberFormat="1" applyFont="1" applyFill="1" applyBorder="1"/>
    <xf numFmtId="178" fontId="18" fillId="0" borderId="0" xfId="0" applyNumberFormat="1" applyFont="1" applyFill="1" applyAlignment="1">
      <alignment horizontal="center"/>
    </xf>
    <xf numFmtId="10" fontId="18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185" fontId="0" fillId="0" borderId="0" xfId="1" applyNumberFormat="1" applyFont="1" applyFill="1" applyBorder="1"/>
    <xf numFmtId="43" fontId="0" fillId="0" borderId="0" xfId="0" applyNumberFormat="1" applyFill="1"/>
    <xf numFmtId="186" fontId="0" fillId="0" borderId="0" xfId="214" applyNumberFormat="1" applyFont="1" applyFill="1"/>
    <xf numFmtId="185" fontId="0" fillId="0" borderId="0" xfId="1" applyNumberFormat="1" applyFont="1" applyFill="1"/>
    <xf numFmtId="183" fontId="18" fillId="0" borderId="3" xfId="214" applyNumberFormat="1" applyFont="1" applyFill="1" applyBorder="1"/>
    <xf numFmtId="10" fontId="17" fillId="0" borderId="0" xfId="2" applyNumberFormat="1" applyFont="1" applyFill="1"/>
    <xf numFmtId="186" fontId="0" fillId="0" borderId="0" xfId="214" applyNumberFormat="1" applyFont="1" applyFill="1" applyBorder="1"/>
    <xf numFmtId="7" fontId="0" fillId="0" borderId="0" xfId="0" applyNumberFormat="1" applyFill="1" applyBorder="1"/>
    <xf numFmtId="10" fontId="0" fillId="0" borderId="0" xfId="2" applyNumberFormat="1" applyFont="1" applyFill="1" applyBorder="1"/>
    <xf numFmtId="187" fontId="17" fillId="0" borderId="0" xfId="0" applyNumberFormat="1" applyFont="1" applyFill="1"/>
    <xf numFmtId="5" fontId="17" fillId="0" borderId="0" xfId="1" applyNumberFormat="1" applyFont="1" applyFill="1"/>
    <xf numFmtId="44" fontId="17" fillId="0" borderId="0" xfId="457" applyFont="1" applyFill="1"/>
    <xf numFmtId="183" fontId="97" fillId="0" borderId="0" xfId="0" applyNumberFormat="1" applyFont="1" applyFill="1"/>
    <xf numFmtId="0" fontId="0" fillId="0" borderId="0" xfId="0" applyFill="1" applyAlignment="1">
      <alignment horizontal="center"/>
    </xf>
    <xf numFmtId="188" fontId="18" fillId="0" borderId="0" xfId="0" applyNumberFormat="1" applyFont="1" applyFill="1"/>
    <xf numFmtId="183" fontId="0" fillId="0" borderId="0" xfId="214" applyNumberFormat="1" applyFont="1" applyFill="1" applyBorder="1"/>
    <xf numFmtId="0" fontId="0" fillId="0" borderId="0" xfId="0"/>
    <xf numFmtId="3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7" fillId="0" borderId="0" xfId="0" applyFont="1"/>
    <xf numFmtId="40" fontId="0" fillId="0" borderId="0" xfId="0" applyNumberFormat="1" applyFill="1"/>
    <xf numFmtId="40" fontId="0" fillId="0" borderId="0" xfId="0" applyNumberFormat="1" applyFill="1" applyAlignment="1">
      <alignment horizontal="center"/>
    </xf>
    <xf numFmtId="43" fontId="0" fillId="0" borderId="0" xfId="1" applyFont="1" applyBorder="1"/>
    <xf numFmtId="166" fontId="17" fillId="0" borderId="0" xfId="0" applyNumberFormat="1" applyFont="1" applyFill="1" applyAlignment="1">
      <alignment horizontal="center"/>
    </xf>
    <xf numFmtId="191" fontId="17" fillId="0" borderId="0" xfId="0" applyNumberFormat="1" applyFont="1" applyFill="1"/>
    <xf numFmtId="190" fontId="17" fillId="0" borderId="1" xfId="2" applyNumberFormat="1" applyFont="1" applyFill="1" applyBorder="1"/>
    <xf numFmtId="190" fontId="17" fillId="0" borderId="1" xfId="0" applyNumberFormat="1" applyFont="1" applyFill="1" applyBorder="1"/>
    <xf numFmtId="19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/>
    <xf numFmtId="176" fontId="17" fillId="0" borderId="0" xfId="2" applyNumberFormat="1" applyFont="1" applyFill="1"/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/>
    <xf numFmtId="49" fontId="18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90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 wrapText="1"/>
    </xf>
    <xf numFmtId="49" fontId="98" fillId="0" borderId="0" xfId="3" applyNumberFormat="1" applyFont="1" applyFill="1" applyAlignment="1">
      <alignment horizontal="center" vertical="center" wrapText="1"/>
    </xf>
    <xf numFmtId="10" fontId="18" fillId="0" borderId="0" xfId="3" applyNumberFormat="1" applyFont="1" applyFill="1" applyAlignment="1">
      <alignment horizontal="right"/>
    </xf>
    <xf numFmtId="10" fontId="18" fillId="0" borderId="0" xfId="0" applyNumberFormat="1" applyFont="1" applyFill="1" applyAlignment="1">
      <alignment horizontal="center"/>
    </xf>
    <xf numFmtId="49" fontId="0" fillId="0" borderId="0" xfId="1" applyNumberFormat="1" applyFont="1" applyFill="1" applyAlignment="1">
      <alignment horizontal="center"/>
    </xf>
    <xf numFmtId="189" fontId="0" fillId="0" borderId="0" xfId="1" applyNumberFormat="1" applyFont="1" applyFill="1" applyAlignment="1">
      <alignment horizontal="center"/>
    </xf>
    <xf numFmtId="166" fontId="0" fillId="0" borderId="0" xfId="2" applyNumberFormat="1" applyFont="1" applyFill="1"/>
    <xf numFmtId="14" fontId="0" fillId="0" borderId="0" xfId="0" applyNumberFormat="1" applyFill="1"/>
    <xf numFmtId="182" fontId="0" fillId="0" borderId="0" xfId="0" applyNumberFormat="1" applyFill="1" applyAlignment="1">
      <alignment horizontal="center"/>
    </xf>
    <xf numFmtId="164" fontId="0" fillId="0" borderId="0" xfId="1" applyNumberFormat="1" applyFont="1" applyFill="1"/>
    <xf numFmtId="166" fontId="17" fillId="0" borderId="0" xfId="352" applyNumberFormat="1" applyFont="1" applyFill="1"/>
    <xf numFmtId="14" fontId="17" fillId="0" borderId="0" xfId="3" applyNumberFormat="1" applyFill="1"/>
    <xf numFmtId="164" fontId="17" fillId="0" borderId="0" xfId="184" applyNumberFormat="1" applyFont="1" applyFill="1"/>
    <xf numFmtId="5" fontId="17" fillId="0" borderId="0" xfId="3" applyNumberFormat="1" applyFont="1" applyFill="1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37" fontId="0" fillId="0" borderId="0" xfId="0" applyNumberFormat="1" applyFill="1" applyBorder="1" applyAlignment="1">
      <alignment horizontal="center" wrapText="1"/>
    </xf>
    <xf numFmtId="37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right"/>
    </xf>
    <xf numFmtId="0" fontId="88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0" fontId="89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/>
    <xf numFmtId="0" fontId="0" fillId="0" borderId="0" xfId="0" applyFill="1" applyBorder="1" applyAlignment="1">
      <alignment horizontal="right"/>
    </xf>
    <xf numFmtId="164" fontId="99" fillId="0" borderId="0" xfId="0" applyNumberFormat="1" applyFont="1" applyFill="1" applyAlignment="1"/>
    <xf numFmtId="37" fontId="17" fillId="0" borderId="0" xfId="1" applyNumberFormat="1" applyFont="1" applyFill="1" applyAlignment="1">
      <alignment vertical="center"/>
    </xf>
    <xf numFmtId="37" fontId="17" fillId="0" borderId="0" xfId="1" applyNumberFormat="1" applyFont="1" applyFill="1" applyAlignment="1">
      <alignment horizontal="right"/>
    </xf>
    <xf numFmtId="37" fontId="17" fillId="0" borderId="1" xfId="1" applyNumberFormat="1" applyFont="1" applyFill="1" applyBorder="1" applyAlignment="1">
      <alignment horizontal="right"/>
    </xf>
    <xf numFmtId="164" fontId="91" fillId="0" borderId="0" xfId="1" applyNumberFormat="1" applyFont="1" applyFill="1" applyBorder="1"/>
    <xf numFmtId="5" fontId="17" fillId="0" borderId="0" xfId="3" applyNumberFormat="1" applyFont="1" applyFill="1"/>
    <xf numFmtId="37" fontId="17" fillId="0" borderId="1" xfId="3" applyNumberFormat="1" applyFill="1" applyBorder="1"/>
    <xf numFmtId="167" fontId="17" fillId="0" borderId="0" xfId="0" applyNumberFormat="1" applyFont="1" applyFill="1"/>
    <xf numFmtId="0" fontId="17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/>
    <xf numFmtId="0" fontId="93" fillId="0" borderId="0" xfId="0" applyFont="1" applyFill="1" applyAlignment="1">
      <alignment horizontal="right" vertical="center" textRotation="180" wrapText="1"/>
    </xf>
    <xf numFmtId="0" fontId="17" fillId="0" borderId="0" xfId="0" applyFont="1" applyFill="1" applyAlignment="1">
      <alignment horizontal="center" textRotation="180" wrapText="1"/>
    </xf>
    <xf numFmtId="49" fontId="18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17" fillId="0" borderId="0" xfId="3" applyFont="1" applyFill="1" applyAlignment="1">
      <alignment horizontal="center"/>
    </xf>
    <xf numFmtId="49" fontId="17" fillId="0" borderId="0" xfId="3" applyNumberFormat="1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90" fillId="0" borderId="0" xfId="0" applyFont="1" applyFill="1" applyAlignment="1">
      <alignment horizontal="center"/>
    </xf>
    <xf numFmtId="0" fontId="0" fillId="0" borderId="0" xfId="0"/>
    <xf numFmtId="0" fontId="18" fillId="0" borderId="0" xfId="3" applyFont="1" applyAlignment="1">
      <alignment horizontal="center"/>
    </xf>
    <xf numFmtId="0" fontId="0" fillId="0" borderId="0" xfId="0" applyAlignment="1">
      <alignment horizontal="center"/>
    </xf>
    <xf numFmtId="49" fontId="86" fillId="0" borderId="0" xfId="3" applyNumberFormat="1" applyFont="1" applyAlignment="1">
      <alignment horizontal="center"/>
    </xf>
    <xf numFmtId="49" fontId="17" fillId="0" borderId="0" xfId="0" applyNumberFormat="1" applyFont="1" applyFill="1" applyAlignment="1">
      <alignment horizontal="left" wrapText="1"/>
    </xf>
  </cellXfs>
  <cellStyles count="2466">
    <cellStyle name="20% - Accent1 2" xfId="7"/>
    <cellStyle name="20% - Accent1 2 2" xfId="8"/>
    <cellStyle name="20% - Accent1 3" xfId="9"/>
    <cellStyle name="20% - Accent1 4" xfId="10"/>
    <cellStyle name="20% - Accent1 5" xfId="11"/>
    <cellStyle name="20% - Accent1 6" xfId="12"/>
    <cellStyle name="20% - Accent1 7" xfId="13"/>
    <cellStyle name="20% - Accent1 8" xfId="14"/>
    <cellStyle name="20% - Accent2 2" xfId="15"/>
    <cellStyle name="20% - Accent2 2 2" xfId="16"/>
    <cellStyle name="20% - Accent2 3" xfId="17"/>
    <cellStyle name="20% - Accent2 4" xfId="18"/>
    <cellStyle name="20% - Accent2 5" xfId="19"/>
    <cellStyle name="20% - Accent2 6" xfId="20"/>
    <cellStyle name="20% - Accent3 2" xfId="21"/>
    <cellStyle name="20% - Accent3 2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3 8" xfId="28"/>
    <cellStyle name="20% - Accent4 2" xfId="29"/>
    <cellStyle name="20% - Accent4 2 2" xfId="30"/>
    <cellStyle name="20% - Accent4 3" xfId="31"/>
    <cellStyle name="20% - Accent4 4" xfId="32"/>
    <cellStyle name="20% - Accent4 5" xfId="33"/>
    <cellStyle name="20% - Accent4 6" xfId="34"/>
    <cellStyle name="20% - Accent4 7" xfId="35"/>
    <cellStyle name="20% - Accent4 8" xfId="36"/>
    <cellStyle name="20% - Accent5 2" xfId="37"/>
    <cellStyle name="20% - Accent5 2 2" xfId="38"/>
    <cellStyle name="20% - Accent5 3" xfId="39"/>
    <cellStyle name="20% - Accent5 4" xfId="40"/>
    <cellStyle name="20% - Accent5 5" xfId="41"/>
    <cellStyle name="20% - Accent5 6" xfId="42"/>
    <cellStyle name="20% - Accent6 2" xfId="43"/>
    <cellStyle name="20% - Accent6 2 2" xfId="44"/>
    <cellStyle name="20% - Accent6 3" xfId="45"/>
    <cellStyle name="20% - Accent6 4" xfId="46"/>
    <cellStyle name="20% - Accent6 5" xfId="47"/>
    <cellStyle name="20% - Accent6 6" xfId="48"/>
    <cellStyle name="40% - Accent1 2" xfId="49"/>
    <cellStyle name="40% - Accent1 2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2 2" xfId="57"/>
    <cellStyle name="40% - Accent2 2 2" xfId="58"/>
    <cellStyle name="40% - Accent2 3" xfId="59"/>
    <cellStyle name="40% - Accent2 4" xfId="60"/>
    <cellStyle name="40% - Accent2 5" xfId="61"/>
    <cellStyle name="40% - Accent2 6" xfId="62"/>
    <cellStyle name="40% - Accent3 2" xfId="63"/>
    <cellStyle name="40% - Accent3 2 2" xfId="64"/>
    <cellStyle name="40% - Accent3 3" xfId="65"/>
    <cellStyle name="40% - Accent3 4" xfId="66"/>
    <cellStyle name="40% - Accent3 5" xfId="67"/>
    <cellStyle name="40% - Accent3 6" xfId="68"/>
    <cellStyle name="40% - Accent3 7" xfId="69"/>
    <cellStyle name="40% - Accent3 8" xfId="70"/>
    <cellStyle name="40% - Accent4 2" xfId="71"/>
    <cellStyle name="40% - Accent4 2 2" xfId="72"/>
    <cellStyle name="40% - Accent4 3" xfId="73"/>
    <cellStyle name="40% - Accent4 4" xfId="74"/>
    <cellStyle name="40% - Accent4 5" xfId="75"/>
    <cellStyle name="40% - Accent4 6" xfId="76"/>
    <cellStyle name="40% - Accent4 7" xfId="77"/>
    <cellStyle name="40% - Accent4 8" xfId="78"/>
    <cellStyle name="40% - Accent5 2" xfId="79"/>
    <cellStyle name="40% - Accent5 2 2" xfId="80"/>
    <cellStyle name="40% - Accent5 3" xfId="81"/>
    <cellStyle name="40% - Accent5 4" xfId="82"/>
    <cellStyle name="40% - Accent5 5" xfId="83"/>
    <cellStyle name="40% - Accent5 6" xfId="84"/>
    <cellStyle name="40% - Accent6 2" xfId="85"/>
    <cellStyle name="40% - Accent6 2 2" xfId="86"/>
    <cellStyle name="40% - Accent6 3" xfId="87"/>
    <cellStyle name="40% - Accent6 4" xfId="88"/>
    <cellStyle name="40% - Accent6 5" xfId="89"/>
    <cellStyle name="40% - Accent6 6" xfId="90"/>
    <cellStyle name="40% - Accent6 7" xfId="91"/>
    <cellStyle name="40% - Accent6 8" xfId="92"/>
    <cellStyle name="60% - Accent1 2" xfId="93"/>
    <cellStyle name="60% - Accent1 3" xfId="94"/>
    <cellStyle name="60% - Accent1 4" xfId="95"/>
    <cellStyle name="60% - Accent1 5" xfId="96"/>
    <cellStyle name="60% - Accent1 6" xfId="97"/>
    <cellStyle name="60% - Accent1 7" xfId="98"/>
    <cellStyle name="60% - Accent1 8" xfId="99"/>
    <cellStyle name="60% - Accent2 2" xfId="100"/>
    <cellStyle name="60% - Accent2 3" xfId="101"/>
    <cellStyle name="60% - Accent2 4" xfId="102"/>
    <cellStyle name="60% - Accent2 5" xfId="103"/>
    <cellStyle name="60% - Accent2 6" xfId="104"/>
    <cellStyle name="60% - Accent3 2" xfId="105"/>
    <cellStyle name="60% - Accent3 3" xfId="106"/>
    <cellStyle name="60% - Accent3 4" xfId="107"/>
    <cellStyle name="60% - Accent3 5" xfId="108"/>
    <cellStyle name="60% - Accent3 6" xfId="109"/>
    <cellStyle name="60% - Accent3 7" xfId="110"/>
    <cellStyle name="60% - Accent3 8" xfId="111"/>
    <cellStyle name="60% - Accent4 2" xfId="112"/>
    <cellStyle name="60% - Accent4 3" xfId="113"/>
    <cellStyle name="60% - Accent4 4" xfId="114"/>
    <cellStyle name="60% - Accent4 5" xfId="115"/>
    <cellStyle name="60% - Accent4 6" xfId="116"/>
    <cellStyle name="60% - Accent4 7" xfId="117"/>
    <cellStyle name="60% - Accent4 8" xfId="118"/>
    <cellStyle name="60% - Accent5 2" xfId="119"/>
    <cellStyle name="60% - Accent5 3" xfId="120"/>
    <cellStyle name="60% - Accent5 4" xfId="121"/>
    <cellStyle name="60% - Accent5 5" xfId="122"/>
    <cellStyle name="60% - Accent5 6" xfId="123"/>
    <cellStyle name="60% - Accent6 2" xfId="124"/>
    <cellStyle name="60% - Accent6 3" xfId="125"/>
    <cellStyle name="60% - Accent6 4" xfId="126"/>
    <cellStyle name="60% - Accent6 5" xfId="127"/>
    <cellStyle name="60% - Accent6 6" xfId="128"/>
    <cellStyle name="60% - Accent6 7" xfId="129"/>
    <cellStyle name="60% - Accent6 8" xfId="130"/>
    <cellStyle name="Accent1 2" xfId="131"/>
    <cellStyle name="Accent1 3" xfId="132"/>
    <cellStyle name="Accent1 4" xfId="133"/>
    <cellStyle name="Accent1 5" xfId="134"/>
    <cellStyle name="Accent1 6" xfId="135"/>
    <cellStyle name="Accent1 7" xfId="136"/>
    <cellStyle name="Accent1 8" xfId="137"/>
    <cellStyle name="Accent2 2" xfId="138"/>
    <cellStyle name="Accent2 3" xfId="139"/>
    <cellStyle name="Accent2 4" xfId="140"/>
    <cellStyle name="Accent2 5" xfId="141"/>
    <cellStyle name="Accent2 6" xfId="142"/>
    <cellStyle name="Accent3 2" xfId="143"/>
    <cellStyle name="Accent3 3" xfId="144"/>
    <cellStyle name="Accent3 4" xfId="145"/>
    <cellStyle name="Accent3 5" xfId="146"/>
    <cellStyle name="Accent3 6" xfId="147"/>
    <cellStyle name="Accent4 2" xfId="148"/>
    <cellStyle name="Accent4 3" xfId="149"/>
    <cellStyle name="Accent4 4" xfId="150"/>
    <cellStyle name="Accent4 5" xfId="151"/>
    <cellStyle name="Accent4 6" xfId="152"/>
    <cellStyle name="Accent4 7" xfId="153"/>
    <cellStyle name="Accent4 8" xfId="154"/>
    <cellStyle name="Accent5 2" xfId="155"/>
    <cellStyle name="Accent5 3" xfId="156"/>
    <cellStyle name="Accent5 4" xfId="157"/>
    <cellStyle name="Accent5 5" xfId="158"/>
    <cellStyle name="Accent5 6" xfId="159"/>
    <cellStyle name="Accent6 2" xfId="160"/>
    <cellStyle name="Accent6 3" xfId="161"/>
    <cellStyle name="Accent6 4" xfId="162"/>
    <cellStyle name="Accent6 5" xfId="163"/>
    <cellStyle name="Accent6 6" xfId="164"/>
    <cellStyle name="Bad 2" xfId="165"/>
    <cellStyle name="Bad 3" xfId="166"/>
    <cellStyle name="Bad 4" xfId="167"/>
    <cellStyle name="Bad 5" xfId="168"/>
    <cellStyle name="Bad 6" xfId="169"/>
    <cellStyle name="Bad 7" xfId="170"/>
    <cellStyle name="Bad 8" xfId="171"/>
    <cellStyle name="Calculation 2" xfId="172"/>
    <cellStyle name="Calculation 3" xfId="173"/>
    <cellStyle name="Calculation 4" xfId="174"/>
    <cellStyle name="Calculation 5" xfId="175"/>
    <cellStyle name="Calculation 6" xfId="176"/>
    <cellStyle name="Check Cell 2" xfId="177"/>
    <cellStyle name="Check Cell 3" xfId="178"/>
    <cellStyle name="Check Cell 4" xfId="179"/>
    <cellStyle name="Check Cell 5" xfId="180"/>
    <cellStyle name="Check Cell 6" xfId="181"/>
    <cellStyle name="Check Cell 7" xfId="182"/>
    <cellStyle name="Check Cell 8" xfId="183"/>
    <cellStyle name="Comma" xfId="1" builtinId="3"/>
    <cellStyle name="Comma 10" xfId="184"/>
    <cellStyle name="Comma 11" xfId="185"/>
    <cellStyle name="Comma 12" xfId="186"/>
    <cellStyle name="Comma 13" xfId="187"/>
    <cellStyle name="Comma 14" xfId="188"/>
    <cellStyle name="Comma 15" xfId="189"/>
    <cellStyle name="Comma 16" xfId="4"/>
    <cellStyle name="Comma 17" xfId="190"/>
    <cellStyle name="Comma 17 2" xfId="472"/>
    <cellStyle name="Comma 17 2 2" xfId="521"/>
    <cellStyle name="Comma 17 2 2 2" xfId="645"/>
    <cellStyle name="Comma 17 2 2 2 2" xfId="893"/>
    <cellStyle name="Comma 17 2 2 2 2 2" xfId="1397"/>
    <cellStyle name="Comma 17 2 2 2 2 2 2" xfId="2399"/>
    <cellStyle name="Comma 17 2 2 2 2 3" xfId="1898"/>
    <cellStyle name="Comma 17 2 2 2 3" xfId="1149"/>
    <cellStyle name="Comma 17 2 2 2 3 2" xfId="2151"/>
    <cellStyle name="Comma 17 2 2 2 4" xfId="1650"/>
    <cellStyle name="Comma 17 2 2 3" xfId="769"/>
    <cellStyle name="Comma 17 2 2 3 2" xfId="1273"/>
    <cellStyle name="Comma 17 2 2 3 2 2" xfId="2275"/>
    <cellStyle name="Comma 17 2 2 3 3" xfId="1774"/>
    <cellStyle name="Comma 17 2 2 4" xfId="1025"/>
    <cellStyle name="Comma 17 2 2 4 2" xfId="2027"/>
    <cellStyle name="Comma 17 2 2 5" xfId="1526"/>
    <cellStyle name="Comma 17 2 3" xfId="604"/>
    <cellStyle name="Comma 17 2 3 2" xfId="852"/>
    <cellStyle name="Comma 17 2 3 2 2" xfId="1356"/>
    <cellStyle name="Comma 17 2 3 2 2 2" xfId="2358"/>
    <cellStyle name="Comma 17 2 3 2 3" xfId="1857"/>
    <cellStyle name="Comma 17 2 3 3" xfId="1108"/>
    <cellStyle name="Comma 17 2 3 3 2" xfId="2110"/>
    <cellStyle name="Comma 17 2 3 4" xfId="1609"/>
    <cellStyle name="Comma 17 2 4" xfId="728"/>
    <cellStyle name="Comma 17 2 4 2" xfId="1232"/>
    <cellStyle name="Comma 17 2 4 2 2" xfId="2234"/>
    <cellStyle name="Comma 17 2 4 3" xfId="1733"/>
    <cellStyle name="Comma 17 2 5" xfId="984"/>
    <cellStyle name="Comma 17 2 5 2" xfId="1986"/>
    <cellStyle name="Comma 17 2 6" xfId="1485"/>
    <cellStyle name="Comma 17 3" xfId="500"/>
    <cellStyle name="Comma 17 3 2" xfId="522"/>
    <cellStyle name="Comma 17 3 2 2" xfId="646"/>
    <cellStyle name="Comma 17 3 2 2 2" xfId="894"/>
    <cellStyle name="Comma 17 3 2 2 2 2" xfId="1398"/>
    <cellStyle name="Comma 17 3 2 2 2 2 2" xfId="2400"/>
    <cellStyle name="Comma 17 3 2 2 2 3" xfId="1899"/>
    <cellStyle name="Comma 17 3 2 2 3" xfId="1150"/>
    <cellStyle name="Comma 17 3 2 2 3 2" xfId="2152"/>
    <cellStyle name="Comma 17 3 2 2 4" xfId="1651"/>
    <cellStyle name="Comma 17 3 2 3" xfId="770"/>
    <cellStyle name="Comma 17 3 2 3 2" xfId="1274"/>
    <cellStyle name="Comma 17 3 2 3 2 2" xfId="2276"/>
    <cellStyle name="Comma 17 3 2 3 3" xfId="1775"/>
    <cellStyle name="Comma 17 3 2 4" xfId="1026"/>
    <cellStyle name="Comma 17 3 2 4 2" xfId="2028"/>
    <cellStyle name="Comma 17 3 2 5" xfId="1527"/>
    <cellStyle name="Comma 17 3 3" xfId="624"/>
    <cellStyle name="Comma 17 3 3 2" xfId="872"/>
    <cellStyle name="Comma 17 3 3 2 2" xfId="1376"/>
    <cellStyle name="Comma 17 3 3 2 2 2" xfId="2378"/>
    <cellStyle name="Comma 17 3 3 2 3" xfId="1877"/>
    <cellStyle name="Comma 17 3 3 3" xfId="1128"/>
    <cellStyle name="Comma 17 3 3 3 2" xfId="2130"/>
    <cellStyle name="Comma 17 3 3 4" xfId="1629"/>
    <cellStyle name="Comma 17 3 4" xfId="748"/>
    <cellStyle name="Comma 17 3 4 2" xfId="1252"/>
    <cellStyle name="Comma 17 3 4 2 2" xfId="2254"/>
    <cellStyle name="Comma 17 3 4 3" xfId="1753"/>
    <cellStyle name="Comma 17 3 5" xfId="1004"/>
    <cellStyle name="Comma 17 3 5 2" xfId="2006"/>
    <cellStyle name="Comma 17 3 6" xfId="1505"/>
    <cellStyle name="Comma 17 4" xfId="520"/>
    <cellStyle name="Comma 17 4 2" xfId="644"/>
    <cellStyle name="Comma 17 4 2 2" xfId="892"/>
    <cellStyle name="Comma 17 4 2 2 2" xfId="1396"/>
    <cellStyle name="Comma 17 4 2 2 2 2" xfId="2398"/>
    <cellStyle name="Comma 17 4 2 2 3" xfId="1897"/>
    <cellStyle name="Comma 17 4 2 3" xfId="1148"/>
    <cellStyle name="Comma 17 4 2 3 2" xfId="2150"/>
    <cellStyle name="Comma 17 4 2 4" xfId="1649"/>
    <cellStyle name="Comma 17 4 3" xfId="768"/>
    <cellStyle name="Comma 17 4 3 2" xfId="1272"/>
    <cellStyle name="Comma 17 4 3 2 2" xfId="2274"/>
    <cellStyle name="Comma 17 4 3 3" xfId="1773"/>
    <cellStyle name="Comma 17 4 4" xfId="1024"/>
    <cellStyle name="Comma 17 4 4 2" xfId="2026"/>
    <cellStyle name="Comma 17 4 5" xfId="1525"/>
    <cellStyle name="Comma 17 5" xfId="582"/>
    <cellStyle name="Comma 17 5 2" xfId="830"/>
    <cellStyle name="Comma 17 5 2 2" xfId="1334"/>
    <cellStyle name="Comma 17 5 2 2 2" xfId="2336"/>
    <cellStyle name="Comma 17 5 2 3" xfId="1835"/>
    <cellStyle name="Comma 17 5 3" xfId="1086"/>
    <cellStyle name="Comma 17 5 3 2" xfId="2088"/>
    <cellStyle name="Comma 17 5 4" xfId="1587"/>
    <cellStyle name="Comma 17 6" xfId="706"/>
    <cellStyle name="Comma 17 6 2" xfId="1210"/>
    <cellStyle name="Comma 17 6 2 2" xfId="2212"/>
    <cellStyle name="Comma 17 6 3" xfId="1711"/>
    <cellStyle name="Comma 17 7" xfId="962"/>
    <cellStyle name="Comma 17 7 2" xfId="1964"/>
    <cellStyle name="Comma 17 8" xfId="1463"/>
    <cellStyle name="Comma 18" xfId="191"/>
    <cellStyle name="Comma 19" xfId="5"/>
    <cellStyle name="Comma 2" xfId="192"/>
    <cellStyle name="Comma 2 2" xfId="193"/>
    <cellStyle name="Comma 2 2 2" xfId="451"/>
    <cellStyle name="Comma 2 2 3" xfId="473"/>
    <cellStyle name="Comma 2 3" xfId="194"/>
    <cellStyle name="Comma 2 4" xfId="195"/>
    <cellStyle name="Comma 2_Allocators" xfId="196"/>
    <cellStyle name="Comma 20" xfId="197"/>
    <cellStyle name="Comma 20 2" xfId="474"/>
    <cellStyle name="Comma 20 2 2" xfId="524"/>
    <cellStyle name="Comma 20 2 2 2" xfId="648"/>
    <cellStyle name="Comma 20 2 2 2 2" xfId="896"/>
    <cellStyle name="Comma 20 2 2 2 2 2" xfId="1400"/>
    <cellStyle name="Comma 20 2 2 2 2 2 2" xfId="2402"/>
    <cellStyle name="Comma 20 2 2 2 2 3" xfId="1901"/>
    <cellStyle name="Comma 20 2 2 2 3" xfId="1152"/>
    <cellStyle name="Comma 20 2 2 2 3 2" xfId="2154"/>
    <cellStyle name="Comma 20 2 2 2 4" xfId="1653"/>
    <cellStyle name="Comma 20 2 2 3" xfId="772"/>
    <cellStyle name="Comma 20 2 2 3 2" xfId="1276"/>
    <cellStyle name="Comma 20 2 2 3 2 2" xfId="2278"/>
    <cellStyle name="Comma 20 2 2 3 3" xfId="1777"/>
    <cellStyle name="Comma 20 2 2 4" xfId="1028"/>
    <cellStyle name="Comma 20 2 2 4 2" xfId="2030"/>
    <cellStyle name="Comma 20 2 2 5" xfId="1529"/>
    <cellStyle name="Comma 20 2 3" xfId="605"/>
    <cellStyle name="Comma 20 2 3 2" xfId="853"/>
    <cellStyle name="Comma 20 2 3 2 2" xfId="1357"/>
    <cellStyle name="Comma 20 2 3 2 2 2" xfId="2359"/>
    <cellStyle name="Comma 20 2 3 2 3" xfId="1858"/>
    <cellStyle name="Comma 20 2 3 3" xfId="1109"/>
    <cellStyle name="Comma 20 2 3 3 2" xfId="2111"/>
    <cellStyle name="Comma 20 2 3 4" xfId="1610"/>
    <cellStyle name="Comma 20 2 4" xfId="729"/>
    <cellStyle name="Comma 20 2 4 2" xfId="1233"/>
    <cellStyle name="Comma 20 2 4 2 2" xfId="2235"/>
    <cellStyle name="Comma 20 2 4 3" xfId="1734"/>
    <cellStyle name="Comma 20 2 5" xfId="985"/>
    <cellStyle name="Comma 20 2 5 2" xfId="1987"/>
    <cellStyle name="Comma 20 2 6" xfId="1486"/>
    <cellStyle name="Comma 20 3" xfId="501"/>
    <cellStyle name="Comma 20 3 2" xfId="525"/>
    <cellStyle name="Comma 20 3 2 2" xfId="649"/>
    <cellStyle name="Comma 20 3 2 2 2" xfId="897"/>
    <cellStyle name="Comma 20 3 2 2 2 2" xfId="1401"/>
    <cellStyle name="Comma 20 3 2 2 2 2 2" xfId="2403"/>
    <cellStyle name="Comma 20 3 2 2 2 3" xfId="1902"/>
    <cellStyle name="Comma 20 3 2 2 3" xfId="1153"/>
    <cellStyle name="Comma 20 3 2 2 3 2" xfId="2155"/>
    <cellStyle name="Comma 20 3 2 2 4" xfId="1654"/>
    <cellStyle name="Comma 20 3 2 3" xfId="773"/>
    <cellStyle name="Comma 20 3 2 3 2" xfId="1277"/>
    <cellStyle name="Comma 20 3 2 3 2 2" xfId="2279"/>
    <cellStyle name="Comma 20 3 2 3 3" xfId="1778"/>
    <cellStyle name="Comma 20 3 2 4" xfId="1029"/>
    <cellStyle name="Comma 20 3 2 4 2" xfId="2031"/>
    <cellStyle name="Comma 20 3 2 5" xfId="1530"/>
    <cellStyle name="Comma 20 3 3" xfId="625"/>
    <cellStyle name="Comma 20 3 3 2" xfId="873"/>
    <cellStyle name="Comma 20 3 3 2 2" xfId="1377"/>
    <cellStyle name="Comma 20 3 3 2 2 2" xfId="2379"/>
    <cellStyle name="Comma 20 3 3 2 3" xfId="1878"/>
    <cellStyle name="Comma 20 3 3 3" xfId="1129"/>
    <cellStyle name="Comma 20 3 3 3 2" xfId="2131"/>
    <cellStyle name="Comma 20 3 3 4" xfId="1630"/>
    <cellStyle name="Comma 20 3 4" xfId="749"/>
    <cellStyle name="Comma 20 3 4 2" xfId="1253"/>
    <cellStyle name="Comma 20 3 4 2 2" xfId="2255"/>
    <cellStyle name="Comma 20 3 4 3" xfId="1754"/>
    <cellStyle name="Comma 20 3 5" xfId="1005"/>
    <cellStyle name="Comma 20 3 5 2" xfId="2007"/>
    <cellStyle name="Comma 20 3 6" xfId="1506"/>
    <cellStyle name="Comma 20 4" xfId="523"/>
    <cellStyle name="Comma 20 4 2" xfId="647"/>
    <cellStyle name="Comma 20 4 2 2" xfId="895"/>
    <cellStyle name="Comma 20 4 2 2 2" xfId="1399"/>
    <cellStyle name="Comma 20 4 2 2 2 2" xfId="2401"/>
    <cellStyle name="Comma 20 4 2 2 3" xfId="1900"/>
    <cellStyle name="Comma 20 4 2 3" xfId="1151"/>
    <cellStyle name="Comma 20 4 2 3 2" xfId="2153"/>
    <cellStyle name="Comma 20 4 2 4" xfId="1652"/>
    <cellStyle name="Comma 20 4 3" xfId="771"/>
    <cellStyle name="Comma 20 4 3 2" xfId="1275"/>
    <cellStyle name="Comma 20 4 3 2 2" xfId="2277"/>
    <cellStyle name="Comma 20 4 3 3" xfId="1776"/>
    <cellStyle name="Comma 20 4 4" xfId="1027"/>
    <cellStyle name="Comma 20 4 4 2" xfId="2029"/>
    <cellStyle name="Comma 20 4 5" xfId="1528"/>
    <cellStyle name="Comma 20 5" xfId="583"/>
    <cellStyle name="Comma 20 5 2" xfId="831"/>
    <cellStyle name="Comma 20 5 2 2" xfId="1335"/>
    <cellStyle name="Comma 20 5 2 2 2" xfId="2337"/>
    <cellStyle name="Comma 20 5 2 3" xfId="1836"/>
    <cellStyle name="Comma 20 5 3" xfId="1087"/>
    <cellStyle name="Comma 20 5 3 2" xfId="2089"/>
    <cellStyle name="Comma 20 5 4" xfId="1588"/>
    <cellStyle name="Comma 20 6" xfId="707"/>
    <cellStyle name="Comma 20 6 2" xfId="1211"/>
    <cellStyle name="Comma 20 6 2 2" xfId="2213"/>
    <cellStyle name="Comma 20 6 3" xfId="1712"/>
    <cellStyle name="Comma 20 7" xfId="963"/>
    <cellStyle name="Comma 20 7 2" xfId="1965"/>
    <cellStyle name="Comma 20 8" xfId="1464"/>
    <cellStyle name="Comma 3" xfId="198"/>
    <cellStyle name="Comma 3 10" xfId="468"/>
    <cellStyle name="Comma 3 10 2" xfId="498"/>
    <cellStyle name="Comma 3 10 2 2" xfId="527"/>
    <cellStyle name="Comma 3 10 2 2 2" xfId="651"/>
    <cellStyle name="Comma 3 10 2 2 2 2" xfId="899"/>
    <cellStyle name="Comma 3 10 2 2 2 2 2" xfId="1403"/>
    <cellStyle name="Comma 3 10 2 2 2 2 2 2" xfId="2405"/>
    <cellStyle name="Comma 3 10 2 2 2 2 3" xfId="1904"/>
    <cellStyle name="Comma 3 10 2 2 2 3" xfId="1155"/>
    <cellStyle name="Comma 3 10 2 2 2 3 2" xfId="2157"/>
    <cellStyle name="Comma 3 10 2 2 2 4" xfId="1656"/>
    <cellStyle name="Comma 3 10 2 2 3" xfId="775"/>
    <cellStyle name="Comma 3 10 2 2 3 2" xfId="1279"/>
    <cellStyle name="Comma 3 10 2 2 3 2 2" xfId="2281"/>
    <cellStyle name="Comma 3 10 2 2 3 3" xfId="1780"/>
    <cellStyle name="Comma 3 10 2 2 4" xfId="1031"/>
    <cellStyle name="Comma 3 10 2 2 4 2" xfId="2033"/>
    <cellStyle name="Comma 3 10 2 2 5" xfId="1532"/>
    <cellStyle name="Comma 3 10 2 3" xfId="622"/>
    <cellStyle name="Comma 3 10 2 3 2" xfId="870"/>
    <cellStyle name="Comma 3 10 2 3 2 2" xfId="1374"/>
    <cellStyle name="Comma 3 10 2 3 2 2 2" xfId="2376"/>
    <cellStyle name="Comma 3 10 2 3 2 3" xfId="1875"/>
    <cellStyle name="Comma 3 10 2 3 3" xfId="1126"/>
    <cellStyle name="Comma 3 10 2 3 3 2" xfId="2128"/>
    <cellStyle name="Comma 3 10 2 3 4" xfId="1627"/>
    <cellStyle name="Comma 3 10 2 4" xfId="746"/>
    <cellStyle name="Comma 3 10 2 4 2" xfId="1250"/>
    <cellStyle name="Comma 3 10 2 4 2 2" xfId="2252"/>
    <cellStyle name="Comma 3 10 2 4 3" xfId="1751"/>
    <cellStyle name="Comma 3 10 2 5" xfId="1002"/>
    <cellStyle name="Comma 3 10 2 5 2" xfId="2004"/>
    <cellStyle name="Comma 3 10 2 6" xfId="1503"/>
    <cellStyle name="Comma 3 10 3" xfId="518"/>
    <cellStyle name="Comma 3 10 3 2" xfId="528"/>
    <cellStyle name="Comma 3 10 3 2 2" xfId="652"/>
    <cellStyle name="Comma 3 10 3 2 2 2" xfId="900"/>
    <cellStyle name="Comma 3 10 3 2 2 2 2" xfId="1404"/>
    <cellStyle name="Comma 3 10 3 2 2 2 2 2" xfId="2406"/>
    <cellStyle name="Comma 3 10 3 2 2 2 3" xfId="1905"/>
    <cellStyle name="Comma 3 10 3 2 2 3" xfId="1156"/>
    <cellStyle name="Comma 3 10 3 2 2 3 2" xfId="2158"/>
    <cellStyle name="Comma 3 10 3 2 2 4" xfId="1657"/>
    <cellStyle name="Comma 3 10 3 2 3" xfId="776"/>
    <cellStyle name="Comma 3 10 3 2 3 2" xfId="1280"/>
    <cellStyle name="Comma 3 10 3 2 3 2 2" xfId="2282"/>
    <cellStyle name="Comma 3 10 3 2 3 3" xfId="1781"/>
    <cellStyle name="Comma 3 10 3 2 4" xfId="1032"/>
    <cellStyle name="Comma 3 10 3 2 4 2" xfId="2034"/>
    <cellStyle name="Comma 3 10 3 2 5" xfId="1533"/>
    <cellStyle name="Comma 3 10 3 3" xfId="642"/>
    <cellStyle name="Comma 3 10 3 3 2" xfId="890"/>
    <cellStyle name="Comma 3 10 3 3 2 2" xfId="1394"/>
    <cellStyle name="Comma 3 10 3 3 2 2 2" xfId="2396"/>
    <cellStyle name="Comma 3 10 3 3 2 3" xfId="1895"/>
    <cellStyle name="Comma 3 10 3 3 3" xfId="1146"/>
    <cellStyle name="Comma 3 10 3 3 3 2" xfId="2148"/>
    <cellStyle name="Comma 3 10 3 3 4" xfId="1647"/>
    <cellStyle name="Comma 3 10 3 4" xfId="766"/>
    <cellStyle name="Comma 3 10 3 4 2" xfId="1270"/>
    <cellStyle name="Comma 3 10 3 4 2 2" xfId="2272"/>
    <cellStyle name="Comma 3 10 3 4 3" xfId="1771"/>
    <cellStyle name="Comma 3 10 3 5" xfId="1022"/>
    <cellStyle name="Comma 3 10 3 5 2" xfId="2024"/>
    <cellStyle name="Comma 3 10 3 6" xfId="1523"/>
    <cellStyle name="Comma 3 10 4" xfId="526"/>
    <cellStyle name="Comma 3 10 4 2" xfId="650"/>
    <cellStyle name="Comma 3 10 4 2 2" xfId="898"/>
    <cellStyle name="Comma 3 10 4 2 2 2" xfId="1402"/>
    <cellStyle name="Comma 3 10 4 2 2 2 2" xfId="2404"/>
    <cellStyle name="Comma 3 10 4 2 2 3" xfId="1903"/>
    <cellStyle name="Comma 3 10 4 2 3" xfId="1154"/>
    <cellStyle name="Comma 3 10 4 2 3 2" xfId="2156"/>
    <cellStyle name="Comma 3 10 4 2 4" xfId="1655"/>
    <cellStyle name="Comma 3 10 4 3" xfId="774"/>
    <cellStyle name="Comma 3 10 4 3 2" xfId="1278"/>
    <cellStyle name="Comma 3 10 4 3 2 2" xfId="2280"/>
    <cellStyle name="Comma 3 10 4 3 3" xfId="1779"/>
    <cellStyle name="Comma 3 10 4 4" xfId="1030"/>
    <cellStyle name="Comma 3 10 4 4 2" xfId="2032"/>
    <cellStyle name="Comma 3 10 4 5" xfId="1531"/>
    <cellStyle name="Comma 3 10 5" xfId="600"/>
    <cellStyle name="Comma 3 10 5 2" xfId="848"/>
    <cellStyle name="Comma 3 10 5 2 2" xfId="1352"/>
    <cellStyle name="Comma 3 10 5 2 2 2" xfId="2354"/>
    <cellStyle name="Comma 3 10 5 2 3" xfId="1853"/>
    <cellStyle name="Comma 3 10 5 3" xfId="1104"/>
    <cellStyle name="Comma 3 10 5 3 2" xfId="2106"/>
    <cellStyle name="Comma 3 10 5 4" xfId="1605"/>
    <cellStyle name="Comma 3 10 6" xfId="724"/>
    <cellStyle name="Comma 3 10 6 2" xfId="1228"/>
    <cellStyle name="Comma 3 10 6 2 2" xfId="2230"/>
    <cellStyle name="Comma 3 10 6 3" xfId="1729"/>
    <cellStyle name="Comma 3 10 7" xfId="980"/>
    <cellStyle name="Comma 3 10 7 2" xfId="1982"/>
    <cellStyle name="Comma 3 10 8" xfId="1481"/>
    <cellStyle name="Comma 3 11" xfId="475"/>
    <cellStyle name="Comma 3 12" xfId="470"/>
    <cellStyle name="Comma 3 12 2" xfId="529"/>
    <cellStyle name="Comma 3 12 2 2" xfId="653"/>
    <cellStyle name="Comma 3 12 2 2 2" xfId="901"/>
    <cellStyle name="Comma 3 12 2 2 2 2" xfId="1405"/>
    <cellStyle name="Comma 3 12 2 2 2 2 2" xfId="2407"/>
    <cellStyle name="Comma 3 12 2 2 2 3" xfId="1906"/>
    <cellStyle name="Comma 3 12 2 2 3" xfId="1157"/>
    <cellStyle name="Comma 3 12 2 2 3 2" xfId="2159"/>
    <cellStyle name="Comma 3 12 2 2 4" xfId="1658"/>
    <cellStyle name="Comma 3 12 2 3" xfId="777"/>
    <cellStyle name="Comma 3 12 2 3 2" xfId="1281"/>
    <cellStyle name="Comma 3 12 2 3 2 2" xfId="2283"/>
    <cellStyle name="Comma 3 12 2 3 3" xfId="1782"/>
    <cellStyle name="Comma 3 12 2 4" xfId="1033"/>
    <cellStyle name="Comma 3 12 2 4 2" xfId="2035"/>
    <cellStyle name="Comma 3 12 2 5" xfId="1534"/>
    <cellStyle name="Comma 3 12 3" xfId="602"/>
    <cellStyle name="Comma 3 12 3 2" xfId="850"/>
    <cellStyle name="Comma 3 12 3 2 2" xfId="1354"/>
    <cellStyle name="Comma 3 12 3 2 2 2" xfId="2356"/>
    <cellStyle name="Comma 3 12 3 2 3" xfId="1855"/>
    <cellStyle name="Comma 3 12 3 3" xfId="1106"/>
    <cellStyle name="Comma 3 12 3 3 2" xfId="2108"/>
    <cellStyle name="Comma 3 12 3 4" xfId="1607"/>
    <cellStyle name="Comma 3 12 4" xfId="726"/>
    <cellStyle name="Comma 3 12 4 2" xfId="1230"/>
    <cellStyle name="Comma 3 12 4 2 2" xfId="2232"/>
    <cellStyle name="Comma 3 12 4 3" xfId="1731"/>
    <cellStyle name="Comma 3 12 5" xfId="982"/>
    <cellStyle name="Comma 3 12 5 2" xfId="1984"/>
    <cellStyle name="Comma 3 12 6" xfId="1483"/>
    <cellStyle name="Comma 3 13" xfId="954"/>
    <cellStyle name="Comma 3 13 2" xfId="1458"/>
    <cellStyle name="Comma 3 13 2 2" xfId="2460"/>
    <cellStyle name="Comma 3 13 3" xfId="1959"/>
    <cellStyle name="Comma 3 2" xfId="199"/>
    <cellStyle name="Comma 3 3" xfId="200"/>
    <cellStyle name="Comma 3 4" xfId="452"/>
    <cellStyle name="Comma 3 4 2" xfId="486"/>
    <cellStyle name="Comma 3 4 2 2" xfId="531"/>
    <cellStyle name="Comma 3 4 2 2 2" xfId="655"/>
    <cellStyle name="Comma 3 4 2 2 2 2" xfId="903"/>
    <cellStyle name="Comma 3 4 2 2 2 2 2" xfId="1407"/>
    <cellStyle name="Comma 3 4 2 2 2 2 2 2" xfId="2409"/>
    <cellStyle name="Comma 3 4 2 2 2 2 3" xfId="1908"/>
    <cellStyle name="Comma 3 4 2 2 2 3" xfId="1159"/>
    <cellStyle name="Comma 3 4 2 2 2 3 2" xfId="2161"/>
    <cellStyle name="Comma 3 4 2 2 2 4" xfId="1660"/>
    <cellStyle name="Comma 3 4 2 2 3" xfId="779"/>
    <cellStyle name="Comma 3 4 2 2 3 2" xfId="1283"/>
    <cellStyle name="Comma 3 4 2 2 3 2 2" xfId="2285"/>
    <cellStyle name="Comma 3 4 2 2 3 3" xfId="1784"/>
    <cellStyle name="Comma 3 4 2 2 4" xfId="1035"/>
    <cellStyle name="Comma 3 4 2 2 4 2" xfId="2037"/>
    <cellStyle name="Comma 3 4 2 2 5" xfId="1536"/>
    <cellStyle name="Comma 3 4 2 3" xfId="610"/>
    <cellStyle name="Comma 3 4 2 3 2" xfId="858"/>
    <cellStyle name="Comma 3 4 2 3 2 2" xfId="1362"/>
    <cellStyle name="Comma 3 4 2 3 2 2 2" xfId="2364"/>
    <cellStyle name="Comma 3 4 2 3 2 3" xfId="1863"/>
    <cellStyle name="Comma 3 4 2 3 3" xfId="1114"/>
    <cellStyle name="Comma 3 4 2 3 3 2" xfId="2116"/>
    <cellStyle name="Comma 3 4 2 3 4" xfId="1615"/>
    <cellStyle name="Comma 3 4 2 4" xfId="734"/>
    <cellStyle name="Comma 3 4 2 4 2" xfId="1238"/>
    <cellStyle name="Comma 3 4 2 4 2 2" xfId="2240"/>
    <cellStyle name="Comma 3 4 2 4 3" xfId="1739"/>
    <cellStyle name="Comma 3 4 2 5" xfId="990"/>
    <cellStyle name="Comma 3 4 2 5 2" xfId="1992"/>
    <cellStyle name="Comma 3 4 2 6" xfId="1491"/>
    <cellStyle name="Comma 3 4 3" xfId="506"/>
    <cellStyle name="Comma 3 4 3 2" xfId="532"/>
    <cellStyle name="Comma 3 4 3 2 2" xfId="656"/>
    <cellStyle name="Comma 3 4 3 2 2 2" xfId="904"/>
    <cellStyle name="Comma 3 4 3 2 2 2 2" xfId="1408"/>
    <cellStyle name="Comma 3 4 3 2 2 2 2 2" xfId="2410"/>
    <cellStyle name="Comma 3 4 3 2 2 2 3" xfId="1909"/>
    <cellStyle name="Comma 3 4 3 2 2 3" xfId="1160"/>
    <cellStyle name="Comma 3 4 3 2 2 3 2" xfId="2162"/>
    <cellStyle name="Comma 3 4 3 2 2 4" xfId="1661"/>
    <cellStyle name="Comma 3 4 3 2 3" xfId="780"/>
    <cellStyle name="Comma 3 4 3 2 3 2" xfId="1284"/>
    <cellStyle name="Comma 3 4 3 2 3 2 2" xfId="2286"/>
    <cellStyle name="Comma 3 4 3 2 3 3" xfId="1785"/>
    <cellStyle name="Comma 3 4 3 2 4" xfId="1036"/>
    <cellStyle name="Comma 3 4 3 2 4 2" xfId="2038"/>
    <cellStyle name="Comma 3 4 3 2 5" xfId="1537"/>
    <cellStyle name="Comma 3 4 3 3" xfId="630"/>
    <cellStyle name="Comma 3 4 3 3 2" xfId="878"/>
    <cellStyle name="Comma 3 4 3 3 2 2" xfId="1382"/>
    <cellStyle name="Comma 3 4 3 3 2 2 2" xfId="2384"/>
    <cellStyle name="Comma 3 4 3 3 2 3" xfId="1883"/>
    <cellStyle name="Comma 3 4 3 3 3" xfId="1134"/>
    <cellStyle name="Comma 3 4 3 3 3 2" xfId="2136"/>
    <cellStyle name="Comma 3 4 3 3 4" xfId="1635"/>
    <cellStyle name="Comma 3 4 3 4" xfId="754"/>
    <cellStyle name="Comma 3 4 3 4 2" xfId="1258"/>
    <cellStyle name="Comma 3 4 3 4 2 2" xfId="2260"/>
    <cellStyle name="Comma 3 4 3 4 3" xfId="1759"/>
    <cellStyle name="Comma 3 4 3 5" xfId="1010"/>
    <cellStyle name="Comma 3 4 3 5 2" xfId="2012"/>
    <cellStyle name="Comma 3 4 3 6" xfId="1511"/>
    <cellStyle name="Comma 3 4 4" xfId="530"/>
    <cellStyle name="Comma 3 4 4 2" xfId="654"/>
    <cellStyle name="Comma 3 4 4 2 2" xfId="902"/>
    <cellStyle name="Comma 3 4 4 2 2 2" xfId="1406"/>
    <cellStyle name="Comma 3 4 4 2 2 2 2" xfId="2408"/>
    <cellStyle name="Comma 3 4 4 2 2 3" xfId="1907"/>
    <cellStyle name="Comma 3 4 4 2 3" xfId="1158"/>
    <cellStyle name="Comma 3 4 4 2 3 2" xfId="2160"/>
    <cellStyle name="Comma 3 4 4 2 4" xfId="1659"/>
    <cellStyle name="Comma 3 4 4 3" xfId="778"/>
    <cellStyle name="Comma 3 4 4 3 2" xfId="1282"/>
    <cellStyle name="Comma 3 4 4 3 2 2" xfId="2284"/>
    <cellStyle name="Comma 3 4 4 3 3" xfId="1783"/>
    <cellStyle name="Comma 3 4 4 4" xfId="1034"/>
    <cellStyle name="Comma 3 4 4 4 2" xfId="2036"/>
    <cellStyle name="Comma 3 4 4 5" xfId="1535"/>
    <cellStyle name="Comma 3 4 5" xfId="588"/>
    <cellStyle name="Comma 3 4 5 2" xfId="836"/>
    <cellStyle name="Comma 3 4 5 2 2" xfId="1340"/>
    <cellStyle name="Comma 3 4 5 2 2 2" xfId="2342"/>
    <cellStyle name="Comma 3 4 5 2 3" xfId="1841"/>
    <cellStyle name="Comma 3 4 5 3" xfId="1092"/>
    <cellStyle name="Comma 3 4 5 3 2" xfId="2094"/>
    <cellStyle name="Comma 3 4 5 4" xfId="1593"/>
    <cellStyle name="Comma 3 4 6" xfId="712"/>
    <cellStyle name="Comma 3 4 6 2" xfId="1216"/>
    <cellStyle name="Comma 3 4 6 2 2" xfId="2218"/>
    <cellStyle name="Comma 3 4 6 3" xfId="1717"/>
    <cellStyle name="Comma 3 4 7" xfId="968"/>
    <cellStyle name="Comma 3 4 7 2" xfId="1970"/>
    <cellStyle name="Comma 3 4 8" xfId="1469"/>
    <cellStyle name="Comma 3 5" xfId="458"/>
    <cellStyle name="Comma 3 5 2" xfId="488"/>
    <cellStyle name="Comma 3 5 2 2" xfId="534"/>
    <cellStyle name="Comma 3 5 2 2 2" xfId="658"/>
    <cellStyle name="Comma 3 5 2 2 2 2" xfId="906"/>
    <cellStyle name="Comma 3 5 2 2 2 2 2" xfId="1410"/>
    <cellStyle name="Comma 3 5 2 2 2 2 2 2" xfId="2412"/>
    <cellStyle name="Comma 3 5 2 2 2 2 3" xfId="1911"/>
    <cellStyle name="Comma 3 5 2 2 2 3" xfId="1162"/>
    <cellStyle name="Comma 3 5 2 2 2 3 2" xfId="2164"/>
    <cellStyle name="Comma 3 5 2 2 2 4" xfId="1663"/>
    <cellStyle name="Comma 3 5 2 2 3" xfId="782"/>
    <cellStyle name="Comma 3 5 2 2 3 2" xfId="1286"/>
    <cellStyle name="Comma 3 5 2 2 3 2 2" xfId="2288"/>
    <cellStyle name="Comma 3 5 2 2 3 3" xfId="1787"/>
    <cellStyle name="Comma 3 5 2 2 4" xfId="1038"/>
    <cellStyle name="Comma 3 5 2 2 4 2" xfId="2040"/>
    <cellStyle name="Comma 3 5 2 2 5" xfId="1539"/>
    <cellStyle name="Comma 3 5 2 3" xfId="612"/>
    <cellStyle name="Comma 3 5 2 3 2" xfId="860"/>
    <cellStyle name="Comma 3 5 2 3 2 2" xfId="1364"/>
    <cellStyle name="Comma 3 5 2 3 2 2 2" xfId="2366"/>
    <cellStyle name="Comma 3 5 2 3 2 3" xfId="1865"/>
    <cellStyle name="Comma 3 5 2 3 3" xfId="1116"/>
    <cellStyle name="Comma 3 5 2 3 3 2" xfId="2118"/>
    <cellStyle name="Comma 3 5 2 3 4" xfId="1617"/>
    <cellStyle name="Comma 3 5 2 4" xfId="736"/>
    <cellStyle name="Comma 3 5 2 4 2" xfId="1240"/>
    <cellStyle name="Comma 3 5 2 4 2 2" xfId="2242"/>
    <cellStyle name="Comma 3 5 2 4 3" xfId="1741"/>
    <cellStyle name="Comma 3 5 2 5" xfId="992"/>
    <cellStyle name="Comma 3 5 2 5 2" xfId="1994"/>
    <cellStyle name="Comma 3 5 2 6" xfId="1493"/>
    <cellStyle name="Comma 3 5 3" xfId="508"/>
    <cellStyle name="Comma 3 5 3 2" xfId="535"/>
    <cellStyle name="Comma 3 5 3 2 2" xfId="659"/>
    <cellStyle name="Comma 3 5 3 2 2 2" xfId="907"/>
    <cellStyle name="Comma 3 5 3 2 2 2 2" xfId="1411"/>
    <cellStyle name="Comma 3 5 3 2 2 2 2 2" xfId="2413"/>
    <cellStyle name="Comma 3 5 3 2 2 2 3" xfId="1912"/>
    <cellStyle name="Comma 3 5 3 2 2 3" xfId="1163"/>
    <cellStyle name="Comma 3 5 3 2 2 3 2" xfId="2165"/>
    <cellStyle name="Comma 3 5 3 2 2 4" xfId="1664"/>
    <cellStyle name="Comma 3 5 3 2 3" xfId="783"/>
    <cellStyle name="Comma 3 5 3 2 3 2" xfId="1287"/>
    <cellStyle name="Comma 3 5 3 2 3 2 2" xfId="2289"/>
    <cellStyle name="Comma 3 5 3 2 3 3" xfId="1788"/>
    <cellStyle name="Comma 3 5 3 2 4" xfId="1039"/>
    <cellStyle name="Comma 3 5 3 2 4 2" xfId="2041"/>
    <cellStyle name="Comma 3 5 3 2 5" xfId="1540"/>
    <cellStyle name="Comma 3 5 3 3" xfId="632"/>
    <cellStyle name="Comma 3 5 3 3 2" xfId="880"/>
    <cellStyle name="Comma 3 5 3 3 2 2" xfId="1384"/>
    <cellStyle name="Comma 3 5 3 3 2 2 2" xfId="2386"/>
    <cellStyle name="Comma 3 5 3 3 2 3" xfId="1885"/>
    <cellStyle name="Comma 3 5 3 3 3" xfId="1136"/>
    <cellStyle name="Comma 3 5 3 3 3 2" xfId="2138"/>
    <cellStyle name="Comma 3 5 3 3 4" xfId="1637"/>
    <cellStyle name="Comma 3 5 3 4" xfId="756"/>
    <cellStyle name="Comma 3 5 3 4 2" xfId="1260"/>
    <cellStyle name="Comma 3 5 3 4 2 2" xfId="2262"/>
    <cellStyle name="Comma 3 5 3 4 3" xfId="1761"/>
    <cellStyle name="Comma 3 5 3 5" xfId="1012"/>
    <cellStyle name="Comma 3 5 3 5 2" xfId="2014"/>
    <cellStyle name="Comma 3 5 3 6" xfId="1513"/>
    <cellStyle name="Comma 3 5 4" xfId="533"/>
    <cellStyle name="Comma 3 5 4 2" xfId="657"/>
    <cellStyle name="Comma 3 5 4 2 2" xfId="905"/>
    <cellStyle name="Comma 3 5 4 2 2 2" xfId="1409"/>
    <cellStyle name="Comma 3 5 4 2 2 2 2" xfId="2411"/>
    <cellStyle name="Comma 3 5 4 2 2 3" xfId="1910"/>
    <cellStyle name="Comma 3 5 4 2 3" xfId="1161"/>
    <cellStyle name="Comma 3 5 4 2 3 2" xfId="2163"/>
    <cellStyle name="Comma 3 5 4 2 4" xfId="1662"/>
    <cellStyle name="Comma 3 5 4 3" xfId="781"/>
    <cellStyle name="Comma 3 5 4 3 2" xfId="1285"/>
    <cellStyle name="Comma 3 5 4 3 2 2" xfId="2287"/>
    <cellStyle name="Comma 3 5 4 3 3" xfId="1786"/>
    <cellStyle name="Comma 3 5 4 4" xfId="1037"/>
    <cellStyle name="Comma 3 5 4 4 2" xfId="2039"/>
    <cellStyle name="Comma 3 5 4 5" xfId="1538"/>
    <cellStyle name="Comma 3 5 5" xfId="590"/>
    <cellStyle name="Comma 3 5 5 2" xfId="838"/>
    <cellStyle name="Comma 3 5 5 2 2" xfId="1342"/>
    <cellStyle name="Comma 3 5 5 2 2 2" xfId="2344"/>
    <cellStyle name="Comma 3 5 5 2 3" xfId="1843"/>
    <cellStyle name="Comma 3 5 5 3" xfId="1094"/>
    <cellStyle name="Comma 3 5 5 3 2" xfId="2096"/>
    <cellStyle name="Comma 3 5 5 4" xfId="1595"/>
    <cellStyle name="Comma 3 5 6" xfId="714"/>
    <cellStyle name="Comma 3 5 6 2" xfId="1218"/>
    <cellStyle name="Comma 3 5 6 2 2" xfId="2220"/>
    <cellStyle name="Comma 3 5 6 3" xfId="1719"/>
    <cellStyle name="Comma 3 5 7" xfId="970"/>
    <cellStyle name="Comma 3 5 7 2" xfId="1972"/>
    <cellStyle name="Comma 3 5 8" xfId="1471"/>
    <cellStyle name="Comma 3 6" xfId="460"/>
    <cellStyle name="Comma 3 6 2" xfId="490"/>
    <cellStyle name="Comma 3 6 2 2" xfId="537"/>
    <cellStyle name="Comma 3 6 2 2 2" xfId="661"/>
    <cellStyle name="Comma 3 6 2 2 2 2" xfId="909"/>
    <cellStyle name="Comma 3 6 2 2 2 2 2" xfId="1413"/>
    <cellStyle name="Comma 3 6 2 2 2 2 2 2" xfId="2415"/>
    <cellStyle name="Comma 3 6 2 2 2 2 3" xfId="1914"/>
    <cellStyle name="Comma 3 6 2 2 2 3" xfId="1165"/>
    <cellStyle name="Comma 3 6 2 2 2 3 2" xfId="2167"/>
    <cellStyle name="Comma 3 6 2 2 2 4" xfId="1666"/>
    <cellStyle name="Comma 3 6 2 2 3" xfId="785"/>
    <cellStyle name="Comma 3 6 2 2 3 2" xfId="1289"/>
    <cellStyle name="Comma 3 6 2 2 3 2 2" xfId="2291"/>
    <cellStyle name="Comma 3 6 2 2 3 3" xfId="1790"/>
    <cellStyle name="Comma 3 6 2 2 4" xfId="1041"/>
    <cellStyle name="Comma 3 6 2 2 4 2" xfId="2043"/>
    <cellStyle name="Comma 3 6 2 2 5" xfId="1542"/>
    <cellStyle name="Comma 3 6 2 3" xfId="614"/>
    <cellStyle name="Comma 3 6 2 3 2" xfId="862"/>
    <cellStyle name="Comma 3 6 2 3 2 2" xfId="1366"/>
    <cellStyle name="Comma 3 6 2 3 2 2 2" xfId="2368"/>
    <cellStyle name="Comma 3 6 2 3 2 3" xfId="1867"/>
    <cellStyle name="Comma 3 6 2 3 3" xfId="1118"/>
    <cellStyle name="Comma 3 6 2 3 3 2" xfId="2120"/>
    <cellStyle name="Comma 3 6 2 3 4" xfId="1619"/>
    <cellStyle name="Comma 3 6 2 4" xfId="738"/>
    <cellStyle name="Comma 3 6 2 4 2" xfId="1242"/>
    <cellStyle name="Comma 3 6 2 4 2 2" xfId="2244"/>
    <cellStyle name="Comma 3 6 2 4 3" xfId="1743"/>
    <cellStyle name="Comma 3 6 2 5" xfId="994"/>
    <cellStyle name="Comma 3 6 2 5 2" xfId="1996"/>
    <cellStyle name="Comma 3 6 2 6" xfId="1495"/>
    <cellStyle name="Comma 3 6 3" xfId="510"/>
    <cellStyle name="Comma 3 6 3 2" xfId="538"/>
    <cellStyle name="Comma 3 6 3 2 2" xfId="662"/>
    <cellStyle name="Comma 3 6 3 2 2 2" xfId="910"/>
    <cellStyle name="Comma 3 6 3 2 2 2 2" xfId="1414"/>
    <cellStyle name="Comma 3 6 3 2 2 2 2 2" xfId="2416"/>
    <cellStyle name="Comma 3 6 3 2 2 2 3" xfId="1915"/>
    <cellStyle name="Comma 3 6 3 2 2 3" xfId="1166"/>
    <cellStyle name="Comma 3 6 3 2 2 3 2" xfId="2168"/>
    <cellStyle name="Comma 3 6 3 2 2 4" xfId="1667"/>
    <cellStyle name="Comma 3 6 3 2 3" xfId="786"/>
    <cellStyle name="Comma 3 6 3 2 3 2" xfId="1290"/>
    <cellStyle name="Comma 3 6 3 2 3 2 2" xfId="2292"/>
    <cellStyle name="Comma 3 6 3 2 3 3" xfId="1791"/>
    <cellStyle name="Comma 3 6 3 2 4" xfId="1042"/>
    <cellStyle name="Comma 3 6 3 2 4 2" xfId="2044"/>
    <cellStyle name="Comma 3 6 3 2 5" xfId="1543"/>
    <cellStyle name="Comma 3 6 3 3" xfId="634"/>
    <cellStyle name="Comma 3 6 3 3 2" xfId="882"/>
    <cellStyle name="Comma 3 6 3 3 2 2" xfId="1386"/>
    <cellStyle name="Comma 3 6 3 3 2 2 2" xfId="2388"/>
    <cellStyle name="Comma 3 6 3 3 2 3" xfId="1887"/>
    <cellStyle name="Comma 3 6 3 3 3" xfId="1138"/>
    <cellStyle name="Comma 3 6 3 3 3 2" xfId="2140"/>
    <cellStyle name="Comma 3 6 3 3 4" xfId="1639"/>
    <cellStyle name="Comma 3 6 3 4" xfId="758"/>
    <cellStyle name="Comma 3 6 3 4 2" xfId="1262"/>
    <cellStyle name="Comma 3 6 3 4 2 2" xfId="2264"/>
    <cellStyle name="Comma 3 6 3 4 3" xfId="1763"/>
    <cellStyle name="Comma 3 6 3 5" xfId="1014"/>
    <cellStyle name="Comma 3 6 3 5 2" xfId="2016"/>
    <cellStyle name="Comma 3 6 3 6" xfId="1515"/>
    <cellStyle name="Comma 3 6 4" xfId="536"/>
    <cellStyle name="Comma 3 6 4 2" xfId="660"/>
    <cellStyle name="Comma 3 6 4 2 2" xfId="908"/>
    <cellStyle name="Comma 3 6 4 2 2 2" xfId="1412"/>
    <cellStyle name="Comma 3 6 4 2 2 2 2" xfId="2414"/>
    <cellStyle name="Comma 3 6 4 2 2 3" xfId="1913"/>
    <cellStyle name="Comma 3 6 4 2 3" xfId="1164"/>
    <cellStyle name="Comma 3 6 4 2 3 2" xfId="2166"/>
    <cellStyle name="Comma 3 6 4 2 4" xfId="1665"/>
    <cellStyle name="Comma 3 6 4 3" xfId="784"/>
    <cellStyle name="Comma 3 6 4 3 2" xfId="1288"/>
    <cellStyle name="Comma 3 6 4 3 2 2" xfId="2290"/>
    <cellStyle name="Comma 3 6 4 3 3" xfId="1789"/>
    <cellStyle name="Comma 3 6 4 4" xfId="1040"/>
    <cellStyle name="Comma 3 6 4 4 2" xfId="2042"/>
    <cellStyle name="Comma 3 6 4 5" xfId="1541"/>
    <cellStyle name="Comma 3 6 5" xfId="592"/>
    <cellStyle name="Comma 3 6 5 2" xfId="840"/>
    <cellStyle name="Comma 3 6 5 2 2" xfId="1344"/>
    <cellStyle name="Comma 3 6 5 2 2 2" xfId="2346"/>
    <cellStyle name="Comma 3 6 5 2 3" xfId="1845"/>
    <cellStyle name="Comma 3 6 5 3" xfId="1096"/>
    <cellStyle name="Comma 3 6 5 3 2" xfId="2098"/>
    <cellStyle name="Comma 3 6 5 4" xfId="1597"/>
    <cellStyle name="Comma 3 6 6" xfId="716"/>
    <cellStyle name="Comma 3 6 6 2" xfId="1220"/>
    <cellStyle name="Comma 3 6 6 2 2" xfId="2222"/>
    <cellStyle name="Comma 3 6 6 3" xfId="1721"/>
    <cellStyle name="Comma 3 6 7" xfId="972"/>
    <cellStyle name="Comma 3 6 7 2" xfId="1974"/>
    <cellStyle name="Comma 3 6 8" xfId="1473"/>
    <cellStyle name="Comma 3 7" xfId="462"/>
    <cellStyle name="Comma 3 7 2" xfId="492"/>
    <cellStyle name="Comma 3 7 2 2" xfId="540"/>
    <cellStyle name="Comma 3 7 2 2 2" xfId="664"/>
    <cellStyle name="Comma 3 7 2 2 2 2" xfId="912"/>
    <cellStyle name="Comma 3 7 2 2 2 2 2" xfId="1416"/>
    <cellStyle name="Comma 3 7 2 2 2 2 2 2" xfId="2418"/>
    <cellStyle name="Comma 3 7 2 2 2 2 3" xfId="1917"/>
    <cellStyle name="Comma 3 7 2 2 2 3" xfId="1168"/>
    <cellStyle name="Comma 3 7 2 2 2 3 2" xfId="2170"/>
    <cellStyle name="Comma 3 7 2 2 2 4" xfId="1669"/>
    <cellStyle name="Comma 3 7 2 2 3" xfId="788"/>
    <cellStyle name="Comma 3 7 2 2 3 2" xfId="1292"/>
    <cellStyle name="Comma 3 7 2 2 3 2 2" xfId="2294"/>
    <cellStyle name="Comma 3 7 2 2 3 3" xfId="1793"/>
    <cellStyle name="Comma 3 7 2 2 4" xfId="1044"/>
    <cellStyle name="Comma 3 7 2 2 4 2" xfId="2046"/>
    <cellStyle name="Comma 3 7 2 2 5" xfId="1545"/>
    <cellStyle name="Comma 3 7 2 3" xfId="616"/>
    <cellStyle name="Comma 3 7 2 3 2" xfId="864"/>
    <cellStyle name="Comma 3 7 2 3 2 2" xfId="1368"/>
    <cellStyle name="Comma 3 7 2 3 2 2 2" xfId="2370"/>
    <cellStyle name="Comma 3 7 2 3 2 3" xfId="1869"/>
    <cellStyle name="Comma 3 7 2 3 3" xfId="1120"/>
    <cellStyle name="Comma 3 7 2 3 3 2" xfId="2122"/>
    <cellStyle name="Comma 3 7 2 3 4" xfId="1621"/>
    <cellStyle name="Comma 3 7 2 4" xfId="740"/>
    <cellStyle name="Comma 3 7 2 4 2" xfId="1244"/>
    <cellStyle name="Comma 3 7 2 4 2 2" xfId="2246"/>
    <cellStyle name="Comma 3 7 2 4 3" xfId="1745"/>
    <cellStyle name="Comma 3 7 2 5" xfId="996"/>
    <cellStyle name="Comma 3 7 2 5 2" xfId="1998"/>
    <cellStyle name="Comma 3 7 2 6" xfId="1497"/>
    <cellStyle name="Comma 3 7 3" xfId="512"/>
    <cellStyle name="Comma 3 7 3 2" xfId="541"/>
    <cellStyle name="Comma 3 7 3 2 2" xfId="665"/>
    <cellStyle name="Comma 3 7 3 2 2 2" xfId="913"/>
    <cellStyle name="Comma 3 7 3 2 2 2 2" xfId="1417"/>
    <cellStyle name="Comma 3 7 3 2 2 2 2 2" xfId="2419"/>
    <cellStyle name="Comma 3 7 3 2 2 2 3" xfId="1918"/>
    <cellStyle name="Comma 3 7 3 2 2 3" xfId="1169"/>
    <cellStyle name="Comma 3 7 3 2 2 3 2" xfId="2171"/>
    <cellStyle name="Comma 3 7 3 2 2 4" xfId="1670"/>
    <cellStyle name="Comma 3 7 3 2 3" xfId="789"/>
    <cellStyle name="Comma 3 7 3 2 3 2" xfId="1293"/>
    <cellStyle name="Comma 3 7 3 2 3 2 2" xfId="2295"/>
    <cellStyle name="Comma 3 7 3 2 3 3" xfId="1794"/>
    <cellStyle name="Comma 3 7 3 2 4" xfId="1045"/>
    <cellStyle name="Comma 3 7 3 2 4 2" xfId="2047"/>
    <cellStyle name="Comma 3 7 3 2 5" xfId="1546"/>
    <cellStyle name="Comma 3 7 3 3" xfId="636"/>
    <cellStyle name="Comma 3 7 3 3 2" xfId="884"/>
    <cellStyle name="Comma 3 7 3 3 2 2" xfId="1388"/>
    <cellStyle name="Comma 3 7 3 3 2 2 2" xfId="2390"/>
    <cellStyle name="Comma 3 7 3 3 2 3" xfId="1889"/>
    <cellStyle name="Comma 3 7 3 3 3" xfId="1140"/>
    <cellStyle name="Comma 3 7 3 3 3 2" xfId="2142"/>
    <cellStyle name="Comma 3 7 3 3 4" xfId="1641"/>
    <cellStyle name="Comma 3 7 3 4" xfId="760"/>
    <cellStyle name="Comma 3 7 3 4 2" xfId="1264"/>
    <cellStyle name="Comma 3 7 3 4 2 2" xfId="2266"/>
    <cellStyle name="Comma 3 7 3 4 3" xfId="1765"/>
    <cellStyle name="Comma 3 7 3 5" xfId="1016"/>
    <cellStyle name="Comma 3 7 3 5 2" xfId="2018"/>
    <cellStyle name="Comma 3 7 3 6" xfId="1517"/>
    <cellStyle name="Comma 3 7 4" xfId="539"/>
    <cellStyle name="Comma 3 7 4 2" xfId="663"/>
    <cellStyle name="Comma 3 7 4 2 2" xfId="911"/>
    <cellStyle name="Comma 3 7 4 2 2 2" xfId="1415"/>
    <cellStyle name="Comma 3 7 4 2 2 2 2" xfId="2417"/>
    <cellStyle name="Comma 3 7 4 2 2 3" xfId="1916"/>
    <cellStyle name="Comma 3 7 4 2 3" xfId="1167"/>
    <cellStyle name="Comma 3 7 4 2 3 2" xfId="2169"/>
    <cellStyle name="Comma 3 7 4 2 4" xfId="1668"/>
    <cellStyle name="Comma 3 7 4 3" xfId="787"/>
    <cellStyle name="Comma 3 7 4 3 2" xfId="1291"/>
    <cellStyle name="Comma 3 7 4 3 2 2" xfId="2293"/>
    <cellStyle name="Comma 3 7 4 3 3" xfId="1792"/>
    <cellStyle name="Comma 3 7 4 4" xfId="1043"/>
    <cellStyle name="Comma 3 7 4 4 2" xfId="2045"/>
    <cellStyle name="Comma 3 7 4 5" xfId="1544"/>
    <cellStyle name="Comma 3 7 5" xfId="594"/>
    <cellStyle name="Comma 3 7 5 2" xfId="842"/>
    <cellStyle name="Comma 3 7 5 2 2" xfId="1346"/>
    <cellStyle name="Comma 3 7 5 2 2 2" xfId="2348"/>
    <cellStyle name="Comma 3 7 5 2 3" xfId="1847"/>
    <cellStyle name="Comma 3 7 5 3" xfId="1098"/>
    <cellStyle name="Comma 3 7 5 3 2" xfId="2100"/>
    <cellStyle name="Comma 3 7 5 4" xfId="1599"/>
    <cellStyle name="Comma 3 7 6" xfId="718"/>
    <cellStyle name="Comma 3 7 6 2" xfId="1222"/>
    <cellStyle name="Comma 3 7 6 2 2" xfId="2224"/>
    <cellStyle name="Comma 3 7 6 3" xfId="1723"/>
    <cellStyle name="Comma 3 7 7" xfId="974"/>
    <cellStyle name="Comma 3 7 7 2" xfId="1976"/>
    <cellStyle name="Comma 3 7 8" xfId="1475"/>
    <cellStyle name="Comma 3 8" xfId="464"/>
    <cellStyle name="Comma 3 8 2" xfId="494"/>
    <cellStyle name="Comma 3 8 2 2" xfId="543"/>
    <cellStyle name="Comma 3 8 2 2 2" xfId="667"/>
    <cellStyle name="Comma 3 8 2 2 2 2" xfId="915"/>
    <cellStyle name="Comma 3 8 2 2 2 2 2" xfId="1419"/>
    <cellStyle name="Comma 3 8 2 2 2 2 2 2" xfId="2421"/>
    <cellStyle name="Comma 3 8 2 2 2 2 3" xfId="1920"/>
    <cellStyle name="Comma 3 8 2 2 2 3" xfId="1171"/>
    <cellStyle name="Comma 3 8 2 2 2 3 2" xfId="2173"/>
    <cellStyle name="Comma 3 8 2 2 2 4" xfId="1672"/>
    <cellStyle name="Comma 3 8 2 2 3" xfId="791"/>
    <cellStyle name="Comma 3 8 2 2 3 2" xfId="1295"/>
    <cellStyle name="Comma 3 8 2 2 3 2 2" xfId="2297"/>
    <cellStyle name="Comma 3 8 2 2 3 3" xfId="1796"/>
    <cellStyle name="Comma 3 8 2 2 4" xfId="1047"/>
    <cellStyle name="Comma 3 8 2 2 4 2" xfId="2049"/>
    <cellStyle name="Comma 3 8 2 2 5" xfId="1548"/>
    <cellStyle name="Comma 3 8 2 3" xfId="618"/>
    <cellStyle name="Comma 3 8 2 3 2" xfId="866"/>
    <cellStyle name="Comma 3 8 2 3 2 2" xfId="1370"/>
    <cellStyle name="Comma 3 8 2 3 2 2 2" xfId="2372"/>
    <cellStyle name="Comma 3 8 2 3 2 3" xfId="1871"/>
    <cellStyle name="Comma 3 8 2 3 3" xfId="1122"/>
    <cellStyle name="Comma 3 8 2 3 3 2" xfId="2124"/>
    <cellStyle name="Comma 3 8 2 3 4" xfId="1623"/>
    <cellStyle name="Comma 3 8 2 4" xfId="742"/>
    <cellStyle name="Comma 3 8 2 4 2" xfId="1246"/>
    <cellStyle name="Comma 3 8 2 4 2 2" xfId="2248"/>
    <cellStyle name="Comma 3 8 2 4 3" xfId="1747"/>
    <cellStyle name="Comma 3 8 2 5" xfId="998"/>
    <cellStyle name="Comma 3 8 2 5 2" xfId="2000"/>
    <cellStyle name="Comma 3 8 2 6" xfId="1499"/>
    <cellStyle name="Comma 3 8 3" xfId="514"/>
    <cellStyle name="Comma 3 8 3 2" xfId="544"/>
    <cellStyle name="Comma 3 8 3 2 2" xfId="668"/>
    <cellStyle name="Comma 3 8 3 2 2 2" xfId="916"/>
    <cellStyle name="Comma 3 8 3 2 2 2 2" xfId="1420"/>
    <cellStyle name="Comma 3 8 3 2 2 2 2 2" xfId="2422"/>
    <cellStyle name="Comma 3 8 3 2 2 2 3" xfId="1921"/>
    <cellStyle name="Comma 3 8 3 2 2 3" xfId="1172"/>
    <cellStyle name="Comma 3 8 3 2 2 3 2" xfId="2174"/>
    <cellStyle name="Comma 3 8 3 2 2 4" xfId="1673"/>
    <cellStyle name="Comma 3 8 3 2 3" xfId="792"/>
    <cellStyle name="Comma 3 8 3 2 3 2" xfId="1296"/>
    <cellStyle name="Comma 3 8 3 2 3 2 2" xfId="2298"/>
    <cellStyle name="Comma 3 8 3 2 3 3" xfId="1797"/>
    <cellStyle name="Comma 3 8 3 2 4" xfId="1048"/>
    <cellStyle name="Comma 3 8 3 2 4 2" xfId="2050"/>
    <cellStyle name="Comma 3 8 3 2 5" xfId="1549"/>
    <cellStyle name="Comma 3 8 3 3" xfId="638"/>
    <cellStyle name="Comma 3 8 3 3 2" xfId="886"/>
    <cellStyle name="Comma 3 8 3 3 2 2" xfId="1390"/>
    <cellStyle name="Comma 3 8 3 3 2 2 2" xfId="2392"/>
    <cellStyle name="Comma 3 8 3 3 2 3" xfId="1891"/>
    <cellStyle name="Comma 3 8 3 3 3" xfId="1142"/>
    <cellStyle name="Comma 3 8 3 3 3 2" xfId="2144"/>
    <cellStyle name="Comma 3 8 3 3 4" xfId="1643"/>
    <cellStyle name="Comma 3 8 3 4" xfId="762"/>
    <cellStyle name="Comma 3 8 3 4 2" xfId="1266"/>
    <cellStyle name="Comma 3 8 3 4 2 2" xfId="2268"/>
    <cellStyle name="Comma 3 8 3 4 3" xfId="1767"/>
    <cellStyle name="Comma 3 8 3 5" xfId="1018"/>
    <cellStyle name="Comma 3 8 3 5 2" xfId="2020"/>
    <cellStyle name="Comma 3 8 3 6" xfId="1519"/>
    <cellStyle name="Comma 3 8 4" xfId="542"/>
    <cellStyle name="Comma 3 8 4 2" xfId="666"/>
    <cellStyle name="Comma 3 8 4 2 2" xfId="914"/>
    <cellStyle name="Comma 3 8 4 2 2 2" xfId="1418"/>
    <cellStyle name="Comma 3 8 4 2 2 2 2" xfId="2420"/>
    <cellStyle name="Comma 3 8 4 2 2 3" xfId="1919"/>
    <cellStyle name="Comma 3 8 4 2 3" xfId="1170"/>
    <cellStyle name="Comma 3 8 4 2 3 2" xfId="2172"/>
    <cellStyle name="Comma 3 8 4 2 4" xfId="1671"/>
    <cellStyle name="Comma 3 8 4 3" xfId="790"/>
    <cellStyle name="Comma 3 8 4 3 2" xfId="1294"/>
    <cellStyle name="Comma 3 8 4 3 2 2" xfId="2296"/>
    <cellStyle name="Comma 3 8 4 3 3" xfId="1795"/>
    <cellStyle name="Comma 3 8 4 4" xfId="1046"/>
    <cellStyle name="Comma 3 8 4 4 2" xfId="2048"/>
    <cellStyle name="Comma 3 8 4 5" xfId="1547"/>
    <cellStyle name="Comma 3 8 5" xfId="596"/>
    <cellStyle name="Comma 3 8 5 2" xfId="844"/>
    <cellStyle name="Comma 3 8 5 2 2" xfId="1348"/>
    <cellStyle name="Comma 3 8 5 2 2 2" xfId="2350"/>
    <cellStyle name="Comma 3 8 5 2 3" xfId="1849"/>
    <cellStyle name="Comma 3 8 5 3" xfId="1100"/>
    <cellStyle name="Comma 3 8 5 3 2" xfId="2102"/>
    <cellStyle name="Comma 3 8 5 4" xfId="1601"/>
    <cellStyle name="Comma 3 8 6" xfId="720"/>
    <cellStyle name="Comma 3 8 6 2" xfId="1224"/>
    <cellStyle name="Comma 3 8 6 2 2" xfId="2226"/>
    <cellStyle name="Comma 3 8 6 3" xfId="1725"/>
    <cellStyle name="Comma 3 8 7" xfId="976"/>
    <cellStyle name="Comma 3 8 7 2" xfId="1978"/>
    <cellStyle name="Comma 3 8 8" xfId="1477"/>
    <cellStyle name="Comma 3 9" xfId="466"/>
    <cellStyle name="Comma 3 9 2" xfId="496"/>
    <cellStyle name="Comma 3 9 2 2" xfId="546"/>
    <cellStyle name="Comma 3 9 2 2 2" xfId="670"/>
    <cellStyle name="Comma 3 9 2 2 2 2" xfId="918"/>
    <cellStyle name="Comma 3 9 2 2 2 2 2" xfId="1422"/>
    <cellStyle name="Comma 3 9 2 2 2 2 2 2" xfId="2424"/>
    <cellStyle name="Comma 3 9 2 2 2 2 3" xfId="1923"/>
    <cellStyle name="Comma 3 9 2 2 2 3" xfId="1174"/>
    <cellStyle name="Comma 3 9 2 2 2 3 2" xfId="2176"/>
    <cellStyle name="Comma 3 9 2 2 2 4" xfId="1675"/>
    <cellStyle name="Comma 3 9 2 2 3" xfId="794"/>
    <cellStyle name="Comma 3 9 2 2 3 2" xfId="1298"/>
    <cellStyle name="Comma 3 9 2 2 3 2 2" xfId="2300"/>
    <cellStyle name="Comma 3 9 2 2 3 3" xfId="1799"/>
    <cellStyle name="Comma 3 9 2 2 4" xfId="1050"/>
    <cellStyle name="Comma 3 9 2 2 4 2" xfId="2052"/>
    <cellStyle name="Comma 3 9 2 2 5" xfId="1551"/>
    <cellStyle name="Comma 3 9 2 3" xfId="620"/>
    <cellStyle name="Comma 3 9 2 3 2" xfId="868"/>
    <cellStyle name="Comma 3 9 2 3 2 2" xfId="1372"/>
    <cellStyle name="Comma 3 9 2 3 2 2 2" xfId="2374"/>
    <cellStyle name="Comma 3 9 2 3 2 3" xfId="1873"/>
    <cellStyle name="Comma 3 9 2 3 3" xfId="1124"/>
    <cellStyle name="Comma 3 9 2 3 3 2" xfId="2126"/>
    <cellStyle name="Comma 3 9 2 3 4" xfId="1625"/>
    <cellStyle name="Comma 3 9 2 4" xfId="744"/>
    <cellStyle name="Comma 3 9 2 4 2" xfId="1248"/>
    <cellStyle name="Comma 3 9 2 4 2 2" xfId="2250"/>
    <cellStyle name="Comma 3 9 2 4 3" xfId="1749"/>
    <cellStyle name="Comma 3 9 2 5" xfId="1000"/>
    <cellStyle name="Comma 3 9 2 5 2" xfId="2002"/>
    <cellStyle name="Comma 3 9 2 6" xfId="1501"/>
    <cellStyle name="Comma 3 9 3" xfId="516"/>
    <cellStyle name="Comma 3 9 3 2" xfId="547"/>
    <cellStyle name="Comma 3 9 3 2 2" xfId="671"/>
    <cellStyle name="Comma 3 9 3 2 2 2" xfId="919"/>
    <cellStyle name="Comma 3 9 3 2 2 2 2" xfId="1423"/>
    <cellStyle name="Comma 3 9 3 2 2 2 2 2" xfId="2425"/>
    <cellStyle name="Comma 3 9 3 2 2 2 3" xfId="1924"/>
    <cellStyle name="Comma 3 9 3 2 2 3" xfId="1175"/>
    <cellStyle name="Comma 3 9 3 2 2 3 2" xfId="2177"/>
    <cellStyle name="Comma 3 9 3 2 2 4" xfId="1676"/>
    <cellStyle name="Comma 3 9 3 2 3" xfId="795"/>
    <cellStyle name="Comma 3 9 3 2 3 2" xfId="1299"/>
    <cellStyle name="Comma 3 9 3 2 3 2 2" xfId="2301"/>
    <cellStyle name="Comma 3 9 3 2 3 3" xfId="1800"/>
    <cellStyle name="Comma 3 9 3 2 4" xfId="1051"/>
    <cellStyle name="Comma 3 9 3 2 4 2" xfId="2053"/>
    <cellStyle name="Comma 3 9 3 2 5" xfId="1552"/>
    <cellStyle name="Comma 3 9 3 3" xfId="640"/>
    <cellStyle name="Comma 3 9 3 3 2" xfId="888"/>
    <cellStyle name="Comma 3 9 3 3 2 2" xfId="1392"/>
    <cellStyle name="Comma 3 9 3 3 2 2 2" xfId="2394"/>
    <cellStyle name="Comma 3 9 3 3 2 3" xfId="1893"/>
    <cellStyle name="Comma 3 9 3 3 3" xfId="1144"/>
    <cellStyle name="Comma 3 9 3 3 3 2" xfId="2146"/>
    <cellStyle name="Comma 3 9 3 3 4" xfId="1645"/>
    <cellStyle name="Comma 3 9 3 4" xfId="764"/>
    <cellStyle name="Comma 3 9 3 4 2" xfId="1268"/>
    <cellStyle name="Comma 3 9 3 4 2 2" xfId="2270"/>
    <cellStyle name="Comma 3 9 3 4 3" xfId="1769"/>
    <cellStyle name="Comma 3 9 3 5" xfId="1020"/>
    <cellStyle name="Comma 3 9 3 5 2" xfId="2022"/>
    <cellStyle name="Comma 3 9 3 6" xfId="1521"/>
    <cellStyle name="Comma 3 9 4" xfId="545"/>
    <cellStyle name="Comma 3 9 4 2" xfId="669"/>
    <cellStyle name="Comma 3 9 4 2 2" xfId="917"/>
    <cellStyle name="Comma 3 9 4 2 2 2" xfId="1421"/>
    <cellStyle name="Comma 3 9 4 2 2 2 2" xfId="2423"/>
    <cellStyle name="Comma 3 9 4 2 2 3" xfId="1922"/>
    <cellStyle name="Comma 3 9 4 2 3" xfId="1173"/>
    <cellStyle name="Comma 3 9 4 2 3 2" xfId="2175"/>
    <cellStyle name="Comma 3 9 4 2 4" xfId="1674"/>
    <cellStyle name="Comma 3 9 4 3" xfId="793"/>
    <cellStyle name="Comma 3 9 4 3 2" xfId="1297"/>
    <cellStyle name="Comma 3 9 4 3 2 2" xfId="2299"/>
    <cellStyle name="Comma 3 9 4 3 3" xfId="1798"/>
    <cellStyle name="Comma 3 9 4 4" xfId="1049"/>
    <cellStyle name="Comma 3 9 4 4 2" xfId="2051"/>
    <cellStyle name="Comma 3 9 4 5" xfId="1550"/>
    <cellStyle name="Comma 3 9 5" xfId="598"/>
    <cellStyle name="Comma 3 9 5 2" xfId="846"/>
    <cellStyle name="Comma 3 9 5 2 2" xfId="1350"/>
    <cellStyle name="Comma 3 9 5 2 2 2" xfId="2352"/>
    <cellStyle name="Comma 3 9 5 2 3" xfId="1851"/>
    <cellStyle name="Comma 3 9 5 3" xfId="1102"/>
    <cellStyle name="Comma 3 9 5 3 2" xfId="2104"/>
    <cellStyle name="Comma 3 9 5 4" xfId="1603"/>
    <cellStyle name="Comma 3 9 6" xfId="722"/>
    <cellStyle name="Comma 3 9 6 2" xfId="1226"/>
    <cellStyle name="Comma 3 9 6 2 2" xfId="2228"/>
    <cellStyle name="Comma 3 9 6 3" xfId="1727"/>
    <cellStyle name="Comma 3 9 7" xfId="978"/>
    <cellStyle name="Comma 3 9 7 2" xfId="1980"/>
    <cellStyle name="Comma 3 9 8" xfId="1479"/>
    <cellStyle name="Comma 4" xfId="201"/>
    <cellStyle name="Comma 4 2" xfId="6"/>
    <cellStyle name="Comma 4 3" xfId="202"/>
    <cellStyle name="Comma 5" xfId="203"/>
    <cellStyle name="Comma 6" xfId="204"/>
    <cellStyle name="Comma 6 2" xfId="205"/>
    <cellStyle name="Comma 7" xfId="206"/>
    <cellStyle name="Comma 7 2" xfId="207"/>
    <cellStyle name="Comma 8" xfId="208"/>
    <cellStyle name="Comma 8 2" xfId="209"/>
    <cellStyle name="Comma 9" xfId="210"/>
    <cellStyle name="CommaBlank" xfId="211"/>
    <cellStyle name="CommaBlank 2" xfId="212"/>
    <cellStyle name="Currency" xfId="457" builtinId="4"/>
    <cellStyle name="Currency 10" xfId="213"/>
    <cellStyle name="Currency 10 2" xfId="476"/>
    <cellStyle name="Currency 10 2 2" xfId="549"/>
    <cellStyle name="Currency 10 2 2 2" xfId="673"/>
    <cellStyle name="Currency 10 2 2 2 2" xfId="921"/>
    <cellStyle name="Currency 10 2 2 2 2 2" xfId="1425"/>
    <cellStyle name="Currency 10 2 2 2 2 2 2" xfId="2427"/>
    <cellStyle name="Currency 10 2 2 2 2 3" xfId="1926"/>
    <cellStyle name="Currency 10 2 2 2 3" xfId="1177"/>
    <cellStyle name="Currency 10 2 2 2 3 2" xfId="2179"/>
    <cellStyle name="Currency 10 2 2 2 4" xfId="1678"/>
    <cellStyle name="Currency 10 2 2 3" xfId="797"/>
    <cellStyle name="Currency 10 2 2 3 2" xfId="1301"/>
    <cellStyle name="Currency 10 2 2 3 2 2" xfId="2303"/>
    <cellStyle name="Currency 10 2 2 3 3" xfId="1802"/>
    <cellStyle name="Currency 10 2 2 4" xfId="1053"/>
    <cellStyle name="Currency 10 2 2 4 2" xfId="2055"/>
    <cellStyle name="Currency 10 2 2 5" xfId="1554"/>
    <cellStyle name="Currency 10 2 3" xfId="606"/>
    <cellStyle name="Currency 10 2 3 2" xfId="854"/>
    <cellStyle name="Currency 10 2 3 2 2" xfId="1358"/>
    <cellStyle name="Currency 10 2 3 2 2 2" xfId="2360"/>
    <cellStyle name="Currency 10 2 3 2 3" xfId="1859"/>
    <cellStyle name="Currency 10 2 3 3" xfId="1110"/>
    <cellStyle name="Currency 10 2 3 3 2" xfId="2112"/>
    <cellStyle name="Currency 10 2 3 4" xfId="1611"/>
    <cellStyle name="Currency 10 2 4" xfId="730"/>
    <cellStyle name="Currency 10 2 4 2" xfId="1234"/>
    <cellStyle name="Currency 10 2 4 2 2" xfId="2236"/>
    <cellStyle name="Currency 10 2 4 3" xfId="1735"/>
    <cellStyle name="Currency 10 2 5" xfId="986"/>
    <cellStyle name="Currency 10 2 5 2" xfId="1988"/>
    <cellStyle name="Currency 10 2 6" xfId="1487"/>
    <cellStyle name="Currency 10 3" xfId="502"/>
    <cellStyle name="Currency 10 3 2" xfId="550"/>
    <cellStyle name="Currency 10 3 2 2" xfId="674"/>
    <cellStyle name="Currency 10 3 2 2 2" xfId="922"/>
    <cellStyle name="Currency 10 3 2 2 2 2" xfId="1426"/>
    <cellStyle name="Currency 10 3 2 2 2 2 2" xfId="2428"/>
    <cellStyle name="Currency 10 3 2 2 2 3" xfId="1927"/>
    <cellStyle name="Currency 10 3 2 2 3" xfId="1178"/>
    <cellStyle name="Currency 10 3 2 2 3 2" xfId="2180"/>
    <cellStyle name="Currency 10 3 2 2 4" xfId="1679"/>
    <cellStyle name="Currency 10 3 2 3" xfId="798"/>
    <cellStyle name="Currency 10 3 2 3 2" xfId="1302"/>
    <cellStyle name="Currency 10 3 2 3 2 2" xfId="2304"/>
    <cellStyle name="Currency 10 3 2 3 3" xfId="1803"/>
    <cellStyle name="Currency 10 3 2 4" xfId="1054"/>
    <cellStyle name="Currency 10 3 2 4 2" xfId="2056"/>
    <cellStyle name="Currency 10 3 2 5" xfId="1555"/>
    <cellStyle name="Currency 10 3 3" xfId="626"/>
    <cellStyle name="Currency 10 3 3 2" xfId="874"/>
    <cellStyle name="Currency 10 3 3 2 2" xfId="1378"/>
    <cellStyle name="Currency 10 3 3 2 2 2" xfId="2380"/>
    <cellStyle name="Currency 10 3 3 2 3" xfId="1879"/>
    <cellStyle name="Currency 10 3 3 3" xfId="1130"/>
    <cellStyle name="Currency 10 3 3 3 2" xfId="2132"/>
    <cellStyle name="Currency 10 3 3 4" xfId="1631"/>
    <cellStyle name="Currency 10 3 4" xfId="750"/>
    <cellStyle name="Currency 10 3 4 2" xfId="1254"/>
    <cellStyle name="Currency 10 3 4 2 2" xfId="2256"/>
    <cellStyle name="Currency 10 3 4 3" xfId="1755"/>
    <cellStyle name="Currency 10 3 5" xfId="1006"/>
    <cellStyle name="Currency 10 3 5 2" xfId="2008"/>
    <cellStyle name="Currency 10 3 6" xfId="1507"/>
    <cellStyle name="Currency 10 4" xfId="548"/>
    <cellStyle name="Currency 10 4 2" xfId="672"/>
    <cellStyle name="Currency 10 4 2 2" xfId="920"/>
    <cellStyle name="Currency 10 4 2 2 2" xfId="1424"/>
    <cellStyle name="Currency 10 4 2 2 2 2" xfId="2426"/>
    <cellStyle name="Currency 10 4 2 2 3" xfId="1925"/>
    <cellStyle name="Currency 10 4 2 3" xfId="1176"/>
    <cellStyle name="Currency 10 4 2 3 2" xfId="2178"/>
    <cellStyle name="Currency 10 4 2 4" xfId="1677"/>
    <cellStyle name="Currency 10 4 3" xfId="796"/>
    <cellStyle name="Currency 10 4 3 2" xfId="1300"/>
    <cellStyle name="Currency 10 4 3 2 2" xfId="2302"/>
    <cellStyle name="Currency 10 4 3 3" xfId="1801"/>
    <cellStyle name="Currency 10 4 4" xfId="1052"/>
    <cellStyle name="Currency 10 4 4 2" xfId="2054"/>
    <cellStyle name="Currency 10 4 5" xfId="1553"/>
    <cellStyle name="Currency 10 5" xfId="584"/>
    <cellStyle name="Currency 10 5 2" xfId="832"/>
    <cellStyle name="Currency 10 5 2 2" xfId="1336"/>
    <cellStyle name="Currency 10 5 2 2 2" xfId="2338"/>
    <cellStyle name="Currency 10 5 2 3" xfId="1837"/>
    <cellStyle name="Currency 10 5 3" xfId="1088"/>
    <cellStyle name="Currency 10 5 3 2" xfId="2090"/>
    <cellStyle name="Currency 10 5 4" xfId="1589"/>
    <cellStyle name="Currency 10 6" xfId="708"/>
    <cellStyle name="Currency 10 6 2" xfId="1212"/>
    <cellStyle name="Currency 10 6 2 2" xfId="2214"/>
    <cellStyle name="Currency 10 6 3" xfId="1713"/>
    <cellStyle name="Currency 10 7" xfId="964"/>
    <cellStyle name="Currency 10 7 2" xfId="1966"/>
    <cellStyle name="Currency 10 8" xfId="1465"/>
    <cellStyle name="Currency 2" xfId="214"/>
    <cellStyle name="Currency 2 2" xfId="215"/>
    <cellStyle name="Currency 2 3" xfId="450"/>
    <cellStyle name="Currency 3" xfId="216"/>
    <cellStyle name="Currency 3 2" xfId="217"/>
    <cellStyle name="Currency 3 3" xfId="218"/>
    <cellStyle name="Currency 3 4" xfId="219"/>
    <cellStyle name="Currency 3 5" xfId="477"/>
    <cellStyle name="Currency 4" xfId="220"/>
    <cellStyle name="Currency 4 2" xfId="221"/>
    <cellStyle name="Currency 4 3" xfId="222"/>
    <cellStyle name="Currency 4 4" xfId="223"/>
    <cellStyle name="Currency 5" xfId="224"/>
    <cellStyle name="Currency 6" xfId="225"/>
    <cellStyle name="Currency 7" xfId="226"/>
    <cellStyle name="Currency 8" xfId="227"/>
    <cellStyle name="Currency 9" xfId="228"/>
    <cellStyle name="Explanatory Text 2" xfId="229"/>
    <cellStyle name="Explanatory Text 3" xfId="230"/>
    <cellStyle name="Explanatory Text 4" xfId="231"/>
    <cellStyle name="Explanatory Text 5" xfId="232"/>
    <cellStyle name="Explanatory Text 6" xfId="233"/>
    <cellStyle name="Good 2" xfId="234"/>
    <cellStyle name="Good 3" xfId="235"/>
    <cellStyle name="Good 4" xfId="236"/>
    <cellStyle name="Good 5" xfId="237"/>
    <cellStyle name="Good 6" xfId="238"/>
    <cellStyle name="Heading 1 2" xfId="239"/>
    <cellStyle name="Heading 1 3" xfId="240"/>
    <cellStyle name="Heading 1 4" xfId="241"/>
    <cellStyle name="Heading 1 5" xfId="242"/>
    <cellStyle name="Heading 1 6" xfId="243"/>
    <cellStyle name="Heading 1 7" xfId="244"/>
    <cellStyle name="Heading 1 8" xfId="245"/>
    <cellStyle name="Heading 2 2" xfId="246"/>
    <cellStyle name="Heading 2 3" xfId="247"/>
    <cellStyle name="Heading 2 4" xfId="248"/>
    <cellStyle name="Heading 2 5" xfId="249"/>
    <cellStyle name="Heading 2 6" xfId="250"/>
    <cellStyle name="Heading 2 7" xfId="251"/>
    <cellStyle name="Heading 2 8" xfId="252"/>
    <cellStyle name="Heading 3 2" xfId="253"/>
    <cellStyle name="Heading 3 3" xfId="254"/>
    <cellStyle name="Heading 3 4" xfId="255"/>
    <cellStyle name="Heading 3 5" xfId="256"/>
    <cellStyle name="Heading 3 6" xfId="257"/>
    <cellStyle name="Heading 3 7" xfId="258"/>
    <cellStyle name="Heading 3 8" xfId="259"/>
    <cellStyle name="Heading 4 2" xfId="260"/>
    <cellStyle name="Heading 4 3" xfId="261"/>
    <cellStyle name="Heading 4 4" xfId="262"/>
    <cellStyle name="Heading 4 5" xfId="263"/>
    <cellStyle name="Heading 4 6" xfId="264"/>
    <cellStyle name="Heading 4 7" xfId="265"/>
    <cellStyle name="Heading 4 8" xfId="266"/>
    <cellStyle name="Input 2" xfId="267"/>
    <cellStyle name="Input 3" xfId="268"/>
    <cellStyle name="Input 4" xfId="269"/>
    <cellStyle name="Input 5" xfId="270"/>
    <cellStyle name="Input 6" xfId="271"/>
    <cellStyle name="kirkdollars" xfId="272"/>
    <cellStyle name="Lines" xfId="959"/>
    <cellStyle name="Linked Cell 2" xfId="273"/>
    <cellStyle name="Linked Cell 3" xfId="274"/>
    <cellStyle name="Linked Cell 4" xfId="275"/>
    <cellStyle name="Linked Cell 5" xfId="276"/>
    <cellStyle name="Linked Cell 6" xfId="277"/>
    <cellStyle name="Neutral 2" xfId="278"/>
    <cellStyle name="Neutral 3" xfId="279"/>
    <cellStyle name="Neutral 4" xfId="280"/>
    <cellStyle name="Neutral 5" xfId="281"/>
    <cellStyle name="Neutral 6" xfId="282"/>
    <cellStyle name="Normal" xfId="0" builtinId="0"/>
    <cellStyle name="Normal 10" xfId="283"/>
    <cellStyle name="Normal 102" xfId="2465"/>
    <cellStyle name="Normal 11" xfId="284"/>
    <cellStyle name="Normal 12" xfId="285"/>
    <cellStyle name="Normal 13" xfId="286"/>
    <cellStyle name="Normal 132" xfId="961"/>
    <cellStyle name="Normal 14" xfId="287"/>
    <cellStyle name="Normal 15" xfId="288"/>
    <cellStyle name="Normal 15 2" xfId="478"/>
    <cellStyle name="Normal 15 2 2" xfId="552"/>
    <cellStyle name="Normal 15 2 2 2" xfId="676"/>
    <cellStyle name="Normal 15 2 2 2 2" xfId="924"/>
    <cellStyle name="Normal 15 2 2 2 2 2" xfId="1428"/>
    <cellStyle name="Normal 15 2 2 2 2 2 2" xfId="2430"/>
    <cellStyle name="Normal 15 2 2 2 2 3" xfId="1929"/>
    <cellStyle name="Normal 15 2 2 2 3" xfId="1180"/>
    <cellStyle name="Normal 15 2 2 2 3 2" xfId="2182"/>
    <cellStyle name="Normal 15 2 2 2 4" xfId="1681"/>
    <cellStyle name="Normal 15 2 2 3" xfId="800"/>
    <cellStyle name="Normal 15 2 2 3 2" xfId="1304"/>
    <cellStyle name="Normal 15 2 2 3 2 2" xfId="2306"/>
    <cellStyle name="Normal 15 2 2 3 3" xfId="1805"/>
    <cellStyle name="Normal 15 2 2 4" xfId="1056"/>
    <cellStyle name="Normal 15 2 2 4 2" xfId="2058"/>
    <cellStyle name="Normal 15 2 2 5" xfId="1557"/>
    <cellStyle name="Normal 15 2 3" xfId="607"/>
    <cellStyle name="Normal 15 2 3 2" xfId="855"/>
    <cellStyle name="Normal 15 2 3 2 2" xfId="1359"/>
    <cellStyle name="Normal 15 2 3 2 2 2" xfId="2361"/>
    <cellStyle name="Normal 15 2 3 2 3" xfId="1860"/>
    <cellStyle name="Normal 15 2 3 3" xfId="1111"/>
    <cellStyle name="Normal 15 2 3 3 2" xfId="2113"/>
    <cellStyle name="Normal 15 2 3 4" xfId="1612"/>
    <cellStyle name="Normal 15 2 4" xfId="731"/>
    <cellStyle name="Normal 15 2 4 2" xfId="1235"/>
    <cellStyle name="Normal 15 2 4 2 2" xfId="2237"/>
    <cellStyle name="Normal 15 2 4 3" xfId="1736"/>
    <cellStyle name="Normal 15 2 5" xfId="987"/>
    <cellStyle name="Normal 15 2 5 2" xfId="1989"/>
    <cellStyle name="Normal 15 2 6" xfId="1488"/>
    <cellStyle name="Normal 15 3" xfId="503"/>
    <cellStyle name="Normal 15 3 2" xfId="553"/>
    <cellStyle name="Normal 15 3 2 2" xfId="677"/>
    <cellStyle name="Normal 15 3 2 2 2" xfId="925"/>
    <cellStyle name="Normal 15 3 2 2 2 2" xfId="1429"/>
    <cellStyle name="Normal 15 3 2 2 2 2 2" xfId="2431"/>
    <cellStyle name="Normal 15 3 2 2 2 3" xfId="1930"/>
    <cellStyle name="Normal 15 3 2 2 3" xfId="1181"/>
    <cellStyle name="Normal 15 3 2 2 3 2" xfId="2183"/>
    <cellStyle name="Normal 15 3 2 2 4" xfId="1682"/>
    <cellStyle name="Normal 15 3 2 3" xfId="801"/>
    <cellStyle name="Normal 15 3 2 3 2" xfId="1305"/>
    <cellStyle name="Normal 15 3 2 3 2 2" xfId="2307"/>
    <cellStyle name="Normal 15 3 2 3 3" xfId="1806"/>
    <cellStyle name="Normal 15 3 2 4" xfId="1057"/>
    <cellStyle name="Normal 15 3 2 4 2" xfId="2059"/>
    <cellStyle name="Normal 15 3 2 5" xfId="1558"/>
    <cellStyle name="Normal 15 3 3" xfId="627"/>
    <cellStyle name="Normal 15 3 3 2" xfId="875"/>
    <cellStyle name="Normal 15 3 3 2 2" xfId="1379"/>
    <cellStyle name="Normal 15 3 3 2 2 2" xfId="2381"/>
    <cellStyle name="Normal 15 3 3 2 3" xfId="1880"/>
    <cellStyle name="Normal 15 3 3 3" xfId="1131"/>
    <cellStyle name="Normal 15 3 3 3 2" xfId="2133"/>
    <cellStyle name="Normal 15 3 3 4" xfId="1632"/>
    <cellStyle name="Normal 15 3 4" xfId="751"/>
    <cellStyle name="Normal 15 3 4 2" xfId="1255"/>
    <cellStyle name="Normal 15 3 4 2 2" xfId="2257"/>
    <cellStyle name="Normal 15 3 4 3" xfId="1756"/>
    <cellStyle name="Normal 15 3 5" xfId="1007"/>
    <cellStyle name="Normal 15 3 5 2" xfId="2009"/>
    <cellStyle name="Normal 15 3 6" xfId="1508"/>
    <cellStyle name="Normal 15 4" xfId="551"/>
    <cellStyle name="Normal 15 4 2" xfId="675"/>
    <cellStyle name="Normal 15 4 2 2" xfId="923"/>
    <cellStyle name="Normal 15 4 2 2 2" xfId="1427"/>
    <cellStyle name="Normal 15 4 2 2 2 2" xfId="2429"/>
    <cellStyle name="Normal 15 4 2 2 3" xfId="1928"/>
    <cellStyle name="Normal 15 4 2 3" xfId="1179"/>
    <cellStyle name="Normal 15 4 2 3 2" xfId="2181"/>
    <cellStyle name="Normal 15 4 2 4" xfId="1680"/>
    <cellStyle name="Normal 15 4 3" xfId="799"/>
    <cellStyle name="Normal 15 4 3 2" xfId="1303"/>
    <cellStyle name="Normal 15 4 3 2 2" xfId="2305"/>
    <cellStyle name="Normal 15 4 3 3" xfId="1804"/>
    <cellStyle name="Normal 15 4 4" xfId="1055"/>
    <cellStyle name="Normal 15 4 4 2" xfId="2057"/>
    <cellStyle name="Normal 15 4 5" xfId="1556"/>
    <cellStyle name="Normal 15 5" xfId="585"/>
    <cellStyle name="Normal 15 5 2" xfId="833"/>
    <cellStyle name="Normal 15 5 2 2" xfId="1337"/>
    <cellStyle name="Normal 15 5 2 2 2" xfId="2339"/>
    <cellStyle name="Normal 15 5 2 3" xfId="1838"/>
    <cellStyle name="Normal 15 5 3" xfId="1089"/>
    <cellStyle name="Normal 15 5 3 2" xfId="2091"/>
    <cellStyle name="Normal 15 5 4" xfId="1590"/>
    <cellStyle name="Normal 15 6" xfId="709"/>
    <cellStyle name="Normal 15 6 2" xfId="1213"/>
    <cellStyle name="Normal 15 6 2 2" xfId="2215"/>
    <cellStyle name="Normal 15 6 3" xfId="1714"/>
    <cellStyle name="Normal 15 7" xfId="965"/>
    <cellStyle name="Normal 15 7 2" xfId="1967"/>
    <cellStyle name="Normal 15 8" xfId="1466"/>
    <cellStyle name="Normal 16" xfId="289"/>
    <cellStyle name="Normal 17" xfId="290"/>
    <cellStyle name="Normal 18" xfId="291"/>
    <cellStyle name="Normal 19" xfId="292"/>
    <cellStyle name="Normal 2" xfId="293"/>
    <cellStyle name="Normal 2 2" xfId="294"/>
    <cellStyle name="Normal 2 3" xfId="3"/>
    <cellStyle name="Normal 2 3 2" xfId="956"/>
    <cellStyle name="Normal 2 3 2 2" xfId="1460"/>
    <cellStyle name="Normal 2 3 2 2 2" xfId="2462"/>
    <cellStyle name="Normal 2 3 2 3" xfId="1961"/>
    <cellStyle name="Normal 2 4" xfId="295"/>
    <cellStyle name="Normal 2_Adjustment WP" xfId="296"/>
    <cellStyle name="Normal 20" xfId="297"/>
    <cellStyle name="Normal 21" xfId="298"/>
    <cellStyle name="Normal 22" xfId="299"/>
    <cellStyle name="Normal 23" xfId="300"/>
    <cellStyle name="Normal 24" xfId="301"/>
    <cellStyle name="Normal 25" xfId="302"/>
    <cellStyle name="Normal 26" xfId="303"/>
    <cellStyle name="Normal 27" xfId="304"/>
    <cellStyle name="Normal 28" xfId="305"/>
    <cellStyle name="Normal 29" xfId="306"/>
    <cellStyle name="Normal 3" xfId="307"/>
    <cellStyle name="Normal 3 2" xfId="308"/>
    <cellStyle name="Normal 3 2 2" xfId="957"/>
    <cellStyle name="Normal 3 2 2 2" xfId="1461"/>
    <cellStyle name="Normal 3 2 2 2 2" xfId="2463"/>
    <cellStyle name="Normal 3 2 2 3" xfId="1962"/>
    <cellStyle name="Normal 3 3" xfId="309"/>
    <cellStyle name="Normal 3 4" xfId="310"/>
    <cellStyle name="Normal 3 5" xfId="449"/>
    <cellStyle name="Normal 3 6" xfId="479"/>
    <cellStyle name="Normal 3 7" xfId="958"/>
    <cellStyle name="Normal 3 7 2" xfId="1462"/>
    <cellStyle name="Normal 3 7 2 2" xfId="2464"/>
    <cellStyle name="Normal 3 7 3" xfId="1963"/>
    <cellStyle name="Normal 3_108 Summary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480"/>
    <cellStyle name="Normal 35 2 2" xfId="555"/>
    <cellStyle name="Normal 35 2 2 2" xfId="679"/>
    <cellStyle name="Normal 35 2 2 2 2" xfId="927"/>
    <cellStyle name="Normal 35 2 2 2 2 2" xfId="1431"/>
    <cellStyle name="Normal 35 2 2 2 2 2 2" xfId="2433"/>
    <cellStyle name="Normal 35 2 2 2 2 3" xfId="1932"/>
    <cellStyle name="Normal 35 2 2 2 3" xfId="1183"/>
    <cellStyle name="Normal 35 2 2 2 3 2" xfId="2185"/>
    <cellStyle name="Normal 35 2 2 2 4" xfId="1684"/>
    <cellStyle name="Normal 35 2 2 3" xfId="803"/>
    <cellStyle name="Normal 35 2 2 3 2" xfId="1307"/>
    <cellStyle name="Normal 35 2 2 3 2 2" xfId="2309"/>
    <cellStyle name="Normal 35 2 2 3 3" xfId="1808"/>
    <cellStyle name="Normal 35 2 2 4" xfId="1059"/>
    <cellStyle name="Normal 35 2 2 4 2" xfId="2061"/>
    <cellStyle name="Normal 35 2 2 5" xfId="1560"/>
    <cellStyle name="Normal 35 2 3" xfId="608"/>
    <cellStyle name="Normal 35 2 3 2" xfId="856"/>
    <cellStyle name="Normal 35 2 3 2 2" xfId="1360"/>
    <cellStyle name="Normal 35 2 3 2 2 2" xfId="2362"/>
    <cellStyle name="Normal 35 2 3 2 3" xfId="1861"/>
    <cellStyle name="Normal 35 2 3 3" xfId="1112"/>
    <cellStyle name="Normal 35 2 3 3 2" xfId="2114"/>
    <cellStyle name="Normal 35 2 3 4" xfId="1613"/>
    <cellStyle name="Normal 35 2 4" xfId="732"/>
    <cellStyle name="Normal 35 2 4 2" xfId="1236"/>
    <cellStyle name="Normal 35 2 4 2 2" xfId="2238"/>
    <cellStyle name="Normal 35 2 4 3" xfId="1737"/>
    <cellStyle name="Normal 35 2 5" xfId="988"/>
    <cellStyle name="Normal 35 2 5 2" xfId="1990"/>
    <cellStyle name="Normal 35 2 6" xfId="1489"/>
    <cellStyle name="Normal 35 3" xfId="504"/>
    <cellStyle name="Normal 35 3 2" xfId="556"/>
    <cellStyle name="Normal 35 3 2 2" xfId="680"/>
    <cellStyle name="Normal 35 3 2 2 2" xfId="928"/>
    <cellStyle name="Normal 35 3 2 2 2 2" xfId="1432"/>
    <cellStyle name="Normal 35 3 2 2 2 2 2" xfId="2434"/>
    <cellStyle name="Normal 35 3 2 2 2 3" xfId="1933"/>
    <cellStyle name="Normal 35 3 2 2 3" xfId="1184"/>
    <cellStyle name="Normal 35 3 2 2 3 2" xfId="2186"/>
    <cellStyle name="Normal 35 3 2 2 4" xfId="1685"/>
    <cellStyle name="Normal 35 3 2 3" xfId="804"/>
    <cellStyle name="Normal 35 3 2 3 2" xfId="1308"/>
    <cellStyle name="Normal 35 3 2 3 2 2" xfId="2310"/>
    <cellStyle name="Normal 35 3 2 3 3" xfId="1809"/>
    <cellStyle name="Normal 35 3 2 4" xfId="1060"/>
    <cellStyle name="Normal 35 3 2 4 2" xfId="2062"/>
    <cellStyle name="Normal 35 3 2 5" xfId="1561"/>
    <cellStyle name="Normal 35 3 3" xfId="628"/>
    <cellStyle name="Normal 35 3 3 2" xfId="876"/>
    <cellStyle name="Normal 35 3 3 2 2" xfId="1380"/>
    <cellStyle name="Normal 35 3 3 2 2 2" xfId="2382"/>
    <cellStyle name="Normal 35 3 3 2 3" xfId="1881"/>
    <cellStyle name="Normal 35 3 3 3" xfId="1132"/>
    <cellStyle name="Normal 35 3 3 3 2" xfId="2134"/>
    <cellStyle name="Normal 35 3 3 4" xfId="1633"/>
    <cellStyle name="Normal 35 3 4" xfId="752"/>
    <cellStyle name="Normal 35 3 4 2" xfId="1256"/>
    <cellStyle name="Normal 35 3 4 2 2" xfId="2258"/>
    <cellStyle name="Normal 35 3 4 3" xfId="1757"/>
    <cellStyle name="Normal 35 3 5" xfId="1008"/>
    <cellStyle name="Normal 35 3 5 2" xfId="2010"/>
    <cellStyle name="Normal 35 3 6" xfId="1509"/>
    <cellStyle name="Normal 35 4" xfId="554"/>
    <cellStyle name="Normal 35 4 2" xfId="678"/>
    <cellStyle name="Normal 35 4 2 2" xfId="926"/>
    <cellStyle name="Normal 35 4 2 2 2" xfId="1430"/>
    <cellStyle name="Normal 35 4 2 2 2 2" xfId="2432"/>
    <cellStyle name="Normal 35 4 2 2 3" xfId="1931"/>
    <cellStyle name="Normal 35 4 2 3" xfId="1182"/>
    <cellStyle name="Normal 35 4 2 3 2" xfId="2184"/>
    <cellStyle name="Normal 35 4 2 4" xfId="1683"/>
    <cellStyle name="Normal 35 4 3" xfId="802"/>
    <cellStyle name="Normal 35 4 3 2" xfId="1306"/>
    <cellStyle name="Normal 35 4 3 2 2" xfId="2308"/>
    <cellStyle name="Normal 35 4 3 3" xfId="1807"/>
    <cellStyle name="Normal 35 4 4" xfId="1058"/>
    <cellStyle name="Normal 35 4 4 2" xfId="2060"/>
    <cellStyle name="Normal 35 4 5" xfId="1559"/>
    <cellStyle name="Normal 35 5" xfId="586"/>
    <cellStyle name="Normal 35 5 2" xfId="834"/>
    <cellStyle name="Normal 35 5 2 2" xfId="1338"/>
    <cellStyle name="Normal 35 5 2 2 2" xfId="2340"/>
    <cellStyle name="Normal 35 5 2 3" xfId="1839"/>
    <cellStyle name="Normal 35 5 3" xfId="1090"/>
    <cellStyle name="Normal 35 5 3 2" xfId="2092"/>
    <cellStyle name="Normal 35 5 4" xfId="1591"/>
    <cellStyle name="Normal 35 6" xfId="710"/>
    <cellStyle name="Normal 35 6 2" xfId="1214"/>
    <cellStyle name="Normal 35 6 2 2" xfId="2216"/>
    <cellStyle name="Normal 35 6 3" xfId="1715"/>
    <cellStyle name="Normal 35 7" xfId="966"/>
    <cellStyle name="Normal 35 7 2" xfId="1968"/>
    <cellStyle name="Normal 35 8" xfId="1467"/>
    <cellStyle name="Normal 4" xfId="318"/>
    <cellStyle name="Normal 4 2" xfId="453"/>
    <cellStyle name="Normal 4 3" xfId="481"/>
    <cellStyle name="Normal 4 4" xfId="960"/>
    <cellStyle name="Normal 5" xfId="319"/>
    <cellStyle name="Normal 5 2" xfId="454"/>
    <cellStyle name="Normal 5 3" xfId="482"/>
    <cellStyle name="Normal 6" xfId="320"/>
    <cellStyle name="Normal 6 10" xfId="471"/>
    <cellStyle name="Normal 6 10 2" xfId="557"/>
    <cellStyle name="Normal 6 10 2 2" xfId="681"/>
    <cellStyle name="Normal 6 10 2 2 2" xfId="929"/>
    <cellStyle name="Normal 6 10 2 2 2 2" xfId="1433"/>
    <cellStyle name="Normal 6 10 2 2 2 2 2" xfId="2435"/>
    <cellStyle name="Normal 6 10 2 2 2 3" xfId="1934"/>
    <cellStyle name="Normal 6 10 2 2 3" xfId="1185"/>
    <cellStyle name="Normal 6 10 2 2 3 2" xfId="2187"/>
    <cellStyle name="Normal 6 10 2 2 4" xfId="1686"/>
    <cellStyle name="Normal 6 10 2 3" xfId="805"/>
    <cellStyle name="Normal 6 10 2 3 2" xfId="1309"/>
    <cellStyle name="Normal 6 10 2 3 2 2" xfId="2311"/>
    <cellStyle name="Normal 6 10 2 3 3" xfId="1810"/>
    <cellStyle name="Normal 6 10 2 4" xfId="1061"/>
    <cellStyle name="Normal 6 10 2 4 2" xfId="2063"/>
    <cellStyle name="Normal 6 10 2 5" xfId="1562"/>
    <cellStyle name="Normal 6 10 3" xfId="603"/>
    <cellStyle name="Normal 6 10 3 2" xfId="851"/>
    <cellStyle name="Normal 6 10 3 2 2" xfId="1355"/>
    <cellStyle name="Normal 6 10 3 2 2 2" xfId="2357"/>
    <cellStyle name="Normal 6 10 3 2 3" xfId="1856"/>
    <cellStyle name="Normal 6 10 3 3" xfId="1107"/>
    <cellStyle name="Normal 6 10 3 3 2" xfId="2109"/>
    <cellStyle name="Normal 6 10 3 4" xfId="1608"/>
    <cellStyle name="Normal 6 10 4" xfId="727"/>
    <cellStyle name="Normal 6 10 4 2" xfId="1231"/>
    <cellStyle name="Normal 6 10 4 2 2" xfId="2233"/>
    <cellStyle name="Normal 6 10 4 3" xfId="1732"/>
    <cellStyle name="Normal 6 10 5" xfId="983"/>
    <cellStyle name="Normal 6 10 5 2" xfId="1985"/>
    <cellStyle name="Normal 6 10 6" xfId="1484"/>
    <cellStyle name="Normal 6 11" xfId="955"/>
    <cellStyle name="Normal 6 11 2" xfId="1459"/>
    <cellStyle name="Normal 6 11 2 2" xfId="2461"/>
    <cellStyle name="Normal 6 11 3" xfId="1960"/>
    <cellStyle name="Normal 6 2" xfId="456"/>
    <cellStyle name="Normal 6 2 2" xfId="487"/>
    <cellStyle name="Normal 6 2 2 2" xfId="559"/>
    <cellStyle name="Normal 6 2 2 2 2" xfId="683"/>
    <cellStyle name="Normal 6 2 2 2 2 2" xfId="931"/>
    <cellStyle name="Normal 6 2 2 2 2 2 2" xfId="1435"/>
    <cellStyle name="Normal 6 2 2 2 2 2 2 2" xfId="2437"/>
    <cellStyle name="Normal 6 2 2 2 2 2 3" xfId="1936"/>
    <cellStyle name="Normal 6 2 2 2 2 3" xfId="1187"/>
    <cellStyle name="Normal 6 2 2 2 2 3 2" xfId="2189"/>
    <cellStyle name="Normal 6 2 2 2 2 4" xfId="1688"/>
    <cellStyle name="Normal 6 2 2 2 3" xfId="807"/>
    <cellStyle name="Normal 6 2 2 2 3 2" xfId="1311"/>
    <cellStyle name="Normal 6 2 2 2 3 2 2" xfId="2313"/>
    <cellStyle name="Normal 6 2 2 2 3 3" xfId="1812"/>
    <cellStyle name="Normal 6 2 2 2 4" xfId="1063"/>
    <cellStyle name="Normal 6 2 2 2 4 2" xfId="2065"/>
    <cellStyle name="Normal 6 2 2 2 5" xfId="1564"/>
    <cellStyle name="Normal 6 2 2 3" xfId="611"/>
    <cellStyle name="Normal 6 2 2 3 2" xfId="859"/>
    <cellStyle name="Normal 6 2 2 3 2 2" xfId="1363"/>
    <cellStyle name="Normal 6 2 2 3 2 2 2" xfId="2365"/>
    <cellStyle name="Normal 6 2 2 3 2 3" xfId="1864"/>
    <cellStyle name="Normal 6 2 2 3 3" xfId="1115"/>
    <cellStyle name="Normal 6 2 2 3 3 2" xfId="2117"/>
    <cellStyle name="Normal 6 2 2 3 4" xfId="1616"/>
    <cellStyle name="Normal 6 2 2 4" xfId="735"/>
    <cellStyle name="Normal 6 2 2 4 2" xfId="1239"/>
    <cellStyle name="Normal 6 2 2 4 2 2" xfId="2241"/>
    <cellStyle name="Normal 6 2 2 4 3" xfId="1740"/>
    <cellStyle name="Normal 6 2 2 5" xfId="991"/>
    <cellStyle name="Normal 6 2 2 5 2" xfId="1993"/>
    <cellStyle name="Normal 6 2 2 6" xfId="1492"/>
    <cellStyle name="Normal 6 2 3" xfId="507"/>
    <cellStyle name="Normal 6 2 3 2" xfId="560"/>
    <cellStyle name="Normal 6 2 3 2 2" xfId="684"/>
    <cellStyle name="Normal 6 2 3 2 2 2" xfId="932"/>
    <cellStyle name="Normal 6 2 3 2 2 2 2" xfId="1436"/>
    <cellStyle name="Normal 6 2 3 2 2 2 2 2" xfId="2438"/>
    <cellStyle name="Normal 6 2 3 2 2 2 3" xfId="1937"/>
    <cellStyle name="Normal 6 2 3 2 2 3" xfId="1188"/>
    <cellStyle name="Normal 6 2 3 2 2 3 2" xfId="2190"/>
    <cellStyle name="Normal 6 2 3 2 2 4" xfId="1689"/>
    <cellStyle name="Normal 6 2 3 2 3" xfId="808"/>
    <cellStyle name="Normal 6 2 3 2 3 2" xfId="1312"/>
    <cellStyle name="Normal 6 2 3 2 3 2 2" xfId="2314"/>
    <cellStyle name="Normal 6 2 3 2 3 3" xfId="1813"/>
    <cellStyle name="Normal 6 2 3 2 4" xfId="1064"/>
    <cellStyle name="Normal 6 2 3 2 4 2" xfId="2066"/>
    <cellStyle name="Normal 6 2 3 2 5" xfId="1565"/>
    <cellStyle name="Normal 6 2 3 3" xfId="631"/>
    <cellStyle name="Normal 6 2 3 3 2" xfId="879"/>
    <cellStyle name="Normal 6 2 3 3 2 2" xfId="1383"/>
    <cellStyle name="Normal 6 2 3 3 2 2 2" xfId="2385"/>
    <cellStyle name="Normal 6 2 3 3 2 3" xfId="1884"/>
    <cellStyle name="Normal 6 2 3 3 3" xfId="1135"/>
    <cellStyle name="Normal 6 2 3 3 3 2" xfId="2137"/>
    <cellStyle name="Normal 6 2 3 3 4" xfId="1636"/>
    <cellStyle name="Normal 6 2 3 4" xfId="755"/>
    <cellStyle name="Normal 6 2 3 4 2" xfId="1259"/>
    <cellStyle name="Normal 6 2 3 4 2 2" xfId="2261"/>
    <cellStyle name="Normal 6 2 3 4 3" xfId="1760"/>
    <cellStyle name="Normal 6 2 3 5" xfId="1011"/>
    <cellStyle name="Normal 6 2 3 5 2" xfId="2013"/>
    <cellStyle name="Normal 6 2 3 6" xfId="1512"/>
    <cellStyle name="Normal 6 2 4" xfId="558"/>
    <cellStyle name="Normal 6 2 4 2" xfId="682"/>
    <cellStyle name="Normal 6 2 4 2 2" xfId="930"/>
    <cellStyle name="Normal 6 2 4 2 2 2" xfId="1434"/>
    <cellStyle name="Normal 6 2 4 2 2 2 2" xfId="2436"/>
    <cellStyle name="Normal 6 2 4 2 2 3" xfId="1935"/>
    <cellStyle name="Normal 6 2 4 2 3" xfId="1186"/>
    <cellStyle name="Normal 6 2 4 2 3 2" xfId="2188"/>
    <cellStyle name="Normal 6 2 4 2 4" xfId="1687"/>
    <cellStyle name="Normal 6 2 4 3" xfId="806"/>
    <cellStyle name="Normal 6 2 4 3 2" xfId="1310"/>
    <cellStyle name="Normal 6 2 4 3 2 2" xfId="2312"/>
    <cellStyle name="Normal 6 2 4 3 3" xfId="1811"/>
    <cellStyle name="Normal 6 2 4 4" xfId="1062"/>
    <cellStyle name="Normal 6 2 4 4 2" xfId="2064"/>
    <cellStyle name="Normal 6 2 4 5" xfId="1563"/>
    <cellStyle name="Normal 6 2 5" xfId="589"/>
    <cellStyle name="Normal 6 2 5 2" xfId="837"/>
    <cellStyle name="Normal 6 2 5 2 2" xfId="1341"/>
    <cellStyle name="Normal 6 2 5 2 2 2" xfId="2343"/>
    <cellStyle name="Normal 6 2 5 2 3" xfId="1842"/>
    <cellStyle name="Normal 6 2 5 3" xfId="1093"/>
    <cellStyle name="Normal 6 2 5 3 2" xfId="2095"/>
    <cellStyle name="Normal 6 2 5 4" xfId="1594"/>
    <cellStyle name="Normal 6 2 6" xfId="713"/>
    <cellStyle name="Normal 6 2 6 2" xfId="1217"/>
    <cellStyle name="Normal 6 2 6 2 2" xfId="2219"/>
    <cellStyle name="Normal 6 2 6 3" xfId="1718"/>
    <cellStyle name="Normal 6 2 7" xfId="969"/>
    <cellStyle name="Normal 6 2 7 2" xfId="1971"/>
    <cellStyle name="Normal 6 2 8" xfId="1470"/>
    <cellStyle name="Normal 6 3" xfId="459"/>
    <cellStyle name="Normal 6 3 2" xfId="489"/>
    <cellStyle name="Normal 6 3 2 2" xfId="562"/>
    <cellStyle name="Normal 6 3 2 2 2" xfId="686"/>
    <cellStyle name="Normal 6 3 2 2 2 2" xfId="934"/>
    <cellStyle name="Normal 6 3 2 2 2 2 2" xfId="1438"/>
    <cellStyle name="Normal 6 3 2 2 2 2 2 2" xfId="2440"/>
    <cellStyle name="Normal 6 3 2 2 2 2 3" xfId="1939"/>
    <cellStyle name="Normal 6 3 2 2 2 3" xfId="1190"/>
    <cellStyle name="Normal 6 3 2 2 2 3 2" xfId="2192"/>
    <cellStyle name="Normal 6 3 2 2 2 4" xfId="1691"/>
    <cellStyle name="Normal 6 3 2 2 3" xfId="810"/>
    <cellStyle name="Normal 6 3 2 2 3 2" xfId="1314"/>
    <cellStyle name="Normal 6 3 2 2 3 2 2" xfId="2316"/>
    <cellStyle name="Normal 6 3 2 2 3 3" xfId="1815"/>
    <cellStyle name="Normal 6 3 2 2 4" xfId="1066"/>
    <cellStyle name="Normal 6 3 2 2 4 2" xfId="2068"/>
    <cellStyle name="Normal 6 3 2 2 5" xfId="1567"/>
    <cellStyle name="Normal 6 3 2 3" xfId="613"/>
    <cellStyle name="Normal 6 3 2 3 2" xfId="861"/>
    <cellStyle name="Normal 6 3 2 3 2 2" xfId="1365"/>
    <cellStyle name="Normal 6 3 2 3 2 2 2" xfId="2367"/>
    <cellStyle name="Normal 6 3 2 3 2 3" xfId="1866"/>
    <cellStyle name="Normal 6 3 2 3 3" xfId="1117"/>
    <cellStyle name="Normal 6 3 2 3 3 2" xfId="2119"/>
    <cellStyle name="Normal 6 3 2 3 4" xfId="1618"/>
    <cellStyle name="Normal 6 3 2 4" xfId="737"/>
    <cellStyle name="Normal 6 3 2 4 2" xfId="1241"/>
    <cellStyle name="Normal 6 3 2 4 2 2" xfId="2243"/>
    <cellStyle name="Normal 6 3 2 4 3" xfId="1742"/>
    <cellStyle name="Normal 6 3 2 5" xfId="993"/>
    <cellStyle name="Normal 6 3 2 5 2" xfId="1995"/>
    <cellStyle name="Normal 6 3 2 6" xfId="1494"/>
    <cellStyle name="Normal 6 3 3" xfId="509"/>
    <cellStyle name="Normal 6 3 3 2" xfId="563"/>
    <cellStyle name="Normal 6 3 3 2 2" xfId="687"/>
    <cellStyle name="Normal 6 3 3 2 2 2" xfId="935"/>
    <cellStyle name="Normal 6 3 3 2 2 2 2" xfId="1439"/>
    <cellStyle name="Normal 6 3 3 2 2 2 2 2" xfId="2441"/>
    <cellStyle name="Normal 6 3 3 2 2 2 3" xfId="1940"/>
    <cellStyle name="Normal 6 3 3 2 2 3" xfId="1191"/>
    <cellStyle name="Normal 6 3 3 2 2 3 2" xfId="2193"/>
    <cellStyle name="Normal 6 3 3 2 2 4" xfId="1692"/>
    <cellStyle name="Normal 6 3 3 2 3" xfId="811"/>
    <cellStyle name="Normal 6 3 3 2 3 2" xfId="1315"/>
    <cellStyle name="Normal 6 3 3 2 3 2 2" xfId="2317"/>
    <cellStyle name="Normal 6 3 3 2 3 3" xfId="1816"/>
    <cellStyle name="Normal 6 3 3 2 4" xfId="1067"/>
    <cellStyle name="Normal 6 3 3 2 4 2" xfId="2069"/>
    <cellStyle name="Normal 6 3 3 2 5" xfId="1568"/>
    <cellStyle name="Normal 6 3 3 3" xfId="633"/>
    <cellStyle name="Normal 6 3 3 3 2" xfId="881"/>
    <cellStyle name="Normal 6 3 3 3 2 2" xfId="1385"/>
    <cellStyle name="Normal 6 3 3 3 2 2 2" xfId="2387"/>
    <cellStyle name="Normal 6 3 3 3 2 3" xfId="1886"/>
    <cellStyle name="Normal 6 3 3 3 3" xfId="1137"/>
    <cellStyle name="Normal 6 3 3 3 3 2" xfId="2139"/>
    <cellStyle name="Normal 6 3 3 3 4" xfId="1638"/>
    <cellStyle name="Normal 6 3 3 4" xfId="757"/>
    <cellStyle name="Normal 6 3 3 4 2" xfId="1261"/>
    <cellStyle name="Normal 6 3 3 4 2 2" xfId="2263"/>
    <cellStyle name="Normal 6 3 3 4 3" xfId="1762"/>
    <cellStyle name="Normal 6 3 3 5" xfId="1013"/>
    <cellStyle name="Normal 6 3 3 5 2" xfId="2015"/>
    <cellStyle name="Normal 6 3 3 6" xfId="1514"/>
    <cellStyle name="Normal 6 3 4" xfId="561"/>
    <cellStyle name="Normal 6 3 4 2" xfId="685"/>
    <cellStyle name="Normal 6 3 4 2 2" xfId="933"/>
    <cellStyle name="Normal 6 3 4 2 2 2" xfId="1437"/>
    <cellStyle name="Normal 6 3 4 2 2 2 2" xfId="2439"/>
    <cellStyle name="Normal 6 3 4 2 2 3" xfId="1938"/>
    <cellStyle name="Normal 6 3 4 2 3" xfId="1189"/>
    <cellStyle name="Normal 6 3 4 2 3 2" xfId="2191"/>
    <cellStyle name="Normal 6 3 4 2 4" xfId="1690"/>
    <cellStyle name="Normal 6 3 4 3" xfId="809"/>
    <cellStyle name="Normal 6 3 4 3 2" xfId="1313"/>
    <cellStyle name="Normal 6 3 4 3 2 2" xfId="2315"/>
    <cellStyle name="Normal 6 3 4 3 3" xfId="1814"/>
    <cellStyle name="Normal 6 3 4 4" xfId="1065"/>
    <cellStyle name="Normal 6 3 4 4 2" xfId="2067"/>
    <cellStyle name="Normal 6 3 4 5" xfId="1566"/>
    <cellStyle name="Normal 6 3 5" xfId="591"/>
    <cellStyle name="Normal 6 3 5 2" xfId="839"/>
    <cellStyle name="Normal 6 3 5 2 2" xfId="1343"/>
    <cellStyle name="Normal 6 3 5 2 2 2" xfId="2345"/>
    <cellStyle name="Normal 6 3 5 2 3" xfId="1844"/>
    <cellStyle name="Normal 6 3 5 3" xfId="1095"/>
    <cellStyle name="Normal 6 3 5 3 2" xfId="2097"/>
    <cellStyle name="Normal 6 3 5 4" xfId="1596"/>
    <cellStyle name="Normal 6 3 6" xfId="715"/>
    <cellStyle name="Normal 6 3 6 2" xfId="1219"/>
    <cellStyle name="Normal 6 3 6 2 2" xfId="2221"/>
    <cellStyle name="Normal 6 3 6 3" xfId="1720"/>
    <cellStyle name="Normal 6 3 7" xfId="971"/>
    <cellStyle name="Normal 6 3 7 2" xfId="1973"/>
    <cellStyle name="Normal 6 3 8" xfId="1472"/>
    <cellStyle name="Normal 6 4" xfId="461"/>
    <cellStyle name="Normal 6 4 2" xfId="491"/>
    <cellStyle name="Normal 6 4 2 2" xfId="565"/>
    <cellStyle name="Normal 6 4 2 2 2" xfId="689"/>
    <cellStyle name="Normal 6 4 2 2 2 2" xfId="937"/>
    <cellStyle name="Normal 6 4 2 2 2 2 2" xfId="1441"/>
    <cellStyle name="Normal 6 4 2 2 2 2 2 2" xfId="2443"/>
    <cellStyle name="Normal 6 4 2 2 2 2 3" xfId="1942"/>
    <cellStyle name="Normal 6 4 2 2 2 3" xfId="1193"/>
    <cellStyle name="Normal 6 4 2 2 2 3 2" xfId="2195"/>
    <cellStyle name="Normal 6 4 2 2 2 4" xfId="1694"/>
    <cellStyle name="Normal 6 4 2 2 3" xfId="813"/>
    <cellStyle name="Normal 6 4 2 2 3 2" xfId="1317"/>
    <cellStyle name="Normal 6 4 2 2 3 2 2" xfId="2319"/>
    <cellStyle name="Normal 6 4 2 2 3 3" xfId="1818"/>
    <cellStyle name="Normal 6 4 2 2 4" xfId="1069"/>
    <cellStyle name="Normal 6 4 2 2 4 2" xfId="2071"/>
    <cellStyle name="Normal 6 4 2 2 5" xfId="1570"/>
    <cellStyle name="Normal 6 4 2 3" xfId="615"/>
    <cellStyle name="Normal 6 4 2 3 2" xfId="863"/>
    <cellStyle name="Normal 6 4 2 3 2 2" xfId="1367"/>
    <cellStyle name="Normal 6 4 2 3 2 2 2" xfId="2369"/>
    <cellStyle name="Normal 6 4 2 3 2 3" xfId="1868"/>
    <cellStyle name="Normal 6 4 2 3 3" xfId="1119"/>
    <cellStyle name="Normal 6 4 2 3 3 2" xfId="2121"/>
    <cellStyle name="Normal 6 4 2 3 4" xfId="1620"/>
    <cellStyle name="Normal 6 4 2 4" xfId="739"/>
    <cellStyle name="Normal 6 4 2 4 2" xfId="1243"/>
    <cellStyle name="Normal 6 4 2 4 2 2" xfId="2245"/>
    <cellStyle name="Normal 6 4 2 4 3" xfId="1744"/>
    <cellStyle name="Normal 6 4 2 5" xfId="995"/>
    <cellStyle name="Normal 6 4 2 5 2" xfId="1997"/>
    <cellStyle name="Normal 6 4 2 6" xfId="1496"/>
    <cellStyle name="Normal 6 4 3" xfId="511"/>
    <cellStyle name="Normal 6 4 3 2" xfId="566"/>
    <cellStyle name="Normal 6 4 3 2 2" xfId="690"/>
    <cellStyle name="Normal 6 4 3 2 2 2" xfId="938"/>
    <cellStyle name="Normal 6 4 3 2 2 2 2" xfId="1442"/>
    <cellStyle name="Normal 6 4 3 2 2 2 2 2" xfId="2444"/>
    <cellStyle name="Normal 6 4 3 2 2 2 3" xfId="1943"/>
    <cellStyle name="Normal 6 4 3 2 2 3" xfId="1194"/>
    <cellStyle name="Normal 6 4 3 2 2 3 2" xfId="2196"/>
    <cellStyle name="Normal 6 4 3 2 2 4" xfId="1695"/>
    <cellStyle name="Normal 6 4 3 2 3" xfId="814"/>
    <cellStyle name="Normal 6 4 3 2 3 2" xfId="1318"/>
    <cellStyle name="Normal 6 4 3 2 3 2 2" xfId="2320"/>
    <cellStyle name="Normal 6 4 3 2 3 3" xfId="1819"/>
    <cellStyle name="Normal 6 4 3 2 4" xfId="1070"/>
    <cellStyle name="Normal 6 4 3 2 4 2" xfId="2072"/>
    <cellStyle name="Normal 6 4 3 2 5" xfId="1571"/>
    <cellStyle name="Normal 6 4 3 3" xfId="635"/>
    <cellStyle name="Normal 6 4 3 3 2" xfId="883"/>
    <cellStyle name="Normal 6 4 3 3 2 2" xfId="1387"/>
    <cellStyle name="Normal 6 4 3 3 2 2 2" xfId="2389"/>
    <cellStyle name="Normal 6 4 3 3 2 3" xfId="1888"/>
    <cellStyle name="Normal 6 4 3 3 3" xfId="1139"/>
    <cellStyle name="Normal 6 4 3 3 3 2" xfId="2141"/>
    <cellStyle name="Normal 6 4 3 3 4" xfId="1640"/>
    <cellStyle name="Normal 6 4 3 4" xfId="759"/>
    <cellStyle name="Normal 6 4 3 4 2" xfId="1263"/>
    <cellStyle name="Normal 6 4 3 4 2 2" xfId="2265"/>
    <cellStyle name="Normal 6 4 3 4 3" xfId="1764"/>
    <cellStyle name="Normal 6 4 3 5" xfId="1015"/>
    <cellStyle name="Normal 6 4 3 5 2" xfId="2017"/>
    <cellStyle name="Normal 6 4 3 6" xfId="1516"/>
    <cellStyle name="Normal 6 4 4" xfId="564"/>
    <cellStyle name="Normal 6 4 4 2" xfId="688"/>
    <cellStyle name="Normal 6 4 4 2 2" xfId="936"/>
    <cellStyle name="Normal 6 4 4 2 2 2" xfId="1440"/>
    <cellStyle name="Normal 6 4 4 2 2 2 2" xfId="2442"/>
    <cellStyle name="Normal 6 4 4 2 2 3" xfId="1941"/>
    <cellStyle name="Normal 6 4 4 2 3" xfId="1192"/>
    <cellStyle name="Normal 6 4 4 2 3 2" xfId="2194"/>
    <cellStyle name="Normal 6 4 4 2 4" xfId="1693"/>
    <cellStyle name="Normal 6 4 4 3" xfId="812"/>
    <cellStyle name="Normal 6 4 4 3 2" xfId="1316"/>
    <cellStyle name="Normal 6 4 4 3 2 2" xfId="2318"/>
    <cellStyle name="Normal 6 4 4 3 3" xfId="1817"/>
    <cellStyle name="Normal 6 4 4 4" xfId="1068"/>
    <cellStyle name="Normal 6 4 4 4 2" xfId="2070"/>
    <cellStyle name="Normal 6 4 4 5" xfId="1569"/>
    <cellStyle name="Normal 6 4 5" xfId="593"/>
    <cellStyle name="Normal 6 4 5 2" xfId="841"/>
    <cellStyle name="Normal 6 4 5 2 2" xfId="1345"/>
    <cellStyle name="Normal 6 4 5 2 2 2" xfId="2347"/>
    <cellStyle name="Normal 6 4 5 2 3" xfId="1846"/>
    <cellStyle name="Normal 6 4 5 3" xfId="1097"/>
    <cellStyle name="Normal 6 4 5 3 2" xfId="2099"/>
    <cellStyle name="Normal 6 4 5 4" xfId="1598"/>
    <cellStyle name="Normal 6 4 6" xfId="717"/>
    <cellStyle name="Normal 6 4 6 2" xfId="1221"/>
    <cellStyle name="Normal 6 4 6 2 2" xfId="2223"/>
    <cellStyle name="Normal 6 4 6 3" xfId="1722"/>
    <cellStyle name="Normal 6 4 7" xfId="973"/>
    <cellStyle name="Normal 6 4 7 2" xfId="1975"/>
    <cellStyle name="Normal 6 4 8" xfId="1474"/>
    <cellStyle name="Normal 6 5" xfId="463"/>
    <cellStyle name="Normal 6 5 2" xfId="493"/>
    <cellStyle name="Normal 6 5 2 2" xfId="568"/>
    <cellStyle name="Normal 6 5 2 2 2" xfId="692"/>
    <cellStyle name="Normal 6 5 2 2 2 2" xfId="940"/>
    <cellStyle name="Normal 6 5 2 2 2 2 2" xfId="1444"/>
    <cellStyle name="Normal 6 5 2 2 2 2 2 2" xfId="2446"/>
    <cellStyle name="Normal 6 5 2 2 2 2 3" xfId="1945"/>
    <cellStyle name="Normal 6 5 2 2 2 3" xfId="1196"/>
    <cellStyle name="Normal 6 5 2 2 2 3 2" xfId="2198"/>
    <cellStyle name="Normal 6 5 2 2 2 4" xfId="1697"/>
    <cellStyle name="Normal 6 5 2 2 3" xfId="816"/>
    <cellStyle name="Normal 6 5 2 2 3 2" xfId="1320"/>
    <cellStyle name="Normal 6 5 2 2 3 2 2" xfId="2322"/>
    <cellStyle name="Normal 6 5 2 2 3 3" xfId="1821"/>
    <cellStyle name="Normal 6 5 2 2 4" xfId="1072"/>
    <cellStyle name="Normal 6 5 2 2 4 2" xfId="2074"/>
    <cellStyle name="Normal 6 5 2 2 5" xfId="1573"/>
    <cellStyle name="Normal 6 5 2 3" xfId="617"/>
    <cellStyle name="Normal 6 5 2 3 2" xfId="865"/>
    <cellStyle name="Normal 6 5 2 3 2 2" xfId="1369"/>
    <cellStyle name="Normal 6 5 2 3 2 2 2" xfId="2371"/>
    <cellStyle name="Normal 6 5 2 3 2 3" xfId="1870"/>
    <cellStyle name="Normal 6 5 2 3 3" xfId="1121"/>
    <cellStyle name="Normal 6 5 2 3 3 2" xfId="2123"/>
    <cellStyle name="Normal 6 5 2 3 4" xfId="1622"/>
    <cellStyle name="Normal 6 5 2 4" xfId="741"/>
    <cellStyle name="Normal 6 5 2 4 2" xfId="1245"/>
    <cellStyle name="Normal 6 5 2 4 2 2" xfId="2247"/>
    <cellStyle name="Normal 6 5 2 4 3" xfId="1746"/>
    <cellStyle name="Normal 6 5 2 5" xfId="997"/>
    <cellStyle name="Normal 6 5 2 5 2" xfId="1999"/>
    <cellStyle name="Normal 6 5 2 6" xfId="1498"/>
    <cellStyle name="Normal 6 5 3" xfId="513"/>
    <cellStyle name="Normal 6 5 3 2" xfId="569"/>
    <cellStyle name="Normal 6 5 3 2 2" xfId="693"/>
    <cellStyle name="Normal 6 5 3 2 2 2" xfId="941"/>
    <cellStyle name="Normal 6 5 3 2 2 2 2" xfId="1445"/>
    <cellStyle name="Normal 6 5 3 2 2 2 2 2" xfId="2447"/>
    <cellStyle name="Normal 6 5 3 2 2 2 3" xfId="1946"/>
    <cellStyle name="Normal 6 5 3 2 2 3" xfId="1197"/>
    <cellStyle name="Normal 6 5 3 2 2 3 2" xfId="2199"/>
    <cellStyle name="Normal 6 5 3 2 2 4" xfId="1698"/>
    <cellStyle name="Normal 6 5 3 2 3" xfId="817"/>
    <cellStyle name="Normal 6 5 3 2 3 2" xfId="1321"/>
    <cellStyle name="Normal 6 5 3 2 3 2 2" xfId="2323"/>
    <cellStyle name="Normal 6 5 3 2 3 3" xfId="1822"/>
    <cellStyle name="Normal 6 5 3 2 4" xfId="1073"/>
    <cellStyle name="Normal 6 5 3 2 4 2" xfId="2075"/>
    <cellStyle name="Normal 6 5 3 2 5" xfId="1574"/>
    <cellStyle name="Normal 6 5 3 3" xfId="637"/>
    <cellStyle name="Normal 6 5 3 3 2" xfId="885"/>
    <cellStyle name="Normal 6 5 3 3 2 2" xfId="1389"/>
    <cellStyle name="Normal 6 5 3 3 2 2 2" xfId="2391"/>
    <cellStyle name="Normal 6 5 3 3 2 3" xfId="1890"/>
    <cellStyle name="Normal 6 5 3 3 3" xfId="1141"/>
    <cellStyle name="Normal 6 5 3 3 3 2" xfId="2143"/>
    <cellStyle name="Normal 6 5 3 3 4" xfId="1642"/>
    <cellStyle name="Normal 6 5 3 4" xfId="761"/>
    <cellStyle name="Normal 6 5 3 4 2" xfId="1265"/>
    <cellStyle name="Normal 6 5 3 4 2 2" xfId="2267"/>
    <cellStyle name="Normal 6 5 3 4 3" xfId="1766"/>
    <cellStyle name="Normal 6 5 3 5" xfId="1017"/>
    <cellStyle name="Normal 6 5 3 5 2" xfId="2019"/>
    <cellStyle name="Normal 6 5 3 6" xfId="1518"/>
    <cellStyle name="Normal 6 5 4" xfId="567"/>
    <cellStyle name="Normal 6 5 4 2" xfId="691"/>
    <cellStyle name="Normal 6 5 4 2 2" xfId="939"/>
    <cellStyle name="Normal 6 5 4 2 2 2" xfId="1443"/>
    <cellStyle name="Normal 6 5 4 2 2 2 2" xfId="2445"/>
    <cellStyle name="Normal 6 5 4 2 2 3" xfId="1944"/>
    <cellStyle name="Normal 6 5 4 2 3" xfId="1195"/>
    <cellStyle name="Normal 6 5 4 2 3 2" xfId="2197"/>
    <cellStyle name="Normal 6 5 4 2 4" xfId="1696"/>
    <cellStyle name="Normal 6 5 4 3" xfId="815"/>
    <cellStyle name="Normal 6 5 4 3 2" xfId="1319"/>
    <cellStyle name="Normal 6 5 4 3 2 2" xfId="2321"/>
    <cellStyle name="Normal 6 5 4 3 3" xfId="1820"/>
    <cellStyle name="Normal 6 5 4 4" xfId="1071"/>
    <cellStyle name="Normal 6 5 4 4 2" xfId="2073"/>
    <cellStyle name="Normal 6 5 4 5" xfId="1572"/>
    <cellStyle name="Normal 6 5 5" xfId="595"/>
    <cellStyle name="Normal 6 5 5 2" xfId="843"/>
    <cellStyle name="Normal 6 5 5 2 2" xfId="1347"/>
    <cellStyle name="Normal 6 5 5 2 2 2" xfId="2349"/>
    <cellStyle name="Normal 6 5 5 2 3" xfId="1848"/>
    <cellStyle name="Normal 6 5 5 3" xfId="1099"/>
    <cellStyle name="Normal 6 5 5 3 2" xfId="2101"/>
    <cellStyle name="Normal 6 5 5 4" xfId="1600"/>
    <cellStyle name="Normal 6 5 6" xfId="719"/>
    <cellStyle name="Normal 6 5 6 2" xfId="1223"/>
    <cellStyle name="Normal 6 5 6 2 2" xfId="2225"/>
    <cellStyle name="Normal 6 5 6 3" xfId="1724"/>
    <cellStyle name="Normal 6 5 7" xfId="975"/>
    <cellStyle name="Normal 6 5 7 2" xfId="1977"/>
    <cellStyle name="Normal 6 5 8" xfId="1476"/>
    <cellStyle name="Normal 6 6" xfId="465"/>
    <cellStyle name="Normal 6 6 2" xfId="495"/>
    <cellStyle name="Normal 6 6 2 2" xfId="571"/>
    <cellStyle name="Normal 6 6 2 2 2" xfId="695"/>
    <cellStyle name="Normal 6 6 2 2 2 2" xfId="943"/>
    <cellStyle name="Normal 6 6 2 2 2 2 2" xfId="1447"/>
    <cellStyle name="Normal 6 6 2 2 2 2 2 2" xfId="2449"/>
    <cellStyle name="Normal 6 6 2 2 2 2 3" xfId="1948"/>
    <cellStyle name="Normal 6 6 2 2 2 3" xfId="1199"/>
    <cellStyle name="Normal 6 6 2 2 2 3 2" xfId="2201"/>
    <cellStyle name="Normal 6 6 2 2 2 4" xfId="1700"/>
    <cellStyle name="Normal 6 6 2 2 3" xfId="819"/>
    <cellStyle name="Normal 6 6 2 2 3 2" xfId="1323"/>
    <cellStyle name="Normal 6 6 2 2 3 2 2" xfId="2325"/>
    <cellStyle name="Normal 6 6 2 2 3 3" xfId="1824"/>
    <cellStyle name="Normal 6 6 2 2 4" xfId="1075"/>
    <cellStyle name="Normal 6 6 2 2 4 2" xfId="2077"/>
    <cellStyle name="Normal 6 6 2 2 5" xfId="1576"/>
    <cellStyle name="Normal 6 6 2 3" xfId="619"/>
    <cellStyle name="Normal 6 6 2 3 2" xfId="867"/>
    <cellStyle name="Normal 6 6 2 3 2 2" xfId="1371"/>
    <cellStyle name="Normal 6 6 2 3 2 2 2" xfId="2373"/>
    <cellStyle name="Normal 6 6 2 3 2 3" xfId="1872"/>
    <cellStyle name="Normal 6 6 2 3 3" xfId="1123"/>
    <cellStyle name="Normal 6 6 2 3 3 2" xfId="2125"/>
    <cellStyle name="Normal 6 6 2 3 4" xfId="1624"/>
    <cellStyle name="Normal 6 6 2 4" xfId="743"/>
    <cellStyle name="Normal 6 6 2 4 2" xfId="1247"/>
    <cellStyle name="Normal 6 6 2 4 2 2" xfId="2249"/>
    <cellStyle name="Normal 6 6 2 4 3" xfId="1748"/>
    <cellStyle name="Normal 6 6 2 5" xfId="999"/>
    <cellStyle name="Normal 6 6 2 5 2" xfId="2001"/>
    <cellStyle name="Normal 6 6 2 6" xfId="1500"/>
    <cellStyle name="Normal 6 6 3" xfId="515"/>
    <cellStyle name="Normal 6 6 3 2" xfId="572"/>
    <cellStyle name="Normal 6 6 3 2 2" xfId="696"/>
    <cellStyle name="Normal 6 6 3 2 2 2" xfId="944"/>
    <cellStyle name="Normal 6 6 3 2 2 2 2" xfId="1448"/>
    <cellStyle name="Normal 6 6 3 2 2 2 2 2" xfId="2450"/>
    <cellStyle name="Normal 6 6 3 2 2 2 3" xfId="1949"/>
    <cellStyle name="Normal 6 6 3 2 2 3" xfId="1200"/>
    <cellStyle name="Normal 6 6 3 2 2 3 2" xfId="2202"/>
    <cellStyle name="Normal 6 6 3 2 2 4" xfId="1701"/>
    <cellStyle name="Normal 6 6 3 2 3" xfId="820"/>
    <cellStyle name="Normal 6 6 3 2 3 2" xfId="1324"/>
    <cellStyle name="Normal 6 6 3 2 3 2 2" xfId="2326"/>
    <cellStyle name="Normal 6 6 3 2 3 3" xfId="1825"/>
    <cellStyle name="Normal 6 6 3 2 4" xfId="1076"/>
    <cellStyle name="Normal 6 6 3 2 4 2" xfId="2078"/>
    <cellStyle name="Normal 6 6 3 2 5" xfId="1577"/>
    <cellStyle name="Normal 6 6 3 3" xfId="639"/>
    <cellStyle name="Normal 6 6 3 3 2" xfId="887"/>
    <cellStyle name="Normal 6 6 3 3 2 2" xfId="1391"/>
    <cellStyle name="Normal 6 6 3 3 2 2 2" xfId="2393"/>
    <cellStyle name="Normal 6 6 3 3 2 3" xfId="1892"/>
    <cellStyle name="Normal 6 6 3 3 3" xfId="1143"/>
    <cellStyle name="Normal 6 6 3 3 3 2" xfId="2145"/>
    <cellStyle name="Normal 6 6 3 3 4" xfId="1644"/>
    <cellStyle name="Normal 6 6 3 4" xfId="763"/>
    <cellStyle name="Normal 6 6 3 4 2" xfId="1267"/>
    <cellStyle name="Normal 6 6 3 4 2 2" xfId="2269"/>
    <cellStyle name="Normal 6 6 3 4 3" xfId="1768"/>
    <cellStyle name="Normal 6 6 3 5" xfId="1019"/>
    <cellStyle name="Normal 6 6 3 5 2" xfId="2021"/>
    <cellStyle name="Normal 6 6 3 6" xfId="1520"/>
    <cellStyle name="Normal 6 6 4" xfId="570"/>
    <cellStyle name="Normal 6 6 4 2" xfId="694"/>
    <cellStyle name="Normal 6 6 4 2 2" xfId="942"/>
    <cellStyle name="Normal 6 6 4 2 2 2" xfId="1446"/>
    <cellStyle name="Normal 6 6 4 2 2 2 2" xfId="2448"/>
    <cellStyle name="Normal 6 6 4 2 2 3" xfId="1947"/>
    <cellStyle name="Normal 6 6 4 2 3" xfId="1198"/>
    <cellStyle name="Normal 6 6 4 2 3 2" xfId="2200"/>
    <cellStyle name="Normal 6 6 4 2 4" xfId="1699"/>
    <cellStyle name="Normal 6 6 4 3" xfId="818"/>
    <cellStyle name="Normal 6 6 4 3 2" xfId="1322"/>
    <cellStyle name="Normal 6 6 4 3 2 2" xfId="2324"/>
    <cellStyle name="Normal 6 6 4 3 3" xfId="1823"/>
    <cellStyle name="Normal 6 6 4 4" xfId="1074"/>
    <cellStyle name="Normal 6 6 4 4 2" xfId="2076"/>
    <cellStyle name="Normal 6 6 4 5" xfId="1575"/>
    <cellStyle name="Normal 6 6 5" xfId="597"/>
    <cellStyle name="Normal 6 6 5 2" xfId="845"/>
    <cellStyle name="Normal 6 6 5 2 2" xfId="1349"/>
    <cellStyle name="Normal 6 6 5 2 2 2" xfId="2351"/>
    <cellStyle name="Normal 6 6 5 2 3" xfId="1850"/>
    <cellStyle name="Normal 6 6 5 3" xfId="1101"/>
    <cellStyle name="Normal 6 6 5 3 2" xfId="2103"/>
    <cellStyle name="Normal 6 6 5 4" xfId="1602"/>
    <cellStyle name="Normal 6 6 6" xfId="721"/>
    <cellStyle name="Normal 6 6 6 2" xfId="1225"/>
    <cellStyle name="Normal 6 6 6 2 2" xfId="2227"/>
    <cellStyle name="Normal 6 6 6 3" xfId="1726"/>
    <cellStyle name="Normal 6 6 7" xfId="977"/>
    <cellStyle name="Normal 6 6 7 2" xfId="1979"/>
    <cellStyle name="Normal 6 6 8" xfId="1478"/>
    <cellStyle name="Normal 6 7" xfId="467"/>
    <cellStyle name="Normal 6 7 2" xfId="497"/>
    <cellStyle name="Normal 6 7 2 2" xfId="574"/>
    <cellStyle name="Normal 6 7 2 2 2" xfId="698"/>
    <cellStyle name="Normal 6 7 2 2 2 2" xfId="946"/>
    <cellStyle name="Normal 6 7 2 2 2 2 2" xfId="1450"/>
    <cellStyle name="Normal 6 7 2 2 2 2 2 2" xfId="2452"/>
    <cellStyle name="Normal 6 7 2 2 2 2 3" xfId="1951"/>
    <cellStyle name="Normal 6 7 2 2 2 3" xfId="1202"/>
    <cellStyle name="Normal 6 7 2 2 2 3 2" xfId="2204"/>
    <cellStyle name="Normal 6 7 2 2 2 4" xfId="1703"/>
    <cellStyle name="Normal 6 7 2 2 3" xfId="822"/>
    <cellStyle name="Normal 6 7 2 2 3 2" xfId="1326"/>
    <cellStyle name="Normal 6 7 2 2 3 2 2" xfId="2328"/>
    <cellStyle name="Normal 6 7 2 2 3 3" xfId="1827"/>
    <cellStyle name="Normal 6 7 2 2 4" xfId="1078"/>
    <cellStyle name="Normal 6 7 2 2 4 2" xfId="2080"/>
    <cellStyle name="Normal 6 7 2 2 5" xfId="1579"/>
    <cellStyle name="Normal 6 7 2 3" xfId="621"/>
    <cellStyle name="Normal 6 7 2 3 2" xfId="869"/>
    <cellStyle name="Normal 6 7 2 3 2 2" xfId="1373"/>
    <cellStyle name="Normal 6 7 2 3 2 2 2" xfId="2375"/>
    <cellStyle name="Normal 6 7 2 3 2 3" xfId="1874"/>
    <cellStyle name="Normal 6 7 2 3 3" xfId="1125"/>
    <cellStyle name="Normal 6 7 2 3 3 2" xfId="2127"/>
    <cellStyle name="Normal 6 7 2 3 4" xfId="1626"/>
    <cellStyle name="Normal 6 7 2 4" xfId="745"/>
    <cellStyle name="Normal 6 7 2 4 2" xfId="1249"/>
    <cellStyle name="Normal 6 7 2 4 2 2" xfId="2251"/>
    <cellStyle name="Normal 6 7 2 4 3" xfId="1750"/>
    <cellStyle name="Normal 6 7 2 5" xfId="1001"/>
    <cellStyle name="Normal 6 7 2 5 2" xfId="2003"/>
    <cellStyle name="Normal 6 7 2 6" xfId="1502"/>
    <cellStyle name="Normal 6 7 3" xfId="517"/>
    <cellStyle name="Normal 6 7 3 2" xfId="575"/>
    <cellStyle name="Normal 6 7 3 2 2" xfId="699"/>
    <cellStyle name="Normal 6 7 3 2 2 2" xfId="947"/>
    <cellStyle name="Normal 6 7 3 2 2 2 2" xfId="1451"/>
    <cellStyle name="Normal 6 7 3 2 2 2 2 2" xfId="2453"/>
    <cellStyle name="Normal 6 7 3 2 2 2 3" xfId="1952"/>
    <cellStyle name="Normal 6 7 3 2 2 3" xfId="1203"/>
    <cellStyle name="Normal 6 7 3 2 2 3 2" xfId="2205"/>
    <cellStyle name="Normal 6 7 3 2 2 4" xfId="1704"/>
    <cellStyle name="Normal 6 7 3 2 3" xfId="823"/>
    <cellStyle name="Normal 6 7 3 2 3 2" xfId="1327"/>
    <cellStyle name="Normal 6 7 3 2 3 2 2" xfId="2329"/>
    <cellStyle name="Normal 6 7 3 2 3 3" xfId="1828"/>
    <cellStyle name="Normal 6 7 3 2 4" xfId="1079"/>
    <cellStyle name="Normal 6 7 3 2 4 2" xfId="2081"/>
    <cellStyle name="Normal 6 7 3 2 5" xfId="1580"/>
    <cellStyle name="Normal 6 7 3 3" xfId="641"/>
    <cellStyle name="Normal 6 7 3 3 2" xfId="889"/>
    <cellStyle name="Normal 6 7 3 3 2 2" xfId="1393"/>
    <cellStyle name="Normal 6 7 3 3 2 2 2" xfId="2395"/>
    <cellStyle name="Normal 6 7 3 3 2 3" xfId="1894"/>
    <cellStyle name="Normal 6 7 3 3 3" xfId="1145"/>
    <cellStyle name="Normal 6 7 3 3 3 2" xfId="2147"/>
    <cellStyle name="Normal 6 7 3 3 4" xfId="1646"/>
    <cellStyle name="Normal 6 7 3 4" xfId="765"/>
    <cellStyle name="Normal 6 7 3 4 2" xfId="1269"/>
    <cellStyle name="Normal 6 7 3 4 2 2" xfId="2271"/>
    <cellStyle name="Normal 6 7 3 4 3" xfId="1770"/>
    <cellStyle name="Normal 6 7 3 5" xfId="1021"/>
    <cellStyle name="Normal 6 7 3 5 2" xfId="2023"/>
    <cellStyle name="Normal 6 7 3 6" xfId="1522"/>
    <cellStyle name="Normal 6 7 4" xfId="573"/>
    <cellStyle name="Normal 6 7 4 2" xfId="697"/>
    <cellStyle name="Normal 6 7 4 2 2" xfId="945"/>
    <cellStyle name="Normal 6 7 4 2 2 2" xfId="1449"/>
    <cellStyle name="Normal 6 7 4 2 2 2 2" xfId="2451"/>
    <cellStyle name="Normal 6 7 4 2 2 3" xfId="1950"/>
    <cellStyle name="Normal 6 7 4 2 3" xfId="1201"/>
    <cellStyle name="Normal 6 7 4 2 3 2" xfId="2203"/>
    <cellStyle name="Normal 6 7 4 2 4" xfId="1702"/>
    <cellStyle name="Normal 6 7 4 3" xfId="821"/>
    <cellStyle name="Normal 6 7 4 3 2" xfId="1325"/>
    <cellStyle name="Normal 6 7 4 3 2 2" xfId="2327"/>
    <cellStyle name="Normal 6 7 4 3 3" xfId="1826"/>
    <cellStyle name="Normal 6 7 4 4" xfId="1077"/>
    <cellStyle name="Normal 6 7 4 4 2" xfId="2079"/>
    <cellStyle name="Normal 6 7 4 5" xfId="1578"/>
    <cellStyle name="Normal 6 7 5" xfId="599"/>
    <cellStyle name="Normal 6 7 5 2" xfId="847"/>
    <cellStyle name="Normal 6 7 5 2 2" xfId="1351"/>
    <cellStyle name="Normal 6 7 5 2 2 2" xfId="2353"/>
    <cellStyle name="Normal 6 7 5 2 3" xfId="1852"/>
    <cellStyle name="Normal 6 7 5 3" xfId="1103"/>
    <cellStyle name="Normal 6 7 5 3 2" xfId="2105"/>
    <cellStyle name="Normal 6 7 5 4" xfId="1604"/>
    <cellStyle name="Normal 6 7 6" xfId="723"/>
    <cellStyle name="Normal 6 7 6 2" xfId="1227"/>
    <cellStyle name="Normal 6 7 6 2 2" xfId="2229"/>
    <cellStyle name="Normal 6 7 6 3" xfId="1728"/>
    <cellStyle name="Normal 6 7 7" xfId="979"/>
    <cellStyle name="Normal 6 7 7 2" xfId="1981"/>
    <cellStyle name="Normal 6 7 8" xfId="1480"/>
    <cellStyle name="Normal 6 8" xfId="469"/>
    <cellStyle name="Normal 6 8 2" xfId="499"/>
    <cellStyle name="Normal 6 8 2 2" xfId="577"/>
    <cellStyle name="Normal 6 8 2 2 2" xfId="701"/>
    <cellStyle name="Normal 6 8 2 2 2 2" xfId="949"/>
    <cellStyle name="Normal 6 8 2 2 2 2 2" xfId="1453"/>
    <cellStyle name="Normal 6 8 2 2 2 2 2 2" xfId="2455"/>
    <cellStyle name="Normal 6 8 2 2 2 2 3" xfId="1954"/>
    <cellStyle name="Normal 6 8 2 2 2 3" xfId="1205"/>
    <cellStyle name="Normal 6 8 2 2 2 3 2" xfId="2207"/>
    <cellStyle name="Normal 6 8 2 2 2 4" xfId="1706"/>
    <cellStyle name="Normal 6 8 2 2 3" xfId="825"/>
    <cellStyle name="Normal 6 8 2 2 3 2" xfId="1329"/>
    <cellStyle name="Normal 6 8 2 2 3 2 2" xfId="2331"/>
    <cellStyle name="Normal 6 8 2 2 3 3" xfId="1830"/>
    <cellStyle name="Normal 6 8 2 2 4" xfId="1081"/>
    <cellStyle name="Normal 6 8 2 2 4 2" xfId="2083"/>
    <cellStyle name="Normal 6 8 2 2 5" xfId="1582"/>
    <cellStyle name="Normal 6 8 2 3" xfId="623"/>
    <cellStyle name="Normal 6 8 2 3 2" xfId="871"/>
    <cellStyle name="Normal 6 8 2 3 2 2" xfId="1375"/>
    <cellStyle name="Normal 6 8 2 3 2 2 2" xfId="2377"/>
    <cellStyle name="Normal 6 8 2 3 2 3" xfId="1876"/>
    <cellStyle name="Normal 6 8 2 3 3" xfId="1127"/>
    <cellStyle name="Normal 6 8 2 3 3 2" xfId="2129"/>
    <cellStyle name="Normal 6 8 2 3 4" xfId="1628"/>
    <cellStyle name="Normal 6 8 2 4" xfId="747"/>
    <cellStyle name="Normal 6 8 2 4 2" xfId="1251"/>
    <cellStyle name="Normal 6 8 2 4 2 2" xfId="2253"/>
    <cellStyle name="Normal 6 8 2 4 3" xfId="1752"/>
    <cellStyle name="Normal 6 8 2 5" xfId="1003"/>
    <cellStyle name="Normal 6 8 2 5 2" xfId="2005"/>
    <cellStyle name="Normal 6 8 2 6" xfId="1504"/>
    <cellStyle name="Normal 6 8 3" xfId="519"/>
    <cellStyle name="Normal 6 8 3 2" xfId="578"/>
    <cellStyle name="Normal 6 8 3 2 2" xfId="702"/>
    <cellStyle name="Normal 6 8 3 2 2 2" xfId="950"/>
    <cellStyle name="Normal 6 8 3 2 2 2 2" xfId="1454"/>
    <cellStyle name="Normal 6 8 3 2 2 2 2 2" xfId="2456"/>
    <cellStyle name="Normal 6 8 3 2 2 2 3" xfId="1955"/>
    <cellStyle name="Normal 6 8 3 2 2 3" xfId="1206"/>
    <cellStyle name="Normal 6 8 3 2 2 3 2" xfId="2208"/>
    <cellStyle name="Normal 6 8 3 2 2 4" xfId="1707"/>
    <cellStyle name="Normal 6 8 3 2 3" xfId="826"/>
    <cellStyle name="Normal 6 8 3 2 3 2" xfId="1330"/>
    <cellStyle name="Normal 6 8 3 2 3 2 2" xfId="2332"/>
    <cellStyle name="Normal 6 8 3 2 3 3" xfId="1831"/>
    <cellStyle name="Normal 6 8 3 2 4" xfId="1082"/>
    <cellStyle name="Normal 6 8 3 2 4 2" xfId="2084"/>
    <cellStyle name="Normal 6 8 3 2 5" xfId="1583"/>
    <cellStyle name="Normal 6 8 3 3" xfId="643"/>
    <cellStyle name="Normal 6 8 3 3 2" xfId="891"/>
    <cellStyle name="Normal 6 8 3 3 2 2" xfId="1395"/>
    <cellStyle name="Normal 6 8 3 3 2 2 2" xfId="2397"/>
    <cellStyle name="Normal 6 8 3 3 2 3" xfId="1896"/>
    <cellStyle name="Normal 6 8 3 3 3" xfId="1147"/>
    <cellStyle name="Normal 6 8 3 3 3 2" xfId="2149"/>
    <cellStyle name="Normal 6 8 3 3 4" xfId="1648"/>
    <cellStyle name="Normal 6 8 3 4" xfId="767"/>
    <cellStyle name="Normal 6 8 3 4 2" xfId="1271"/>
    <cellStyle name="Normal 6 8 3 4 2 2" xfId="2273"/>
    <cellStyle name="Normal 6 8 3 4 3" xfId="1772"/>
    <cellStyle name="Normal 6 8 3 5" xfId="1023"/>
    <cellStyle name="Normal 6 8 3 5 2" xfId="2025"/>
    <cellStyle name="Normal 6 8 3 6" xfId="1524"/>
    <cellStyle name="Normal 6 8 4" xfId="576"/>
    <cellStyle name="Normal 6 8 4 2" xfId="700"/>
    <cellStyle name="Normal 6 8 4 2 2" xfId="948"/>
    <cellStyle name="Normal 6 8 4 2 2 2" xfId="1452"/>
    <cellStyle name="Normal 6 8 4 2 2 2 2" xfId="2454"/>
    <cellStyle name="Normal 6 8 4 2 2 3" xfId="1953"/>
    <cellStyle name="Normal 6 8 4 2 3" xfId="1204"/>
    <cellStyle name="Normal 6 8 4 2 3 2" xfId="2206"/>
    <cellStyle name="Normal 6 8 4 2 4" xfId="1705"/>
    <cellStyle name="Normal 6 8 4 3" xfId="824"/>
    <cellStyle name="Normal 6 8 4 3 2" xfId="1328"/>
    <cellStyle name="Normal 6 8 4 3 2 2" xfId="2330"/>
    <cellStyle name="Normal 6 8 4 3 3" xfId="1829"/>
    <cellStyle name="Normal 6 8 4 4" xfId="1080"/>
    <cellStyle name="Normal 6 8 4 4 2" xfId="2082"/>
    <cellStyle name="Normal 6 8 4 5" xfId="1581"/>
    <cellStyle name="Normal 6 8 5" xfId="601"/>
    <cellStyle name="Normal 6 8 5 2" xfId="849"/>
    <cellStyle name="Normal 6 8 5 2 2" xfId="1353"/>
    <cellStyle name="Normal 6 8 5 2 2 2" xfId="2355"/>
    <cellStyle name="Normal 6 8 5 2 3" xfId="1854"/>
    <cellStyle name="Normal 6 8 5 3" xfId="1105"/>
    <cellStyle name="Normal 6 8 5 3 2" xfId="2107"/>
    <cellStyle name="Normal 6 8 5 4" xfId="1606"/>
    <cellStyle name="Normal 6 8 6" xfId="725"/>
    <cellStyle name="Normal 6 8 6 2" xfId="1229"/>
    <cellStyle name="Normal 6 8 6 2 2" xfId="2231"/>
    <cellStyle name="Normal 6 8 6 3" xfId="1730"/>
    <cellStyle name="Normal 6 8 7" xfId="981"/>
    <cellStyle name="Normal 6 8 7 2" xfId="1983"/>
    <cellStyle name="Normal 6 8 8" xfId="1482"/>
    <cellStyle name="Normal 6 9" xfId="483"/>
    <cellStyle name="Normal 7" xfId="321"/>
    <cellStyle name="Normal 8" xfId="322"/>
    <cellStyle name="Normal 9" xfId="323"/>
    <cellStyle name="Note 10" xfId="324"/>
    <cellStyle name="Note 11" xfId="325"/>
    <cellStyle name="Note 2" xfId="326"/>
    <cellStyle name="Note 2 2" xfId="327"/>
    <cellStyle name="Note 2_Allocators" xfId="328"/>
    <cellStyle name="Note 3" xfId="329"/>
    <cellStyle name="Note 3 2" xfId="330"/>
    <cellStyle name="Note 3 3" xfId="331"/>
    <cellStyle name="Note 3_Allocators" xfId="332"/>
    <cellStyle name="Note 4" xfId="333"/>
    <cellStyle name="Note 4 2" xfId="334"/>
    <cellStyle name="Note 4_Allocators" xfId="335"/>
    <cellStyle name="Note 5" xfId="336"/>
    <cellStyle name="Note 6" xfId="337"/>
    <cellStyle name="Note 6 2" xfId="338"/>
    <cellStyle name="Note 6_Allocators" xfId="339"/>
    <cellStyle name="Note 7" xfId="340"/>
    <cellStyle name="Note 7 2" xfId="341"/>
    <cellStyle name="Note 8" xfId="342"/>
    <cellStyle name="Note 9" xfId="343"/>
    <cellStyle name="nPlosion" xfId="344"/>
    <cellStyle name="nvision" xfId="345"/>
    <cellStyle name="Output 2" xfId="346"/>
    <cellStyle name="Output 3" xfId="347"/>
    <cellStyle name="Output 4" xfId="348"/>
    <cellStyle name="Output 5" xfId="349"/>
    <cellStyle name="Output 6" xfId="350"/>
    <cellStyle name="Percent" xfId="2" builtinId="5"/>
    <cellStyle name="Percent 10" xfId="351"/>
    <cellStyle name="Percent 11" xfId="352"/>
    <cellStyle name="Percent 12" xfId="353"/>
    <cellStyle name="Percent 13" xfId="354"/>
    <cellStyle name="Percent 13 2" xfId="484"/>
    <cellStyle name="Percent 13 2 2" xfId="580"/>
    <cellStyle name="Percent 13 2 2 2" xfId="704"/>
    <cellStyle name="Percent 13 2 2 2 2" xfId="952"/>
    <cellStyle name="Percent 13 2 2 2 2 2" xfId="1456"/>
    <cellStyle name="Percent 13 2 2 2 2 2 2" xfId="2458"/>
    <cellStyle name="Percent 13 2 2 2 2 3" xfId="1957"/>
    <cellStyle name="Percent 13 2 2 2 3" xfId="1208"/>
    <cellStyle name="Percent 13 2 2 2 3 2" xfId="2210"/>
    <cellStyle name="Percent 13 2 2 2 4" xfId="1709"/>
    <cellStyle name="Percent 13 2 2 3" xfId="828"/>
    <cellStyle name="Percent 13 2 2 3 2" xfId="1332"/>
    <cellStyle name="Percent 13 2 2 3 2 2" xfId="2334"/>
    <cellStyle name="Percent 13 2 2 3 3" xfId="1833"/>
    <cellStyle name="Percent 13 2 2 4" xfId="1084"/>
    <cellStyle name="Percent 13 2 2 4 2" xfId="2086"/>
    <cellStyle name="Percent 13 2 2 5" xfId="1585"/>
    <cellStyle name="Percent 13 2 3" xfId="609"/>
    <cellStyle name="Percent 13 2 3 2" xfId="857"/>
    <cellStyle name="Percent 13 2 3 2 2" xfId="1361"/>
    <cellStyle name="Percent 13 2 3 2 2 2" xfId="2363"/>
    <cellStyle name="Percent 13 2 3 2 3" xfId="1862"/>
    <cellStyle name="Percent 13 2 3 3" xfId="1113"/>
    <cellStyle name="Percent 13 2 3 3 2" xfId="2115"/>
    <cellStyle name="Percent 13 2 3 4" xfId="1614"/>
    <cellStyle name="Percent 13 2 4" xfId="733"/>
    <cellStyle name="Percent 13 2 4 2" xfId="1237"/>
    <cellStyle name="Percent 13 2 4 2 2" xfId="2239"/>
    <cellStyle name="Percent 13 2 4 3" xfId="1738"/>
    <cellStyle name="Percent 13 2 5" xfId="989"/>
    <cellStyle name="Percent 13 2 5 2" xfId="1991"/>
    <cellStyle name="Percent 13 2 6" xfId="1490"/>
    <cellStyle name="Percent 13 3" xfId="505"/>
    <cellStyle name="Percent 13 3 2" xfId="581"/>
    <cellStyle name="Percent 13 3 2 2" xfId="705"/>
    <cellStyle name="Percent 13 3 2 2 2" xfId="953"/>
    <cellStyle name="Percent 13 3 2 2 2 2" xfId="1457"/>
    <cellStyle name="Percent 13 3 2 2 2 2 2" xfId="2459"/>
    <cellStyle name="Percent 13 3 2 2 2 3" xfId="1958"/>
    <cellStyle name="Percent 13 3 2 2 3" xfId="1209"/>
    <cellStyle name="Percent 13 3 2 2 3 2" xfId="2211"/>
    <cellStyle name="Percent 13 3 2 2 4" xfId="1710"/>
    <cellStyle name="Percent 13 3 2 3" xfId="829"/>
    <cellStyle name="Percent 13 3 2 3 2" xfId="1333"/>
    <cellStyle name="Percent 13 3 2 3 2 2" xfId="2335"/>
    <cellStyle name="Percent 13 3 2 3 3" xfId="1834"/>
    <cellStyle name="Percent 13 3 2 4" xfId="1085"/>
    <cellStyle name="Percent 13 3 2 4 2" xfId="2087"/>
    <cellStyle name="Percent 13 3 2 5" xfId="1586"/>
    <cellStyle name="Percent 13 3 3" xfId="629"/>
    <cellStyle name="Percent 13 3 3 2" xfId="877"/>
    <cellStyle name="Percent 13 3 3 2 2" xfId="1381"/>
    <cellStyle name="Percent 13 3 3 2 2 2" xfId="2383"/>
    <cellStyle name="Percent 13 3 3 2 3" xfId="1882"/>
    <cellStyle name="Percent 13 3 3 3" xfId="1133"/>
    <cellStyle name="Percent 13 3 3 3 2" xfId="2135"/>
    <cellStyle name="Percent 13 3 3 4" xfId="1634"/>
    <cellStyle name="Percent 13 3 4" xfId="753"/>
    <cellStyle name="Percent 13 3 4 2" xfId="1257"/>
    <cellStyle name="Percent 13 3 4 2 2" xfId="2259"/>
    <cellStyle name="Percent 13 3 4 3" xfId="1758"/>
    <cellStyle name="Percent 13 3 5" xfId="1009"/>
    <cellStyle name="Percent 13 3 5 2" xfId="2011"/>
    <cellStyle name="Percent 13 3 6" xfId="1510"/>
    <cellStyle name="Percent 13 4" xfId="579"/>
    <cellStyle name="Percent 13 4 2" xfId="703"/>
    <cellStyle name="Percent 13 4 2 2" xfId="951"/>
    <cellStyle name="Percent 13 4 2 2 2" xfId="1455"/>
    <cellStyle name="Percent 13 4 2 2 2 2" xfId="2457"/>
    <cellStyle name="Percent 13 4 2 2 3" xfId="1956"/>
    <cellStyle name="Percent 13 4 2 3" xfId="1207"/>
    <cellStyle name="Percent 13 4 2 3 2" xfId="2209"/>
    <cellStyle name="Percent 13 4 2 4" xfId="1708"/>
    <cellStyle name="Percent 13 4 3" xfId="827"/>
    <cellStyle name="Percent 13 4 3 2" xfId="1331"/>
    <cellStyle name="Percent 13 4 3 2 2" xfId="2333"/>
    <cellStyle name="Percent 13 4 3 3" xfId="1832"/>
    <cellStyle name="Percent 13 4 4" xfId="1083"/>
    <cellStyle name="Percent 13 4 4 2" xfId="2085"/>
    <cellStyle name="Percent 13 4 5" xfId="1584"/>
    <cellStyle name="Percent 13 5" xfId="587"/>
    <cellStyle name="Percent 13 5 2" xfId="835"/>
    <cellStyle name="Percent 13 5 2 2" xfId="1339"/>
    <cellStyle name="Percent 13 5 2 2 2" xfId="2341"/>
    <cellStyle name="Percent 13 5 2 3" xfId="1840"/>
    <cellStyle name="Percent 13 5 3" xfId="1091"/>
    <cellStyle name="Percent 13 5 3 2" xfId="2093"/>
    <cellStyle name="Percent 13 5 4" xfId="1592"/>
    <cellStyle name="Percent 13 6" xfId="711"/>
    <cellStyle name="Percent 13 6 2" xfId="1215"/>
    <cellStyle name="Percent 13 6 2 2" xfId="2217"/>
    <cellStyle name="Percent 13 6 3" xfId="1716"/>
    <cellStyle name="Percent 13 7" xfId="967"/>
    <cellStyle name="Percent 13 7 2" xfId="1969"/>
    <cellStyle name="Percent 13 8" xfId="1468"/>
    <cellStyle name="Percent 2" xfId="355"/>
    <cellStyle name="Percent 2 2" xfId="356"/>
    <cellStyle name="Percent 3" xfId="357"/>
    <cellStyle name="Percent 3 2" xfId="358"/>
    <cellStyle name="Percent 3 3" xfId="359"/>
    <cellStyle name="Percent 3 4" xfId="455"/>
    <cellStyle name="Percent 3 5" xfId="485"/>
    <cellStyle name="Percent 4" xfId="360"/>
    <cellStyle name="Percent 4 2" xfId="361"/>
    <cellStyle name="Percent 4 3" xfId="362"/>
    <cellStyle name="Percent 4 4" xfId="363"/>
    <cellStyle name="Percent 5" xfId="364"/>
    <cellStyle name="Percent 5 2" xfId="365"/>
    <cellStyle name="Percent 6" xfId="366"/>
    <cellStyle name="Percent 6 2" xfId="367"/>
    <cellStyle name="Percent 7" xfId="368"/>
    <cellStyle name="Percent 8" xfId="369"/>
    <cellStyle name="Percent 9" xfId="370"/>
    <cellStyle name="PSChar" xfId="371"/>
    <cellStyle name="PSChar 2" xfId="372"/>
    <cellStyle name="PSChar 2 2" xfId="373"/>
    <cellStyle name="PSChar 2 3" xfId="374"/>
    <cellStyle name="PSChar 3" xfId="375"/>
    <cellStyle name="PSChar 3 2" xfId="376"/>
    <cellStyle name="PSChar 4" xfId="377"/>
    <cellStyle name="PSChar 5" xfId="378"/>
    <cellStyle name="PSChar 6" xfId="379"/>
    <cellStyle name="PSDate" xfId="380"/>
    <cellStyle name="PSDate 2" xfId="381"/>
    <cellStyle name="PSDate 2 2" xfId="382"/>
    <cellStyle name="PSDate 2 3" xfId="383"/>
    <cellStyle name="PSDate 3" xfId="384"/>
    <cellStyle name="PSDate 3 2" xfId="385"/>
    <cellStyle name="PSDate 4" xfId="386"/>
    <cellStyle name="PSDate 5" xfId="387"/>
    <cellStyle name="PSDate 6" xfId="388"/>
    <cellStyle name="PSDec" xfId="389"/>
    <cellStyle name="PSDec 2" xfId="390"/>
    <cellStyle name="PSDec 2 2" xfId="391"/>
    <cellStyle name="PSDec 2 3" xfId="392"/>
    <cellStyle name="PSDec 3" xfId="393"/>
    <cellStyle name="PSDec 3 2" xfId="394"/>
    <cellStyle name="PSDec 4" xfId="395"/>
    <cellStyle name="PSDec 5" xfId="396"/>
    <cellStyle name="PSDec 6" xfId="397"/>
    <cellStyle name="PSHeading" xfId="398"/>
    <cellStyle name="PSHeading 10" xfId="399"/>
    <cellStyle name="PSHeading 11" xfId="400"/>
    <cellStyle name="PSHeading 2" xfId="401"/>
    <cellStyle name="PSHeading 2 2" xfId="402"/>
    <cellStyle name="PSHeading 2 3" xfId="403"/>
    <cellStyle name="PSHeading 2_108 Summary" xfId="404"/>
    <cellStyle name="PSHeading 3" xfId="405"/>
    <cellStyle name="PSHeading 3 2" xfId="406"/>
    <cellStyle name="PSHeading 3_108 Summary" xfId="407"/>
    <cellStyle name="PSHeading 4" xfId="408"/>
    <cellStyle name="PSHeading 5" xfId="409"/>
    <cellStyle name="PSHeading 6" xfId="410"/>
    <cellStyle name="PSHeading 7" xfId="411"/>
    <cellStyle name="PSHeading 8" xfId="412"/>
    <cellStyle name="PSHeading 9" xfId="413"/>
    <cellStyle name="PSHeading_101 check" xfId="414"/>
    <cellStyle name="PSInt" xfId="415"/>
    <cellStyle name="PSInt 2" xfId="416"/>
    <cellStyle name="PSInt 2 2" xfId="417"/>
    <cellStyle name="PSInt 2 3" xfId="418"/>
    <cellStyle name="PSInt 3" xfId="419"/>
    <cellStyle name="PSInt 3 2" xfId="420"/>
    <cellStyle name="PSInt 4" xfId="421"/>
    <cellStyle name="PSInt 5" xfId="422"/>
    <cellStyle name="PSInt 6" xfId="423"/>
    <cellStyle name="PSSpacer" xfId="424"/>
    <cellStyle name="PSSpacer 2" xfId="425"/>
    <cellStyle name="PSSpacer 2 2" xfId="426"/>
    <cellStyle name="PSSpacer 2 3" xfId="427"/>
    <cellStyle name="PSSpacer 3" xfId="428"/>
    <cellStyle name="PSSpacer 3 2" xfId="429"/>
    <cellStyle name="PSSpacer 4" xfId="430"/>
    <cellStyle name="PSSpacer 5" xfId="431"/>
    <cellStyle name="PSSpacer 6" xfId="432"/>
    <cellStyle name="Title 2" xfId="433"/>
    <cellStyle name="Title 3" xfId="434"/>
    <cellStyle name="Title 4" xfId="435"/>
    <cellStyle name="Title 5" xfId="436"/>
    <cellStyle name="Total 2" xfId="437"/>
    <cellStyle name="Total 3" xfId="438"/>
    <cellStyle name="Total 4" xfId="439"/>
    <cellStyle name="Total 5" xfId="440"/>
    <cellStyle name="Total 6" xfId="441"/>
    <cellStyle name="Total 7" xfId="442"/>
    <cellStyle name="Total 8" xfId="443"/>
    <cellStyle name="Warning Text 2" xfId="444"/>
    <cellStyle name="Warning Text 3" xfId="445"/>
    <cellStyle name="Warning Text 4" xfId="446"/>
    <cellStyle name="Warning Text 5" xfId="447"/>
    <cellStyle name="Warning Text 6" xfId="448"/>
  </cellStyles>
  <dxfs count="0"/>
  <tableStyles count="0" defaultTableStyle="TableStyleMedium2" defaultPivotStyle="PivotStyleLight16"/>
  <colors>
    <mruColors>
      <color rgb="FFFF66FF"/>
      <color rgb="FFFFFF99"/>
      <color rgb="FF66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zoomScale="90" zoomScaleNormal="90" workbookViewId="0">
      <selection activeCell="D27" sqref="D27"/>
    </sheetView>
  </sheetViews>
  <sheetFormatPr defaultColWidth="9.140625" defaultRowHeight="12.75"/>
  <cols>
    <col min="1" max="1" width="5.7109375" style="94" customWidth="1"/>
    <col min="2" max="2" width="57.42578125" style="94" customWidth="1"/>
    <col min="3" max="3" width="28.7109375" style="94" customWidth="1"/>
    <col min="4" max="4" width="19.7109375" style="94" customWidth="1"/>
    <col min="5" max="5" width="0.7109375" style="94" customWidth="1"/>
    <col min="6" max="6" width="27.85546875" style="94" customWidth="1"/>
    <col min="7" max="7" width="9.140625" style="94"/>
    <col min="8" max="8" width="12.7109375" style="94" hidden="1" customWidth="1"/>
    <col min="9" max="9" width="6.5703125" style="94" hidden="1" customWidth="1"/>
    <col min="10" max="11" width="0" style="94" hidden="1" customWidth="1"/>
    <col min="12" max="16384" width="9.140625" style="94"/>
  </cols>
  <sheetData>
    <row r="1" spans="1:13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>
      <c r="B2" s="420" t="s">
        <v>400</v>
      </c>
      <c r="C2" s="420"/>
      <c r="D2" s="420"/>
      <c r="E2" s="420"/>
      <c r="F2" s="421"/>
      <c r="G2" s="40"/>
      <c r="H2" s="40"/>
      <c r="I2" s="40"/>
      <c r="J2" s="40"/>
      <c r="K2" s="40"/>
      <c r="L2" s="40"/>
      <c r="M2" s="40"/>
    </row>
    <row r="3" spans="1:13">
      <c r="B3" s="420" t="s">
        <v>941</v>
      </c>
      <c r="C3" s="420"/>
      <c r="D3" s="420"/>
      <c r="E3" s="420"/>
      <c r="F3" s="420"/>
      <c r="G3" s="40"/>
      <c r="H3" s="40"/>
      <c r="I3" s="40"/>
      <c r="J3" s="40"/>
      <c r="K3" s="40"/>
      <c r="L3" s="40"/>
      <c r="M3" s="40"/>
    </row>
    <row r="4" spans="1:13" ht="13.15" customHeight="1">
      <c r="B4" s="420" t="s">
        <v>1038</v>
      </c>
      <c r="C4" s="422"/>
      <c r="D4" s="422"/>
      <c r="E4" s="422"/>
      <c r="F4" s="422"/>
      <c r="G4" s="40"/>
      <c r="H4" s="40"/>
      <c r="I4" s="40"/>
      <c r="J4" s="40"/>
      <c r="K4" s="40"/>
      <c r="L4" s="40"/>
      <c r="M4" s="40"/>
    </row>
    <row r="5" spans="1:13">
      <c r="B5" s="335"/>
      <c r="C5" s="335"/>
      <c r="D5" s="335"/>
      <c r="E5" s="335"/>
      <c r="F5" s="335"/>
    </row>
    <row r="7" spans="1:13" ht="25.5">
      <c r="A7" s="336" t="s">
        <v>942</v>
      </c>
      <c r="C7" s="226" t="s">
        <v>943</v>
      </c>
      <c r="D7" s="226" t="s">
        <v>658</v>
      </c>
      <c r="E7" s="226"/>
      <c r="F7" s="337" t="s">
        <v>944</v>
      </c>
    </row>
    <row r="8" spans="1:13">
      <c r="A8" s="338" t="s">
        <v>962</v>
      </c>
      <c r="B8" s="3" t="s">
        <v>963</v>
      </c>
      <c r="C8" s="88" t="s">
        <v>966</v>
      </c>
      <c r="D8" s="339">
        <f>'Sch 4'!C7</f>
        <v>531745981.78999996</v>
      </c>
      <c r="E8" s="340"/>
      <c r="F8" s="88"/>
    </row>
    <row r="9" spans="1:13">
      <c r="A9" s="338" t="s">
        <v>964</v>
      </c>
      <c r="B9" s="3" t="s">
        <v>1062</v>
      </c>
      <c r="C9" s="88"/>
      <c r="D9" s="341">
        <v>759841.65</v>
      </c>
      <c r="E9" s="340"/>
      <c r="F9" s="88"/>
    </row>
    <row r="10" spans="1:13">
      <c r="A10" s="338" t="s">
        <v>12</v>
      </c>
      <c r="B10" s="3" t="s">
        <v>965</v>
      </c>
      <c r="C10" s="88"/>
      <c r="D10" s="339">
        <f>D8+D9</f>
        <v>532505823.43999994</v>
      </c>
      <c r="E10" s="340"/>
      <c r="F10" s="88"/>
      <c r="G10" s="88" t="s">
        <v>455</v>
      </c>
    </row>
    <row r="11" spans="1:13">
      <c r="A11" s="342"/>
      <c r="D11" s="340"/>
      <c r="E11" s="340"/>
    </row>
    <row r="12" spans="1:13">
      <c r="A12" s="338" t="s">
        <v>13</v>
      </c>
      <c r="B12" s="3" t="s">
        <v>945</v>
      </c>
      <c r="C12" s="88" t="s">
        <v>946</v>
      </c>
      <c r="D12" s="340">
        <f>'Sch 1'!I47</f>
        <v>70096743</v>
      </c>
      <c r="E12" s="340"/>
      <c r="F12" s="343">
        <f>ROUND(D12/D10,4)</f>
        <v>0.13159999999999999</v>
      </c>
    </row>
    <row r="13" spans="1:13">
      <c r="A13" s="342"/>
      <c r="D13" s="340"/>
      <c r="E13" s="340"/>
      <c r="F13" s="344"/>
      <c r="H13" s="345"/>
      <c r="I13" s="346"/>
    </row>
    <row r="14" spans="1:13">
      <c r="A14" s="342">
        <f>A12-1</f>
        <v>-3</v>
      </c>
      <c r="B14" s="3" t="s">
        <v>1060</v>
      </c>
      <c r="C14" s="88" t="s">
        <v>947</v>
      </c>
      <c r="D14" s="340">
        <v>-6200000</v>
      </c>
      <c r="E14" s="340"/>
      <c r="F14" s="343">
        <f>ROUND((D12+D14)/D10,4)</f>
        <v>0.12</v>
      </c>
      <c r="H14" s="345"/>
      <c r="I14" s="346"/>
    </row>
    <row r="15" spans="1:13">
      <c r="A15" s="342"/>
      <c r="B15" s="3"/>
      <c r="C15" s="3"/>
      <c r="D15" s="205"/>
      <c r="E15" s="205"/>
      <c r="F15" s="343"/>
      <c r="H15" s="345"/>
      <c r="I15" s="346"/>
    </row>
    <row r="16" spans="1:13">
      <c r="A16" s="338" t="s">
        <v>940</v>
      </c>
      <c r="B16" s="3" t="s">
        <v>1061</v>
      </c>
      <c r="C16" s="88" t="s">
        <v>947</v>
      </c>
      <c r="D16" s="340">
        <v>1105045.801336803</v>
      </c>
      <c r="E16" s="340"/>
      <c r="F16" s="343">
        <f>ROUND((D12+D14+D16)/D10,4)</f>
        <v>0.1221</v>
      </c>
      <c r="H16" s="87"/>
      <c r="I16" s="346"/>
    </row>
    <row r="17" spans="1:9">
      <c r="A17" s="342"/>
      <c r="D17" s="347"/>
      <c r="E17" s="347"/>
      <c r="F17" s="344"/>
      <c r="H17" s="348"/>
      <c r="I17" s="346"/>
    </row>
    <row r="18" spans="1:9" ht="13.5" thickBot="1">
      <c r="A18" s="342">
        <f>A16-1</f>
        <v>-5</v>
      </c>
      <c r="B18" s="3" t="s">
        <v>948</v>
      </c>
      <c r="D18" s="349">
        <f>D12+D14+D16</f>
        <v>65001788.801336803</v>
      </c>
      <c r="E18" s="339"/>
      <c r="F18" s="350" t="s">
        <v>455</v>
      </c>
      <c r="H18" s="87"/>
      <c r="I18" s="346"/>
    </row>
    <row r="19" spans="1:9" ht="13.5" thickTop="1">
      <c r="A19" s="342"/>
      <c r="D19" s="347"/>
      <c r="E19" s="347"/>
      <c r="F19" s="344"/>
      <c r="H19" s="348"/>
      <c r="I19" s="346"/>
    </row>
    <row r="20" spans="1:9">
      <c r="D20" s="360"/>
      <c r="E20" s="351"/>
      <c r="F20" s="344"/>
      <c r="H20" s="348"/>
      <c r="I20" s="346"/>
    </row>
    <row r="21" spans="1:9">
      <c r="D21" s="360"/>
      <c r="E21" s="351"/>
      <c r="F21" s="344"/>
      <c r="H21" s="87"/>
      <c r="I21" s="346"/>
    </row>
    <row r="22" spans="1:9">
      <c r="D22" s="351"/>
      <c r="E22" s="351"/>
      <c r="F22" s="344"/>
    </row>
    <row r="23" spans="1:9">
      <c r="D23" s="345"/>
      <c r="E23" s="345"/>
      <c r="F23" s="344"/>
    </row>
    <row r="24" spans="1:9">
      <c r="D24" s="345"/>
      <c r="E24" s="345"/>
      <c r="F24" s="344"/>
    </row>
    <row r="25" spans="1:9">
      <c r="D25" s="345"/>
      <c r="E25" s="345"/>
    </row>
    <row r="26" spans="1:9">
      <c r="D26" s="345"/>
      <c r="E26" s="345"/>
    </row>
    <row r="27" spans="1:9">
      <c r="D27" s="352"/>
      <c r="E27" s="352"/>
    </row>
    <row r="28" spans="1:9">
      <c r="D28" s="1"/>
      <c r="E28" s="1"/>
    </row>
    <row r="29" spans="1:9">
      <c r="D29" s="1"/>
      <c r="E29" s="1"/>
    </row>
    <row r="30" spans="1:9" ht="13.15" customHeight="1">
      <c r="B30" s="88" t="s">
        <v>48</v>
      </c>
      <c r="D30" s="353"/>
      <c r="E30" s="353"/>
    </row>
    <row r="31" spans="1:9" ht="13.15" customHeight="1">
      <c r="D31" s="277"/>
      <c r="E31" s="277"/>
    </row>
    <row r="32" spans="1:9" ht="13.15" customHeight="1">
      <c r="D32" s="116"/>
      <c r="E32" s="116"/>
    </row>
    <row r="33" spans="4:6" ht="13.15" customHeight="1">
      <c r="D33" s="277"/>
      <c r="E33" s="277"/>
    </row>
    <row r="34" spans="4:6" ht="13.15" customHeight="1">
      <c r="D34" s="277"/>
      <c r="E34" s="277"/>
    </row>
    <row r="35" spans="4:6" ht="13.15" customHeight="1">
      <c r="D35" s="277"/>
      <c r="E35" s="277"/>
    </row>
    <row r="36" spans="4:6">
      <c r="D36" s="116"/>
      <c r="E36" s="116"/>
    </row>
    <row r="42" spans="4:6">
      <c r="F42" s="94" t="s">
        <v>455</v>
      </c>
    </row>
  </sheetData>
  <mergeCells count="3">
    <mergeCell ref="B2:F2"/>
    <mergeCell ref="B3:F3"/>
    <mergeCell ref="B4:F4"/>
  </mergeCells>
  <pageMargins left="0.7" right="0.7" top="0.75" bottom="0.75" header="0.3" footer="0.3"/>
  <pageSetup scale="65" orientation="portrait" r:id="rId1"/>
  <headerFooter>
    <oddHeader>&amp;RSECTION 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Normal="100" workbookViewId="0">
      <pane ySplit="8" topLeftCell="A27" activePane="bottomLeft" state="frozen"/>
      <selection activeCell="E18" sqref="E18"/>
      <selection pane="bottomLeft" activeCell="F41" sqref="F41"/>
    </sheetView>
  </sheetViews>
  <sheetFormatPr defaultColWidth="9.140625" defaultRowHeight="12.75"/>
  <cols>
    <col min="1" max="1" width="5" style="94" bestFit="1" customWidth="1"/>
    <col min="2" max="2" width="3.7109375" style="94" customWidth="1"/>
    <col min="3" max="3" width="43.5703125" style="41" bestFit="1" customWidth="1"/>
    <col min="4" max="4" width="3.7109375" style="41" customWidth="1"/>
    <col min="5" max="5" width="13.7109375" style="41" bestFit="1" customWidth="1"/>
    <col min="6" max="6" width="3.7109375" style="41" customWidth="1"/>
    <col min="7" max="7" width="13.140625" style="41" bestFit="1" customWidth="1"/>
    <col min="8" max="8" width="3.7109375" style="94" customWidth="1"/>
    <col min="9" max="9" width="13.7109375" style="297" bestFit="1" customWidth="1"/>
    <col min="10" max="10" width="3.7109375" style="94" customWidth="1"/>
    <col min="11" max="16384" width="9.140625" style="94"/>
  </cols>
  <sheetData>
    <row r="1" spans="1:9">
      <c r="C1" s="429" t="s">
        <v>334</v>
      </c>
      <c r="D1" s="429"/>
      <c r="E1" s="429"/>
      <c r="F1" s="429"/>
      <c r="G1" s="429"/>
      <c r="I1" s="100" t="s">
        <v>558</v>
      </c>
    </row>
    <row r="2" spans="1:9">
      <c r="C2" s="429" t="s">
        <v>958</v>
      </c>
      <c r="D2" s="429"/>
      <c r="E2" s="429"/>
      <c r="F2" s="429"/>
      <c r="G2" s="429"/>
      <c r="I2" s="100" t="s">
        <v>686</v>
      </c>
    </row>
    <row r="3" spans="1:9">
      <c r="C3" s="429" t="s">
        <v>959</v>
      </c>
      <c r="D3" s="429"/>
      <c r="E3" s="429"/>
      <c r="F3" s="429"/>
      <c r="G3" s="429"/>
      <c r="I3" s="100" t="s">
        <v>699</v>
      </c>
    </row>
    <row r="4" spans="1:9">
      <c r="C4" s="429" t="s">
        <v>993</v>
      </c>
      <c r="D4" s="429"/>
      <c r="E4" s="429"/>
      <c r="F4" s="429"/>
      <c r="G4" s="429"/>
      <c r="I4" s="41"/>
    </row>
    <row r="7" spans="1:9" ht="25.5">
      <c r="A7" s="296" t="s">
        <v>696</v>
      </c>
      <c r="B7" s="296"/>
      <c r="C7" s="296" t="s">
        <v>7</v>
      </c>
      <c r="D7" s="296"/>
      <c r="E7" s="296" t="s">
        <v>697</v>
      </c>
      <c r="F7" s="296"/>
      <c r="G7" s="296" t="s">
        <v>698</v>
      </c>
      <c r="I7" s="296" t="s">
        <v>658</v>
      </c>
    </row>
    <row r="8" spans="1:9">
      <c r="A8" s="298">
        <v>-1</v>
      </c>
      <c r="B8" s="298"/>
      <c r="C8" s="298">
        <f>+A8-1</f>
        <v>-2</v>
      </c>
      <c r="D8" s="298"/>
      <c r="E8" s="298">
        <f>+C8-1</f>
        <v>-3</v>
      </c>
      <c r="F8" s="298"/>
      <c r="G8" s="298">
        <f>+E8-1</f>
        <v>-4</v>
      </c>
      <c r="I8" s="298">
        <f>+G8-1</f>
        <v>-5</v>
      </c>
    </row>
    <row r="9" spans="1:9">
      <c r="A9" s="358"/>
      <c r="B9" s="358"/>
    </row>
    <row r="10" spans="1:9">
      <c r="A10" s="358">
        <v>1</v>
      </c>
      <c r="B10" s="358"/>
      <c r="C10" s="301" t="s">
        <v>793</v>
      </c>
      <c r="D10" s="301"/>
      <c r="E10" s="302">
        <v>192912.25999999963</v>
      </c>
      <c r="F10" s="301"/>
      <c r="G10" s="303">
        <v>69.42</v>
      </c>
      <c r="I10" s="304">
        <v>13392198.243438156</v>
      </c>
    </row>
    <row r="11" spans="1:9">
      <c r="A11" s="358"/>
      <c r="B11" s="358"/>
      <c r="C11" s="301"/>
      <c r="D11" s="301"/>
      <c r="E11" s="302"/>
      <c r="F11" s="301"/>
      <c r="G11" s="303"/>
      <c r="I11" s="304"/>
    </row>
    <row r="12" spans="1:9">
      <c r="A12" s="358">
        <v>2</v>
      </c>
      <c r="B12" s="358"/>
      <c r="C12" s="301" t="s">
        <v>794</v>
      </c>
      <c r="D12" s="301"/>
      <c r="E12" s="302">
        <v>206631.18</v>
      </c>
      <c r="F12" s="301"/>
      <c r="G12" s="303">
        <v>45.03</v>
      </c>
      <c r="I12" s="304">
        <v>9305363.1805618405</v>
      </c>
    </row>
    <row r="13" spans="1:9">
      <c r="A13" s="358"/>
      <c r="B13" s="358"/>
      <c r="C13" s="299"/>
      <c r="D13" s="299"/>
      <c r="E13" s="300" t="s">
        <v>562</v>
      </c>
      <c r="F13" s="299"/>
      <c r="G13" s="300" t="s">
        <v>562</v>
      </c>
      <c r="I13" s="300" t="s">
        <v>562</v>
      </c>
    </row>
    <row r="14" spans="1:9">
      <c r="A14" s="358">
        <v>3</v>
      </c>
      <c r="B14" s="358"/>
      <c r="C14" s="301" t="s">
        <v>795</v>
      </c>
      <c r="D14" s="301"/>
      <c r="E14" s="302">
        <v>3071.5</v>
      </c>
      <c r="F14" s="301"/>
      <c r="G14" s="301"/>
      <c r="I14" s="304"/>
    </row>
    <row r="15" spans="1:9">
      <c r="A15" s="358"/>
      <c r="B15" s="358"/>
      <c r="C15" s="301"/>
      <c r="D15" s="301"/>
      <c r="E15" s="302"/>
      <c r="F15" s="301"/>
      <c r="G15" s="301"/>
      <c r="I15" s="304"/>
    </row>
    <row r="16" spans="1:9">
      <c r="A16" s="358">
        <v>4</v>
      </c>
      <c r="B16" s="358"/>
      <c r="C16" s="301" t="s">
        <v>796</v>
      </c>
      <c r="D16" s="301"/>
      <c r="E16" s="302">
        <v>4762</v>
      </c>
      <c r="F16" s="301"/>
      <c r="G16" s="301"/>
      <c r="I16" s="304"/>
    </row>
    <row r="17" spans="1:9">
      <c r="A17" s="358"/>
      <c r="B17" s="358"/>
      <c r="C17" s="299"/>
      <c r="D17" s="299"/>
      <c r="E17" s="299"/>
      <c r="F17" s="299"/>
      <c r="G17" s="299"/>
      <c r="I17" s="300"/>
    </row>
    <row r="18" spans="1:9">
      <c r="A18" s="358">
        <v>5</v>
      </c>
      <c r="B18" s="358"/>
      <c r="C18" s="301" t="s">
        <v>799</v>
      </c>
      <c r="D18" s="301"/>
      <c r="E18" s="302">
        <f>E10/E14</f>
        <v>62.807182158554333</v>
      </c>
      <c r="F18" s="301"/>
      <c r="G18" s="301"/>
      <c r="I18" s="304"/>
    </row>
    <row r="19" spans="1:9">
      <c r="A19" s="358"/>
      <c r="B19" s="358"/>
      <c r="C19" s="301"/>
      <c r="D19" s="301"/>
      <c r="E19" s="302"/>
      <c r="F19" s="301"/>
      <c r="G19" s="301"/>
      <c r="I19" s="304"/>
    </row>
    <row r="20" spans="1:9" ht="12.75" customHeight="1">
      <c r="A20" s="358">
        <v>6</v>
      </c>
      <c r="B20" s="358"/>
      <c r="C20" s="301" t="s">
        <v>800</v>
      </c>
      <c r="D20" s="301"/>
      <c r="E20" s="302">
        <f>E12/E16</f>
        <v>43.391679966400673</v>
      </c>
      <c r="F20" s="301"/>
      <c r="G20" s="301"/>
      <c r="I20" s="304"/>
    </row>
    <row r="21" spans="1:9">
      <c r="A21" s="358"/>
      <c r="B21" s="358"/>
      <c r="C21" s="299"/>
      <c r="D21" s="299"/>
      <c r="E21" s="299"/>
      <c r="F21" s="299"/>
      <c r="G21" s="299"/>
      <c r="I21" s="300"/>
    </row>
    <row r="22" spans="1:9">
      <c r="A22" s="358">
        <v>7</v>
      </c>
      <c r="B22" s="358"/>
      <c r="C22" s="94" t="s">
        <v>797</v>
      </c>
      <c r="D22" s="94"/>
      <c r="E22" s="302">
        <v>30</v>
      </c>
      <c r="F22" s="94"/>
      <c r="G22" s="94"/>
      <c r="I22" s="305"/>
    </row>
    <row r="23" spans="1:9">
      <c r="A23" s="358"/>
      <c r="B23" s="358"/>
      <c r="C23" s="94"/>
      <c r="D23" s="94"/>
      <c r="E23" s="302"/>
      <c r="F23" s="94"/>
      <c r="G23" s="94"/>
      <c r="I23" s="305"/>
    </row>
    <row r="24" spans="1:9">
      <c r="A24" s="358">
        <v>8</v>
      </c>
      <c r="B24" s="358"/>
      <c r="C24" s="94" t="s">
        <v>798</v>
      </c>
      <c r="D24" s="94"/>
      <c r="E24" s="302">
        <v>15</v>
      </c>
      <c r="F24" s="94"/>
      <c r="G24" s="94"/>
      <c r="I24" s="305"/>
    </row>
    <row r="25" spans="1:9">
      <c r="A25" s="358"/>
      <c r="B25" s="358"/>
      <c r="C25" s="299"/>
      <c r="D25" s="299"/>
      <c r="E25" s="300" t="s">
        <v>562</v>
      </c>
      <c r="F25" s="299"/>
      <c r="G25" s="299"/>
      <c r="I25" s="300"/>
    </row>
    <row r="26" spans="1:9">
      <c r="A26" s="358">
        <v>9</v>
      </c>
      <c r="B26" s="358"/>
      <c r="C26" s="299" t="s">
        <v>865</v>
      </c>
      <c r="D26" s="299"/>
      <c r="E26" s="302">
        <f>ROUND(E14*E22,0)</f>
        <v>92145</v>
      </c>
      <c r="F26" s="299"/>
      <c r="G26" s="306">
        <f>G10</f>
        <v>69.42</v>
      </c>
      <c r="I26" s="307">
        <f>ROUND(E26*G26,0)</f>
        <v>6396706</v>
      </c>
    </row>
    <row r="27" spans="1:9">
      <c r="A27" s="358"/>
      <c r="B27" s="358"/>
      <c r="C27" s="299"/>
      <c r="D27" s="299"/>
      <c r="E27" s="302"/>
      <c r="F27" s="299"/>
      <c r="G27" s="306"/>
      <c r="I27" s="307"/>
    </row>
    <row r="28" spans="1:9">
      <c r="A28" s="358">
        <v>10</v>
      </c>
      <c r="B28" s="358"/>
      <c r="C28" s="299" t="s">
        <v>866</v>
      </c>
      <c r="D28" s="299"/>
      <c r="E28" s="302">
        <f>ROUND(E16*E24,0)</f>
        <v>71430</v>
      </c>
      <c r="F28" s="299"/>
      <c r="G28" s="306">
        <f>G12</f>
        <v>45.03</v>
      </c>
      <c r="I28" s="307">
        <f>ROUND(E28*G28,0)</f>
        <v>3216493</v>
      </c>
    </row>
    <row r="29" spans="1:9">
      <c r="E29" s="300" t="s">
        <v>562</v>
      </c>
      <c r="G29" s="300" t="s">
        <v>562</v>
      </c>
      <c r="I29" s="300" t="s">
        <v>562</v>
      </c>
    </row>
    <row r="30" spans="1:9">
      <c r="A30" s="358">
        <v>11</v>
      </c>
      <c r="C30" s="299" t="s">
        <v>867</v>
      </c>
      <c r="E30" s="308">
        <f>E26-E10</f>
        <v>-100767.25999999963</v>
      </c>
      <c r="G30" s="300"/>
      <c r="I30" s="307">
        <f>I26-I10</f>
        <v>-6995492.2434381563</v>
      </c>
    </row>
    <row r="31" spans="1:9">
      <c r="A31" s="358"/>
      <c r="C31" s="299"/>
      <c r="E31" s="308"/>
      <c r="G31" s="300"/>
      <c r="I31" s="307"/>
    </row>
    <row r="32" spans="1:9">
      <c r="A32" s="358">
        <v>12</v>
      </c>
      <c r="C32" s="299" t="s">
        <v>868</v>
      </c>
      <c r="E32" s="308">
        <f>E28-E12</f>
        <v>-135201.18</v>
      </c>
      <c r="G32" s="300"/>
      <c r="I32" s="307">
        <f>I28-I12</f>
        <v>-6088870.1805618405</v>
      </c>
    </row>
    <row r="33" spans="1:9">
      <c r="A33" s="358"/>
      <c r="B33" s="358"/>
      <c r="C33" s="301"/>
      <c r="D33" s="301"/>
      <c r="E33" s="300" t="s">
        <v>562</v>
      </c>
      <c r="F33" s="301"/>
      <c r="I33" s="300" t="s">
        <v>562</v>
      </c>
    </row>
    <row r="34" spans="1:9">
      <c r="A34" s="358">
        <v>13</v>
      </c>
      <c r="B34" s="358"/>
      <c r="C34" s="309" t="s">
        <v>869</v>
      </c>
      <c r="D34" s="299"/>
      <c r="E34" s="305">
        <f>E30+E32</f>
        <v>-235968.43999999962</v>
      </c>
      <c r="F34" s="299"/>
      <c r="G34" s="299"/>
      <c r="I34" s="304">
        <f>I30+I32</f>
        <v>-13084362.423999997</v>
      </c>
    </row>
    <row r="35" spans="1:9">
      <c r="A35" s="358"/>
      <c r="B35" s="358"/>
      <c r="C35" s="94"/>
      <c r="D35" s="94"/>
      <c r="E35" s="300" t="s">
        <v>568</v>
      </c>
      <c r="F35" s="94"/>
      <c r="G35" s="94"/>
      <c r="I35" s="310"/>
    </row>
    <row r="36" spans="1:9">
      <c r="A36" s="358">
        <f>+A34+1</f>
        <v>14</v>
      </c>
      <c r="B36" s="358"/>
      <c r="C36" s="299" t="s">
        <v>915</v>
      </c>
      <c r="D36" s="299"/>
      <c r="E36" s="299"/>
      <c r="F36" s="299"/>
      <c r="G36" s="299"/>
      <c r="I36" s="311">
        <f>'Allocation Factors'!G14</f>
        <v>0.98599999999999999</v>
      </c>
    </row>
    <row r="37" spans="1:9">
      <c r="B37" s="358"/>
      <c r="C37" s="299"/>
      <c r="D37" s="299"/>
      <c r="E37" s="299"/>
      <c r="F37" s="299"/>
      <c r="G37" s="299"/>
      <c r="I37" s="300" t="s">
        <v>562</v>
      </c>
    </row>
    <row r="38" spans="1:9">
      <c r="A38" s="358">
        <f>A36+1</f>
        <v>15</v>
      </c>
      <c r="B38" s="358"/>
      <c r="C38" s="299" t="s">
        <v>870</v>
      </c>
      <c r="D38" s="299"/>
      <c r="E38" s="299"/>
      <c r="F38" s="299"/>
      <c r="G38" s="299"/>
      <c r="I38" s="307">
        <f>ROUND(I34*I36,0)</f>
        <v>-12901181</v>
      </c>
    </row>
    <row r="39" spans="1:9">
      <c r="A39" s="358"/>
      <c r="B39" s="358"/>
      <c r="C39" s="299"/>
      <c r="D39" s="299"/>
      <c r="E39" s="299"/>
      <c r="F39" s="299"/>
      <c r="G39" s="299"/>
      <c r="I39" s="300" t="s">
        <v>568</v>
      </c>
    </row>
    <row r="40" spans="1:9">
      <c r="A40" s="358"/>
      <c r="B40" s="358"/>
      <c r="C40" s="299"/>
      <c r="D40" s="299"/>
      <c r="E40" s="299"/>
      <c r="F40" s="299"/>
      <c r="G40" s="299"/>
      <c r="I40" s="300"/>
    </row>
    <row r="41" spans="1:9">
      <c r="A41" s="358"/>
      <c r="B41" s="358"/>
      <c r="C41" s="299"/>
      <c r="D41" s="299"/>
      <c r="E41" s="299"/>
      <c r="F41" s="299"/>
      <c r="G41" s="299"/>
      <c r="I41" s="312"/>
    </row>
    <row r="42" spans="1:9">
      <c r="A42" s="358"/>
      <c r="B42" s="358"/>
      <c r="C42" s="299"/>
      <c r="D42" s="299"/>
      <c r="E42" s="299"/>
      <c r="F42" s="299"/>
      <c r="G42" s="299"/>
      <c r="I42" s="312"/>
    </row>
    <row r="43" spans="1:9">
      <c r="A43" s="358"/>
      <c r="B43" s="358"/>
      <c r="I43" s="300"/>
    </row>
    <row r="44" spans="1:9">
      <c r="A44" s="358"/>
      <c r="B44" s="358"/>
      <c r="C44" s="358"/>
      <c r="D44" s="358"/>
      <c r="E44" s="358"/>
      <c r="F44" s="358"/>
      <c r="G44" s="358"/>
    </row>
    <row r="45" spans="1:9">
      <c r="A45" s="358"/>
      <c r="B45" s="358"/>
      <c r="I45" s="300"/>
    </row>
    <row r="46" spans="1:9">
      <c r="C46" s="299"/>
      <c r="D46" s="299"/>
      <c r="E46" s="299"/>
      <c r="F46" s="299"/>
      <c r="G46" s="299"/>
    </row>
    <row r="47" spans="1:9">
      <c r="A47" s="358"/>
      <c r="B47" s="358"/>
      <c r="C47" s="299"/>
      <c r="D47" s="299"/>
      <c r="E47" s="299"/>
      <c r="F47" s="299"/>
      <c r="G47" s="299"/>
      <c r="I47" s="304"/>
    </row>
    <row r="48" spans="1:9">
      <c r="A48" s="358"/>
      <c r="B48" s="358"/>
      <c r="C48" s="299"/>
      <c r="D48" s="299"/>
      <c r="E48" s="299"/>
      <c r="F48" s="299"/>
      <c r="G48" s="299"/>
      <c r="I48" s="304"/>
    </row>
    <row r="49" spans="1:9">
      <c r="A49" s="358"/>
      <c r="B49" s="358"/>
      <c r="C49" s="94"/>
      <c r="D49" s="299"/>
      <c r="E49" s="299"/>
      <c r="F49" s="299"/>
      <c r="G49" s="299"/>
      <c r="I49" s="313"/>
    </row>
    <row r="50" spans="1:9">
      <c r="C50" s="299"/>
      <c r="D50" s="299"/>
      <c r="E50" s="299"/>
      <c r="F50" s="299"/>
      <c r="G50" s="299"/>
      <c r="I50" s="300"/>
    </row>
    <row r="51" spans="1:9">
      <c r="A51" s="358"/>
      <c r="B51" s="358"/>
      <c r="C51" s="299"/>
      <c r="D51" s="299"/>
      <c r="E51" s="299"/>
      <c r="F51" s="299"/>
      <c r="G51" s="299"/>
      <c r="I51" s="304"/>
    </row>
    <row r="52" spans="1:9">
      <c r="C52" s="299"/>
      <c r="D52" s="299"/>
      <c r="E52" s="299"/>
      <c r="F52" s="299"/>
      <c r="G52" s="299"/>
      <c r="I52" s="304"/>
    </row>
    <row r="53" spans="1:9">
      <c r="A53" s="358"/>
      <c r="B53" s="358"/>
      <c r="C53" s="299"/>
      <c r="D53" s="299"/>
      <c r="E53" s="299"/>
      <c r="F53" s="299"/>
      <c r="G53" s="299"/>
      <c r="I53" s="310"/>
    </row>
    <row r="54" spans="1:9">
      <c r="C54" s="299"/>
      <c r="D54" s="299"/>
      <c r="E54" s="299"/>
      <c r="F54" s="299"/>
      <c r="G54" s="299"/>
      <c r="I54" s="300"/>
    </row>
    <row r="55" spans="1:9">
      <c r="A55" s="358"/>
      <c r="B55" s="358"/>
      <c r="C55" s="299"/>
      <c r="D55" s="299"/>
      <c r="E55" s="299"/>
      <c r="F55" s="299"/>
      <c r="G55" s="299"/>
      <c r="I55" s="304"/>
    </row>
    <row r="56" spans="1:9">
      <c r="C56" s="299"/>
      <c r="D56" s="299"/>
      <c r="E56" s="299"/>
      <c r="F56" s="299"/>
      <c r="G56" s="299"/>
      <c r="I56" s="300"/>
    </row>
    <row r="57" spans="1:9">
      <c r="A57" s="358"/>
      <c r="B57" s="358"/>
      <c r="C57" s="299"/>
      <c r="D57" s="299"/>
      <c r="E57" s="299"/>
      <c r="F57" s="299"/>
      <c r="G57" s="299"/>
      <c r="I57" s="304"/>
    </row>
    <row r="58" spans="1:9">
      <c r="C58" s="299"/>
      <c r="D58" s="299"/>
      <c r="E58" s="299"/>
      <c r="F58" s="299"/>
      <c r="G58" s="299"/>
      <c r="I58" s="300"/>
    </row>
    <row r="59" spans="1:9">
      <c r="A59" s="358"/>
      <c r="B59" s="358"/>
      <c r="C59" s="299"/>
      <c r="D59" s="299"/>
      <c r="E59" s="299"/>
      <c r="F59" s="299"/>
      <c r="G59" s="299"/>
      <c r="I59" s="304"/>
    </row>
    <row r="60" spans="1:9">
      <c r="C60" s="299"/>
      <c r="D60" s="299"/>
      <c r="E60" s="299"/>
      <c r="F60" s="299"/>
      <c r="G60" s="299"/>
      <c r="I60" s="304"/>
    </row>
    <row r="61" spans="1:9">
      <c r="A61" s="358"/>
      <c r="B61" s="358"/>
      <c r="C61" s="299"/>
      <c r="D61" s="299"/>
      <c r="E61" s="299"/>
      <c r="F61" s="299"/>
      <c r="G61" s="299"/>
      <c r="I61" s="310"/>
    </row>
    <row r="62" spans="1:9">
      <c r="C62" s="299"/>
      <c r="D62" s="299"/>
      <c r="E62" s="299"/>
      <c r="F62" s="299"/>
      <c r="G62" s="299"/>
      <c r="I62" s="300"/>
    </row>
    <row r="63" spans="1:9">
      <c r="A63" s="358"/>
      <c r="B63" s="358"/>
      <c r="C63" s="299"/>
      <c r="D63" s="299"/>
      <c r="E63" s="299"/>
      <c r="F63" s="299"/>
      <c r="G63" s="299"/>
      <c r="I63" s="304"/>
    </row>
    <row r="64" spans="1:9">
      <c r="C64" s="299"/>
      <c r="D64" s="299"/>
      <c r="E64" s="299"/>
      <c r="F64" s="299"/>
      <c r="G64" s="299"/>
      <c r="I64" s="300"/>
    </row>
    <row r="65" spans="3:9">
      <c r="C65" s="299"/>
      <c r="D65" s="299"/>
      <c r="E65" s="299"/>
      <c r="F65" s="299"/>
      <c r="G65" s="299"/>
      <c r="I65" s="304"/>
    </row>
    <row r="66" spans="3:9">
      <c r="C66" s="299"/>
      <c r="D66" s="299"/>
      <c r="E66" s="299"/>
      <c r="F66" s="299"/>
      <c r="G66" s="299"/>
      <c r="I66" s="304"/>
    </row>
    <row r="67" spans="3:9">
      <c r="C67" s="299"/>
      <c r="D67" s="299"/>
      <c r="E67" s="299"/>
      <c r="F67" s="299"/>
      <c r="G67" s="299"/>
      <c r="I67" s="304"/>
    </row>
    <row r="68" spans="3:9">
      <c r="C68" s="299"/>
      <c r="D68" s="299"/>
      <c r="E68" s="299"/>
      <c r="F68" s="299"/>
      <c r="G68" s="299"/>
      <c r="I68" s="304"/>
    </row>
    <row r="69" spans="3:9">
      <c r="C69" s="299"/>
      <c r="D69" s="299"/>
      <c r="E69" s="299"/>
      <c r="F69" s="299"/>
      <c r="G69" s="299"/>
      <c r="I69" s="304"/>
    </row>
    <row r="70" spans="3:9">
      <c r="C70" s="299"/>
      <c r="D70" s="299"/>
      <c r="E70" s="299"/>
      <c r="F70" s="299"/>
      <c r="G70" s="299"/>
      <c r="I70" s="304"/>
    </row>
    <row r="71" spans="3:9">
      <c r="C71" s="299"/>
      <c r="D71" s="299"/>
      <c r="E71" s="299"/>
      <c r="F71" s="299"/>
      <c r="G71" s="299"/>
      <c r="I71" s="304"/>
    </row>
    <row r="72" spans="3:9">
      <c r="C72" s="299"/>
      <c r="D72" s="299"/>
      <c r="E72" s="299"/>
      <c r="F72" s="299"/>
      <c r="G72" s="299"/>
      <c r="I72" s="304"/>
    </row>
    <row r="73" spans="3:9">
      <c r="C73" s="299"/>
      <c r="D73" s="299"/>
      <c r="E73" s="299"/>
      <c r="F73" s="299"/>
      <c r="G73" s="299"/>
      <c r="I73" s="304"/>
    </row>
    <row r="74" spans="3:9">
      <c r="C74" s="299"/>
      <c r="D74" s="299"/>
      <c r="E74" s="299"/>
      <c r="F74" s="299"/>
      <c r="G74" s="299"/>
      <c r="I74" s="304"/>
    </row>
    <row r="75" spans="3:9">
      <c r="C75" s="299"/>
      <c r="D75" s="299"/>
      <c r="E75" s="299"/>
      <c r="F75" s="299"/>
      <c r="G75" s="299"/>
      <c r="I75" s="304"/>
    </row>
    <row r="76" spans="3:9">
      <c r="C76" s="299"/>
      <c r="D76" s="299"/>
      <c r="E76" s="299"/>
      <c r="F76" s="299"/>
      <c r="G76" s="299"/>
      <c r="I76" s="304"/>
    </row>
    <row r="77" spans="3:9">
      <c r="C77" s="299"/>
      <c r="D77" s="299"/>
      <c r="E77" s="299"/>
      <c r="F77" s="299"/>
      <c r="G77" s="299"/>
      <c r="I77" s="304"/>
    </row>
    <row r="78" spans="3:9">
      <c r="C78" s="299"/>
      <c r="D78" s="299"/>
      <c r="E78" s="299"/>
      <c r="F78" s="299"/>
      <c r="G78" s="299"/>
      <c r="I78" s="304"/>
    </row>
    <row r="79" spans="3:9">
      <c r="C79" s="299"/>
      <c r="D79" s="299"/>
      <c r="E79" s="299"/>
      <c r="F79" s="299"/>
      <c r="G79" s="299"/>
      <c r="I79" s="304"/>
    </row>
    <row r="80" spans="3:9">
      <c r="C80" s="299"/>
      <c r="D80" s="299"/>
      <c r="E80" s="299"/>
      <c r="F80" s="299"/>
      <c r="G80" s="299"/>
      <c r="I80" s="304"/>
    </row>
    <row r="81" spans="3:9">
      <c r="C81" s="299"/>
      <c r="D81" s="299"/>
      <c r="E81" s="299"/>
      <c r="F81" s="299"/>
      <c r="G81" s="299"/>
      <c r="I81" s="304"/>
    </row>
    <row r="82" spans="3:9">
      <c r="C82" s="299"/>
      <c r="D82" s="299"/>
      <c r="E82" s="299"/>
      <c r="F82" s="299"/>
      <c r="G82" s="299"/>
      <c r="I82" s="304"/>
    </row>
    <row r="83" spans="3:9">
      <c r="C83" s="299"/>
      <c r="D83" s="299"/>
      <c r="E83" s="299"/>
      <c r="F83" s="299"/>
      <c r="G83" s="299"/>
      <c r="I83" s="304"/>
    </row>
    <row r="84" spans="3:9">
      <c r="C84" s="299"/>
      <c r="D84" s="299"/>
      <c r="E84" s="299"/>
      <c r="F84" s="299"/>
      <c r="G84" s="299"/>
      <c r="I84" s="304"/>
    </row>
    <row r="85" spans="3:9">
      <c r="C85" s="299"/>
      <c r="D85" s="299"/>
      <c r="E85" s="299"/>
      <c r="F85" s="299"/>
      <c r="G85" s="299"/>
      <c r="I85" s="304"/>
    </row>
    <row r="86" spans="3:9">
      <c r="C86" s="299"/>
      <c r="D86" s="299"/>
      <c r="E86" s="299"/>
      <c r="F86" s="299"/>
      <c r="G86" s="299"/>
      <c r="I86" s="304"/>
    </row>
    <row r="87" spans="3:9">
      <c r="C87" s="299"/>
      <c r="D87" s="299"/>
      <c r="E87" s="299"/>
      <c r="F87" s="299"/>
      <c r="G87" s="299"/>
      <c r="I87" s="304"/>
    </row>
    <row r="88" spans="3:9">
      <c r="C88" s="299"/>
      <c r="D88" s="299"/>
      <c r="E88" s="299"/>
      <c r="F88" s="299"/>
      <c r="G88" s="299"/>
      <c r="I88" s="304"/>
    </row>
    <row r="89" spans="3:9">
      <c r="C89" s="299"/>
      <c r="D89" s="299"/>
      <c r="E89" s="299"/>
      <c r="F89" s="299"/>
      <c r="G89" s="299"/>
      <c r="I89" s="304"/>
    </row>
    <row r="90" spans="3:9">
      <c r="C90" s="299"/>
      <c r="D90" s="299"/>
      <c r="E90" s="299"/>
      <c r="F90" s="299"/>
      <c r="G90" s="299"/>
      <c r="I90" s="304"/>
    </row>
    <row r="91" spans="3:9">
      <c r="C91" s="299"/>
      <c r="D91" s="299"/>
      <c r="E91" s="299"/>
      <c r="F91" s="299"/>
      <c r="G91" s="299"/>
      <c r="I91" s="304"/>
    </row>
    <row r="92" spans="3:9">
      <c r="C92" s="299"/>
      <c r="D92" s="299"/>
      <c r="E92" s="299"/>
      <c r="F92" s="299"/>
      <c r="G92" s="299"/>
      <c r="I92" s="304"/>
    </row>
    <row r="93" spans="3:9">
      <c r="C93" s="299"/>
      <c r="D93" s="299"/>
      <c r="E93" s="299"/>
      <c r="F93" s="299"/>
      <c r="G93" s="299"/>
      <c r="I93" s="304"/>
    </row>
    <row r="94" spans="3:9">
      <c r="C94" s="299"/>
      <c r="D94" s="299"/>
      <c r="E94" s="299"/>
      <c r="F94" s="299"/>
      <c r="G94" s="299"/>
      <c r="I94" s="304"/>
    </row>
    <row r="95" spans="3:9">
      <c r="C95" s="299"/>
      <c r="D95" s="299"/>
      <c r="E95" s="299"/>
      <c r="F95" s="299"/>
      <c r="G95" s="299"/>
      <c r="I95" s="304"/>
    </row>
    <row r="96" spans="3:9">
      <c r="C96" s="299"/>
      <c r="D96" s="299"/>
      <c r="E96" s="299"/>
      <c r="F96" s="299"/>
      <c r="G96" s="299"/>
      <c r="I96" s="304"/>
    </row>
    <row r="97" spans="3:9">
      <c r="C97" s="299"/>
      <c r="D97" s="299"/>
      <c r="E97" s="299"/>
      <c r="F97" s="299"/>
      <c r="G97" s="299"/>
      <c r="I97" s="304"/>
    </row>
    <row r="98" spans="3:9">
      <c r="C98" s="299"/>
      <c r="D98" s="299"/>
      <c r="E98" s="299"/>
      <c r="F98" s="299"/>
      <c r="G98" s="299"/>
      <c r="I98" s="304"/>
    </row>
    <row r="99" spans="3:9">
      <c r="C99" s="299"/>
      <c r="D99" s="299"/>
      <c r="E99" s="299"/>
      <c r="F99" s="299"/>
      <c r="G99" s="299"/>
      <c r="I99" s="304"/>
    </row>
    <row r="100" spans="3:9">
      <c r="C100" s="299"/>
      <c r="D100" s="299"/>
      <c r="E100" s="299"/>
      <c r="F100" s="299"/>
      <c r="G100" s="299"/>
      <c r="I100" s="304"/>
    </row>
    <row r="101" spans="3:9">
      <c r="C101" s="299"/>
      <c r="D101" s="299"/>
      <c r="E101" s="299"/>
      <c r="F101" s="299"/>
      <c r="G101" s="299"/>
      <c r="I101" s="304"/>
    </row>
    <row r="102" spans="3:9">
      <c r="C102" s="299"/>
      <c r="D102" s="299"/>
      <c r="E102" s="299"/>
      <c r="F102" s="299"/>
      <c r="G102" s="299"/>
      <c r="I102" s="304"/>
    </row>
    <row r="103" spans="3:9">
      <c r="C103" s="299"/>
      <c r="D103" s="299"/>
      <c r="E103" s="299"/>
      <c r="F103" s="299"/>
      <c r="G103" s="299"/>
      <c r="I103" s="304"/>
    </row>
    <row r="104" spans="3:9">
      <c r="C104" s="299"/>
      <c r="D104" s="299"/>
      <c r="E104" s="299"/>
      <c r="F104" s="299"/>
      <c r="G104" s="299"/>
      <c r="I104" s="304"/>
    </row>
    <row r="105" spans="3:9">
      <c r="C105" s="299"/>
      <c r="D105" s="299"/>
      <c r="E105" s="299"/>
      <c r="F105" s="299"/>
      <c r="G105" s="299"/>
      <c r="I105" s="304"/>
    </row>
    <row r="106" spans="3:9">
      <c r="C106" s="299"/>
      <c r="D106" s="299"/>
      <c r="E106" s="299"/>
      <c r="F106" s="299"/>
      <c r="G106" s="299"/>
      <c r="I106" s="304"/>
    </row>
    <row r="107" spans="3:9">
      <c r="C107" s="299"/>
      <c r="D107" s="299"/>
      <c r="E107" s="299"/>
      <c r="F107" s="299"/>
      <c r="G107" s="299"/>
      <c r="I107" s="304"/>
    </row>
    <row r="108" spans="3:9">
      <c r="C108" s="299"/>
      <c r="D108" s="299"/>
      <c r="E108" s="299"/>
      <c r="F108" s="299"/>
      <c r="G108" s="299"/>
      <c r="I108" s="304"/>
    </row>
    <row r="109" spans="3:9">
      <c r="C109" s="299"/>
      <c r="D109" s="299"/>
      <c r="E109" s="299"/>
      <c r="F109" s="299"/>
      <c r="G109" s="299"/>
      <c r="I109" s="304"/>
    </row>
    <row r="110" spans="3:9">
      <c r="C110" s="299"/>
      <c r="D110" s="299"/>
      <c r="E110" s="299"/>
      <c r="F110" s="299"/>
      <c r="G110" s="299"/>
      <c r="I110" s="304"/>
    </row>
    <row r="111" spans="3:9">
      <c r="I111" s="304"/>
    </row>
  </sheetData>
  <mergeCells count="4">
    <mergeCell ref="C1:G1"/>
    <mergeCell ref="C2:G2"/>
    <mergeCell ref="C3:G3"/>
    <mergeCell ref="C4:G4"/>
  </mergeCells>
  <printOptions horizontalCentered="1"/>
  <pageMargins left="0" right="0" top="1" bottom="0.5" header="0" footer="0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6"/>
  <sheetViews>
    <sheetView showGridLines="0" zoomScaleNormal="100" zoomScaleSheetLayoutView="70" workbookViewId="0">
      <pane xSplit="2" ySplit="4" topLeftCell="D20" activePane="bottomRight" state="frozen"/>
      <selection activeCell="C323" sqref="C323"/>
      <selection pane="topRight" activeCell="C323" sqref="C323"/>
      <selection pane="bottomLeft" activeCell="C323" sqref="C323"/>
      <selection pane="bottomRight" activeCell="H29" sqref="H29"/>
    </sheetView>
  </sheetViews>
  <sheetFormatPr defaultColWidth="9.140625" defaultRowHeight="14.1" customHeight="1"/>
  <cols>
    <col min="1" max="1" width="4.7109375" style="379" bestFit="1" customWidth="1"/>
    <col min="2" max="2" width="57.140625" style="88" customWidth="1"/>
    <col min="3" max="3" width="16.7109375" style="88" customWidth="1"/>
    <col min="4" max="4" width="19" style="88" bestFit="1" customWidth="1"/>
    <col min="5" max="5" width="17.140625" style="88" bestFit="1" customWidth="1"/>
    <col min="6" max="6" width="15" style="88" bestFit="1" customWidth="1"/>
    <col min="7" max="7" width="15.140625" style="88" bestFit="1" customWidth="1"/>
    <col min="8" max="8" width="10.7109375" style="88" bestFit="1" customWidth="1"/>
    <col min="9" max="9" width="22.140625" style="14" bestFit="1" customWidth="1"/>
    <col min="10" max="10" width="19" style="88" customWidth="1"/>
    <col min="11" max="11" width="32.7109375" style="88" customWidth="1"/>
    <col min="12" max="16384" width="9.140625" style="88"/>
  </cols>
  <sheetData>
    <row r="1" spans="1:10" ht="14.1" customHeight="1">
      <c r="D1" s="22"/>
    </row>
    <row r="2" spans="1:10" ht="14.1" customHeight="1">
      <c r="C2" s="379" t="s">
        <v>317</v>
      </c>
      <c r="E2" s="380"/>
      <c r="F2" s="380"/>
      <c r="H2" s="22"/>
    </row>
    <row r="3" spans="1:10" ht="14.1" customHeight="1">
      <c r="A3" s="379" t="s">
        <v>2</v>
      </c>
      <c r="B3" s="379"/>
      <c r="C3" s="379" t="s">
        <v>3</v>
      </c>
      <c r="D3" s="379" t="s">
        <v>366</v>
      </c>
      <c r="E3" s="380" t="s">
        <v>365</v>
      </c>
      <c r="F3" s="380" t="s">
        <v>4</v>
      </c>
      <c r="G3" s="118" t="s">
        <v>1</v>
      </c>
      <c r="H3" s="118"/>
      <c r="I3" s="118"/>
      <c r="J3" s="119" t="s">
        <v>5</v>
      </c>
    </row>
    <row r="4" spans="1:10" ht="26.25" customHeight="1">
      <c r="A4" s="120" t="s">
        <v>6</v>
      </c>
      <c r="B4" s="120" t="s">
        <v>7</v>
      </c>
      <c r="C4" s="121" t="s">
        <v>0</v>
      </c>
      <c r="D4" s="117" t="s">
        <v>8</v>
      </c>
      <c r="E4" s="121" t="s">
        <v>364</v>
      </c>
      <c r="F4" s="121" t="s">
        <v>9</v>
      </c>
      <c r="G4" s="121" t="s">
        <v>393</v>
      </c>
      <c r="H4" s="122"/>
      <c r="I4" s="117" t="s">
        <v>10</v>
      </c>
      <c r="J4" s="123" t="s">
        <v>11</v>
      </c>
    </row>
    <row r="5" spans="1:10" ht="14.1" customHeight="1">
      <c r="B5" s="124" t="s">
        <v>12</v>
      </c>
      <c r="C5" s="124" t="s">
        <v>13</v>
      </c>
      <c r="D5" s="124" t="s">
        <v>939</v>
      </c>
      <c r="E5" s="125" t="s">
        <v>940</v>
      </c>
      <c r="F5" s="125" t="s">
        <v>701</v>
      </c>
      <c r="G5" s="125" t="s">
        <v>702</v>
      </c>
      <c r="H5" s="126"/>
      <c r="I5" s="125"/>
    </row>
    <row r="6" spans="1:10" ht="13.5" customHeight="1">
      <c r="C6" s="38"/>
      <c r="E6" s="127"/>
      <c r="F6" s="22"/>
      <c r="G6" s="22"/>
      <c r="H6" s="65"/>
      <c r="I6" s="22"/>
    </row>
    <row r="7" spans="1:10" ht="14.1" customHeight="1">
      <c r="A7" s="379">
        <v>1</v>
      </c>
      <c r="B7" s="88" t="s">
        <v>319</v>
      </c>
      <c r="C7" s="10">
        <f t="shared" ref="C7:D9" si="0">C264</f>
        <v>531745981.78999996</v>
      </c>
      <c r="D7" s="10">
        <f t="shared" si="0"/>
        <v>0</v>
      </c>
      <c r="E7" s="10">
        <f t="shared" ref="E7:F9" si="1">E264</f>
        <v>531745981.78999996</v>
      </c>
      <c r="F7" s="10">
        <f t="shared" si="1"/>
        <v>-55835125.472561792</v>
      </c>
      <c r="G7" s="10">
        <f>E7+F7</f>
        <v>475910856.31743819</v>
      </c>
      <c r="H7" s="43"/>
      <c r="I7" s="128"/>
    </row>
    <row r="8" spans="1:10" ht="14.1" customHeight="1">
      <c r="A8" s="379">
        <f>A7+1</f>
        <v>2</v>
      </c>
      <c r="B8" s="129" t="s">
        <v>14</v>
      </c>
      <c r="C8" s="10">
        <f t="shared" si="0"/>
        <v>5173546</v>
      </c>
      <c r="D8" s="10">
        <f t="shared" si="0"/>
        <v>5173546</v>
      </c>
      <c r="E8" s="10">
        <f t="shared" si="1"/>
        <v>0</v>
      </c>
      <c r="F8" s="10">
        <f t="shared" si="1"/>
        <v>0</v>
      </c>
      <c r="G8" s="10">
        <f>E8+F8</f>
        <v>0</v>
      </c>
      <c r="H8" s="43"/>
      <c r="I8" s="128"/>
    </row>
    <row r="9" spans="1:10" ht="14.1" customHeight="1">
      <c r="A9" s="379">
        <f>A8+1</f>
        <v>3</v>
      </c>
      <c r="B9" s="88" t="s">
        <v>15</v>
      </c>
      <c r="C9" s="10">
        <f t="shared" si="0"/>
        <v>-47400.09</v>
      </c>
      <c r="D9" s="10">
        <f t="shared" si="0"/>
        <v>-47400.09</v>
      </c>
      <c r="E9" s="10">
        <f t="shared" si="1"/>
        <v>0</v>
      </c>
      <c r="F9" s="10">
        <f t="shared" si="1"/>
        <v>0</v>
      </c>
      <c r="G9" s="10">
        <f>E9+F9</f>
        <v>0</v>
      </c>
      <c r="H9" s="43"/>
      <c r="I9" s="128"/>
    </row>
    <row r="10" spans="1:10" ht="14.1" customHeight="1">
      <c r="A10" s="379">
        <f>+A9+1</f>
        <v>4</v>
      </c>
      <c r="B10" s="88" t="s">
        <v>16</v>
      </c>
      <c r="C10" s="10">
        <f>C301</f>
        <v>38194168.552999996</v>
      </c>
      <c r="D10" s="10">
        <f>D301</f>
        <v>4833920.5129999928</v>
      </c>
      <c r="E10" s="10">
        <f>E301</f>
        <v>33360248.539999999</v>
      </c>
      <c r="F10" s="10">
        <f>F301</f>
        <v>-1577979</v>
      </c>
      <c r="G10" s="10">
        <f>E10+F10</f>
        <v>31782269.539999999</v>
      </c>
      <c r="H10" s="43"/>
      <c r="I10" s="128"/>
    </row>
    <row r="11" spans="1:10" ht="14.1" customHeight="1">
      <c r="A11" s="379">
        <f t="shared" ref="A11:A74" si="2">+A10+1</f>
        <v>5</v>
      </c>
      <c r="B11" s="56" t="s">
        <v>17</v>
      </c>
      <c r="C11" s="64">
        <f>C272</f>
        <v>27068175.789999999</v>
      </c>
      <c r="D11" s="64">
        <f>D272</f>
        <v>378954.46105999872</v>
      </c>
      <c r="E11" s="64">
        <f>E272</f>
        <v>26689221.32894</v>
      </c>
      <c r="F11" s="64">
        <f>F272</f>
        <v>0</v>
      </c>
      <c r="G11" s="64">
        <f>E11+F11</f>
        <v>26689221.32894</v>
      </c>
      <c r="H11" s="43"/>
      <c r="I11" s="128"/>
    </row>
    <row r="12" spans="1:10" s="18" customFormat="1" ht="14.1" customHeight="1">
      <c r="A12" s="379">
        <f t="shared" si="2"/>
        <v>6</v>
      </c>
      <c r="B12" s="2" t="s">
        <v>471</v>
      </c>
      <c r="C12" s="16">
        <f>SUM(C7:C11)</f>
        <v>602134472.04299986</v>
      </c>
      <c r="D12" s="16">
        <f>SUM(D7:D11)</f>
        <v>10339020.884059992</v>
      </c>
      <c r="E12" s="16">
        <f>SUM(E7:E11)</f>
        <v>591795451.65893996</v>
      </c>
      <c r="F12" s="16">
        <f>SUM(F7:F11)</f>
        <v>-57413104.472561792</v>
      </c>
      <c r="G12" s="16">
        <f>SUM(G7:G11)</f>
        <v>534382347.18637818</v>
      </c>
      <c r="H12" s="16"/>
      <c r="I12" s="16"/>
    </row>
    <row r="13" spans="1:10" s="18" customFormat="1" ht="14.1" customHeight="1">
      <c r="A13" s="379">
        <f t="shared" si="2"/>
        <v>7</v>
      </c>
      <c r="B13" s="6"/>
      <c r="C13" s="16"/>
      <c r="D13" s="16"/>
      <c r="E13" s="130"/>
      <c r="F13" s="43"/>
      <c r="G13" s="131"/>
      <c r="H13" s="16"/>
      <c r="I13" s="131"/>
    </row>
    <row r="14" spans="1:10" ht="14.1" customHeight="1">
      <c r="A14" s="379">
        <f t="shared" si="2"/>
        <v>8</v>
      </c>
      <c r="B14" s="3" t="s">
        <v>19</v>
      </c>
      <c r="C14" s="10"/>
      <c r="D14" s="10"/>
      <c r="E14" s="48"/>
      <c r="F14" s="43"/>
      <c r="G14" s="128"/>
      <c r="H14" s="43"/>
      <c r="I14" s="128"/>
    </row>
    <row r="15" spans="1:10" ht="14.1" customHeight="1">
      <c r="A15" s="379">
        <f t="shared" si="2"/>
        <v>9</v>
      </c>
      <c r="B15" s="88" t="s">
        <v>20</v>
      </c>
      <c r="C15" s="10">
        <f>C338</f>
        <v>258917645.35000002</v>
      </c>
      <c r="D15" s="10">
        <f>D338</f>
        <v>3663677.3499999968</v>
      </c>
      <c r="E15" s="10">
        <f>E338</f>
        <v>255253968</v>
      </c>
      <c r="F15" s="10">
        <f>F338</f>
        <v>-8940489.3300000001</v>
      </c>
      <c r="G15" s="10">
        <f t="shared" ref="G15:G22" si="3">E15+F15</f>
        <v>246313478.66999999</v>
      </c>
      <c r="H15" s="43"/>
      <c r="I15" s="128"/>
    </row>
    <row r="16" spans="1:10" ht="14.1" customHeight="1">
      <c r="A16" s="379">
        <f t="shared" si="2"/>
        <v>10</v>
      </c>
      <c r="B16" s="88" t="s">
        <v>21</v>
      </c>
      <c r="C16" s="10">
        <f>C365</f>
        <v>50619263.86500001</v>
      </c>
      <c r="D16" s="10">
        <f>D365</f>
        <v>3740791.8650000091</v>
      </c>
      <c r="E16" s="10">
        <f>E365</f>
        <v>46878472</v>
      </c>
      <c r="F16" s="10">
        <f>F365</f>
        <v>15368953.819999998</v>
      </c>
      <c r="G16" s="10">
        <f t="shared" si="3"/>
        <v>62247425.82</v>
      </c>
      <c r="H16" s="43"/>
      <c r="I16" s="128"/>
    </row>
    <row r="17" spans="1:10" ht="14.1" customHeight="1">
      <c r="A17" s="379">
        <f t="shared" si="2"/>
        <v>11</v>
      </c>
      <c r="B17" s="88" t="s">
        <v>22</v>
      </c>
      <c r="C17" s="10">
        <f>C393</f>
        <v>42690619.729999997</v>
      </c>
      <c r="D17" s="10">
        <f>D393</f>
        <v>42692.730000000214</v>
      </c>
      <c r="E17" s="10">
        <f>E393</f>
        <v>42647927</v>
      </c>
      <c r="F17" s="10">
        <f>F393</f>
        <v>28506.320000000047</v>
      </c>
      <c r="G17" s="10">
        <f t="shared" si="3"/>
        <v>42676433.32</v>
      </c>
      <c r="H17" s="43"/>
      <c r="I17" s="128"/>
    </row>
    <row r="18" spans="1:10" ht="14.1" customHeight="1">
      <c r="A18" s="379">
        <f t="shared" si="2"/>
        <v>12</v>
      </c>
      <c r="B18" s="88" t="s">
        <v>23</v>
      </c>
      <c r="C18" s="10">
        <f>C402</f>
        <v>6390252.4799999995</v>
      </c>
      <c r="D18" s="10">
        <f>D402</f>
        <v>78.480000000017753</v>
      </c>
      <c r="E18" s="10">
        <f>E402</f>
        <v>6390174</v>
      </c>
      <c r="F18" s="10">
        <f>F402</f>
        <v>-50555.310000000005</v>
      </c>
      <c r="G18" s="10">
        <f t="shared" si="3"/>
        <v>6339618.6900000004</v>
      </c>
      <c r="H18" s="43"/>
      <c r="I18" s="128"/>
      <c r="J18" s="38"/>
    </row>
    <row r="19" spans="1:10" ht="14.1" customHeight="1">
      <c r="A19" s="379">
        <f t="shared" si="2"/>
        <v>13</v>
      </c>
      <c r="B19" s="88" t="s">
        <v>24</v>
      </c>
      <c r="C19" s="10">
        <f>C416</f>
        <v>52280.55</v>
      </c>
      <c r="D19" s="10">
        <f>D416</f>
        <v>0.63276790685404194</v>
      </c>
      <c r="E19" s="10">
        <f>E416</f>
        <v>52279.917232093147</v>
      </c>
      <c r="F19" s="10">
        <f>F416</f>
        <v>0</v>
      </c>
      <c r="G19" s="10">
        <f t="shared" si="3"/>
        <v>52279.917232093147</v>
      </c>
      <c r="H19" s="43"/>
      <c r="I19" s="128"/>
      <c r="J19" s="38"/>
    </row>
    <row r="20" spans="1:10" ht="14.1" customHeight="1">
      <c r="A20" s="379">
        <f t="shared" si="2"/>
        <v>14</v>
      </c>
      <c r="B20" s="88" t="s">
        <v>25</v>
      </c>
      <c r="C20" s="10">
        <f>C409</f>
        <v>734971.60999999987</v>
      </c>
      <c r="D20" s="10">
        <f>D409</f>
        <v>3.6099999999714782</v>
      </c>
      <c r="E20" s="10">
        <f>E409</f>
        <v>734968</v>
      </c>
      <c r="F20" s="10">
        <f>F409</f>
        <v>-387302.06000000006</v>
      </c>
      <c r="G20" s="10">
        <f t="shared" si="3"/>
        <v>347665.93999999994</v>
      </c>
      <c r="H20" s="43"/>
      <c r="I20" s="128"/>
      <c r="J20" s="38"/>
    </row>
    <row r="21" spans="1:10" ht="14.1" customHeight="1">
      <c r="A21" s="379">
        <f t="shared" si="2"/>
        <v>15</v>
      </c>
      <c r="B21" s="88" t="s">
        <v>26</v>
      </c>
      <c r="C21" s="10">
        <f>C437</f>
        <v>22808206.708000004</v>
      </c>
      <c r="D21" s="10">
        <f>D437</f>
        <v>326622.87967000157</v>
      </c>
      <c r="E21" s="10">
        <f>E437</f>
        <v>22481583.828329999</v>
      </c>
      <c r="F21" s="10">
        <f>F437</f>
        <v>-557786.99</v>
      </c>
      <c r="G21" s="10">
        <f t="shared" si="3"/>
        <v>21923796.838330001</v>
      </c>
      <c r="H21" s="43"/>
      <c r="I21" s="128"/>
      <c r="J21" s="38"/>
    </row>
    <row r="22" spans="1:10" ht="14.1" customHeight="1">
      <c r="A22" s="379">
        <f t="shared" si="2"/>
        <v>16</v>
      </c>
      <c r="B22" s="56" t="s">
        <v>27</v>
      </c>
      <c r="C22" s="64">
        <v>0</v>
      </c>
      <c r="D22" s="64">
        <v>0</v>
      </c>
      <c r="E22" s="64">
        <v>0</v>
      </c>
      <c r="F22" s="64">
        <v>0</v>
      </c>
      <c r="G22" s="64">
        <f t="shared" si="3"/>
        <v>0</v>
      </c>
      <c r="H22" s="43"/>
      <c r="I22" s="128"/>
      <c r="J22" s="38"/>
    </row>
    <row r="23" spans="1:10" s="18" customFormat="1" ht="14.1" customHeight="1">
      <c r="A23" s="379">
        <f t="shared" si="2"/>
        <v>17</v>
      </c>
      <c r="B23" s="2" t="s">
        <v>472</v>
      </c>
      <c r="C23" s="16">
        <f>SUM(C15:C22)</f>
        <v>382213240.2930001</v>
      </c>
      <c r="D23" s="16">
        <f>SUM(D15:D22)</f>
        <v>7773867.5474379146</v>
      </c>
      <c r="E23" s="16">
        <f>SUM(E15:E22)</f>
        <v>374439372.74556208</v>
      </c>
      <c r="F23" s="16">
        <f>SUM(F15:F22)</f>
        <v>5461326.4499999993</v>
      </c>
      <c r="G23" s="16">
        <f>SUM(G15:G22)</f>
        <v>379900699.19556212</v>
      </c>
      <c r="H23" s="16"/>
      <c r="I23" s="16"/>
      <c r="J23" s="38"/>
    </row>
    <row r="24" spans="1:10" s="18" customFormat="1" ht="14.1" customHeight="1">
      <c r="A24" s="379">
        <f t="shared" si="2"/>
        <v>18</v>
      </c>
      <c r="B24" s="6"/>
      <c r="C24" s="16"/>
      <c r="D24" s="16"/>
      <c r="E24" s="16"/>
      <c r="F24" s="43"/>
      <c r="G24" s="131"/>
      <c r="H24" s="16"/>
      <c r="I24" s="131"/>
      <c r="J24" s="38"/>
    </row>
    <row r="25" spans="1:10" ht="14.1" customHeight="1">
      <c r="A25" s="379">
        <f t="shared" si="2"/>
        <v>19</v>
      </c>
      <c r="B25" s="88" t="s">
        <v>29</v>
      </c>
      <c r="C25" s="10">
        <f>C472</f>
        <v>98063093.050000012</v>
      </c>
      <c r="D25" s="10">
        <f>D472</f>
        <v>1132910.0500000019</v>
      </c>
      <c r="E25" s="10">
        <f>E472</f>
        <v>96930183</v>
      </c>
      <c r="F25" s="10">
        <f>F472</f>
        <v>-9396653</v>
      </c>
      <c r="G25" s="10">
        <f>E25+F25</f>
        <v>87533530</v>
      </c>
      <c r="H25" s="43"/>
      <c r="I25" s="128"/>
      <c r="J25" s="38"/>
    </row>
    <row r="26" spans="1:10" ht="14.1" customHeight="1">
      <c r="A26" s="379">
        <f t="shared" si="2"/>
        <v>20</v>
      </c>
      <c r="B26" s="88" t="s">
        <v>30</v>
      </c>
      <c r="C26" s="10">
        <f>C491</f>
        <v>28204629.600000001</v>
      </c>
      <c r="D26" s="10">
        <f>D491</f>
        <v>384033.59999999945</v>
      </c>
      <c r="E26" s="10">
        <f>E491</f>
        <v>27820596</v>
      </c>
      <c r="F26" s="10">
        <f>F491</f>
        <v>799766</v>
      </c>
      <c r="G26" s="10">
        <f>E26+F26</f>
        <v>28620362</v>
      </c>
      <c r="H26" s="43"/>
      <c r="I26" s="128"/>
      <c r="J26" s="38"/>
    </row>
    <row r="27" spans="1:10" ht="14.1" customHeight="1">
      <c r="A27" s="379">
        <f t="shared" si="2"/>
        <v>21</v>
      </c>
      <c r="B27" s="88" t="s">
        <v>31</v>
      </c>
      <c r="C27" s="10">
        <f>C514</f>
        <v>4200</v>
      </c>
      <c r="D27" s="10">
        <f>D514</f>
        <v>1718530</v>
      </c>
      <c r="E27" s="10">
        <f>E514</f>
        <v>-1714330</v>
      </c>
      <c r="F27" s="10">
        <f>F514</f>
        <v>-2719628</v>
      </c>
      <c r="G27" s="10">
        <f>E27+F27</f>
        <v>-4433958</v>
      </c>
      <c r="H27" s="43"/>
      <c r="I27" s="128"/>
      <c r="J27" s="38"/>
    </row>
    <row r="28" spans="1:10" ht="14.1" customHeight="1">
      <c r="A28" s="379">
        <f t="shared" si="2"/>
        <v>22</v>
      </c>
      <c r="B28" s="88" t="s">
        <v>32</v>
      </c>
      <c r="C28" s="10">
        <f>C499</f>
        <v>727940.35</v>
      </c>
      <c r="D28" s="10">
        <f>D499</f>
        <v>0.34999999997671694</v>
      </c>
      <c r="E28" s="10">
        <f>E499</f>
        <v>727940</v>
      </c>
      <c r="F28" s="10">
        <f>F499</f>
        <v>-220699</v>
      </c>
      <c r="G28" s="10">
        <f>E28+F28</f>
        <v>507241</v>
      </c>
      <c r="H28" s="43"/>
      <c r="I28" s="128"/>
      <c r="J28" s="38"/>
    </row>
    <row r="29" spans="1:10" ht="14.1" customHeight="1">
      <c r="A29" s="379">
        <f t="shared" si="2"/>
        <v>23</v>
      </c>
      <c r="B29" s="56" t="s">
        <v>33</v>
      </c>
      <c r="C29" s="64">
        <f>C510</f>
        <v>6493296.620000001</v>
      </c>
      <c r="D29" s="64">
        <f>D510</f>
        <v>1530935.94</v>
      </c>
      <c r="E29" s="64">
        <f>E510</f>
        <v>4962360.68</v>
      </c>
      <c r="F29" s="64">
        <f>F510</f>
        <v>-150304</v>
      </c>
      <c r="G29" s="64">
        <f>E29+F29</f>
        <v>4812056.68</v>
      </c>
      <c r="H29" s="43"/>
      <c r="I29" s="128"/>
      <c r="J29" s="38"/>
    </row>
    <row r="30" spans="1:10" s="18" customFormat="1" ht="14.1" customHeight="1">
      <c r="A30" s="379">
        <f t="shared" si="2"/>
        <v>24</v>
      </c>
      <c r="B30" s="2" t="s">
        <v>34</v>
      </c>
      <c r="C30" s="16">
        <f>SUM(C12)-SUM(C23:C29)</f>
        <v>86428072.129999697</v>
      </c>
      <c r="D30" s="16">
        <f>SUM(D12)-SUM(D23:D29)</f>
        <v>-2201256.6033779234</v>
      </c>
      <c r="E30" s="16">
        <f>SUM(E12)-SUM(E23:E29)</f>
        <v>88629329.233377874</v>
      </c>
      <c r="F30" s="16">
        <f>SUM(F12)-SUM(F23:F29)</f>
        <v>-51186912.922561795</v>
      </c>
      <c r="G30" s="16">
        <f>SUM(G12)-SUM(G23:G29)</f>
        <v>37442416.31081605</v>
      </c>
      <c r="H30" s="16"/>
      <c r="I30" s="132"/>
      <c r="J30" s="38"/>
    </row>
    <row r="31" spans="1:10" s="18" customFormat="1" ht="14.1" customHeight="1">
      <c r="A31" s="379">
        <f t="shared" si="2"/>
        <v>25</v>
      </c>
      <c r="B31" s="6"/>
      <c r="C31" s="16"/>
      <c r="D31" s="16"/>
      <c r="E31" s="16">
        <f>E30+E27</f>
        <v>86914999.233377874</v>
      </c>
      <c r="F31" s="16">
        <f>F30+F27</f>
        <v>-53906540.922561795</v>
      </c>
      <c r="G31" s="16">
        <f>G30+G27</f>
        <v>33008458.31081605</v>
      </c>
      <c r="H31" s="16"/>
      <c r="I31" s="131"/>
      <c r="J31" s="38"/>
    </row>
    <row r="32" spans="1:10" ht="14.1" customHeight="1">
      <c r="A32" s="379">
        <f t="shared" si="2"/>
        <v>26</v>
      </c>
      <c r="B32" s="3" t="s">
        <v>35</v>
      </c>
      <c r="C32" s="10"/>
      <c r="D32" s="10"/>
      <c r="E32" s="43"/>
      <c r="F32" s="133"/>
      <c r="G32" s="128"/>
      <c r="H32" s="43"/>
      <c r="I32" s="128"/>
      <c r="J32" s="38"/>
    </row>
    <row r="33" spans="1:10" ht="14.1" customHeight="1">
      <c r="A33" s="379">
        <f t="shared" si="2"/>
        <v>27</v>
      </c>
      <c r="B33" s="88" t="s">
        <v>36</v>
      </c>
      <c r="C33" s="10">
        <f t="shared" ref="C33:F36" si="4">C515</f>
        <v>-7937454</v>
      </c>
      <c r="D33" s="10">
        <f t="shared" si="4"/>
        <v>-4798270</v>
      </c>
      <c r="E33" s="10">
        <f t="shared" si="4"/>
        <v>-3139184</v>
      </c>
      <c r="F33" s="10">
        <f t="shared" si="4"/>
        <v>-9184154</v>
      </c>
      <c r="G33" s="10">
        <f>E33+F33</f>
        <v>-12323338</v>
      </c>
      <c r="H33" s="43"/>
      <c r="I33" s="128"/>
      <c r="J33" s="38"/>
    </row>
    <row r="34" spans="1:10" ht="14.1" customHeight="1">
      <c r="A34" s="379">
        <f t="shared" si="2"/>
        <v>28</v>
      </c>
      <c r="B34" s="88" t="s">
        <v>37</v>
      </c>
      <c r="C34" s="10">
        <f t="shared" si="4"/>
        <v>3460761.7399999988</v>
      </c>
      <c r="D34" s="10">
        <f t="shared" si="4"/>
        <v>-968317.26000000117</v>
      </c>
      <c r="E34" s="10">
        <f t="shared" si="4"/>
        <v>4429079</v>
      </c>
      <c r="F34" s="10">
        <f t="shared" si="4"/>
        <v>10486154</v>
      </c>
      <c r="G34" s="10">
        <f>E34+F34</f>
        <v>14915233</v>
      </c>
      <c r="H34" s="43"/>
      <c r="I34" s="128"/>
      <c r="J34" s="38"/>
    </row>
    <row r="35" spans="1:10" s="22" customFormat="1" ht="14.1" customHeight="1">
      <c r="A35" s="379">
        <f t="shared" si="2"/>
        <v>29</v>
      </c>
      <c r="B35" s="22" t="s">
        <v>38</v>
      </c>
      <c r="C35" s="43">
        <f t="shared" si="4"/>
        <v>-28</v>
      </c>
      <c r="D35" s="43">
        <f t="shared" si="4"/>
        <v>-1</v>
      </c>
      <c r="E35" s="43">
        <f t="shared" si="4"/>
        <v>-27</v>
      </c>
      <c r="F35" s="43">
        <f t="shared" si="4"/>
        <v>0</v>
      </c>
      <c r="G35" s="10">
        <f>E35+F35</f>
        <v>-27</v>
      </c>
      <c r="H35" s="43"/>
      <c r="I35" s="128"/>
      <c r="J35" s="38"/>
    </row>
    <row r="36" spans="1:10" s="22" customFormat="1" ht="14.1" customHeight="1">
      <c r="A36" s="379">
        <f t="shared" si="2"/>
        <v>30</v>
      </c>
      <c r="B36" s="57" t="s">
        <v>390</v>
      </c>
      <c r="C36" s="43">
        <f t="shared" si="4"/>
        <v>0</v>
      </c>
      <c r="D36" s="43">
        <f t="shared" si="4"/>
        <v>0</v>
      </c>
      <c r="E36" s="43">
        <f t="shared" si="4"/>
        <v>0</v>
      </c>
      <c r="F36" s="43">
        <f t="shared" si="4"/>
        <v>0</v>
      </c>
      <c r="G36" s="10">
        <f>E36+F36</f>
        <v>0</v>
      </c>
      <c r="H36" s="43"/>
      <c r="I36" s="128"/>
      <c r="J36" s="38"/>
    </row>
    <row r="37" spans="1:10" s="134" customFormat="1" ht="14.1" customHeight="1">
      <c r="A37" s="379">
        <f t="shared" si="2"/>
        <v>31</v>
      </c>
      <c r="B37" s="2" t="s">
        <v>39</v>
      </c>
      <c r="C37" s="85">
        <f>SUM(C32:C36)</f>
        <v>-4476720.2600000016</v>
      </c>
      <c r="D37" s="85">
        <f>SUM(D32:D36)</f>
        <v>-5766588.2600000016</v>
      </c>
      <c r="E37" s="85">
        <f>SUM(E32:E36)</f>
        <v>1289868</v>
      </c>
      <c r="F37" s="85">
        <f>SUM(F33:F36)</f>
        <v>1302000</v>
      </c>
      <c r="G37" s="85">
        <f>SUM(G32:G36)</f>
        <v>2591868</v>
      </c>
      <c r="H37" s="16"/>
      <c r="I37" s="16"/>
      <c r="J37" s="38"/>
    </row>
    <row r="38" spans="1:10" s="18" customFormat="1" ht="14.1" customHeight="1">
      <c r="A38" s="379">
        <f t="shared" si="2"/>
        <v>32</v>
      </c>
      <c r="B38" s="6"/>
      <c r="C38" s="16"/>
      <c r="D38" s="16"/>
      <c r="E38" s="16"/>
      <c r="F38" s="43"/>
      <c r="G38" s="131"/>
      <c r="H38" s="16"/>
      <c r="I38" s="131"/>
      <c r="J38" s="38"/>
    </row>
    <row r="39" spans="1:10" s="379" customFormat="1" ht="14.1" customHeight="1">
      <c r="A39" s="379">
        <f t="shared" si="2"/>
        <v>33</v>
      </c>
      <c r="B39" s="115" t="s">
        <v>40</v>
      </c>
      <c r="C39" s="43">
        <f>C30-C37</f>
        <v>90904792.389999703</v>
      </c>
      <c r="D39" s="43">
        <f>D30-D37</f>
        <v>3565331.6566220783</v>
      </c>
      <c r="E39" s="43">
        <f>E30-E37</f>
        <v>87339461.233377874</v>
      </c>
      <c r="F39" s="43">
        <f>F30-F37</f>
        <v>-52488912.922561795</v>
      </c>
      <c r="G39" s="43">
        <f>G30-G37</f>
        <v>34850548.31081605</v>
      </c>
      <c r="H39" s="43"/>
      <c r="I39" s="9"/>
      <c r="J39" s="38"/>
    </row>
    <row r="40" spans="1:10" s="379" customFormat="1" ht="14.1" customHeight="1">
      <c r="A40" s="379">
        <f t="shared" si="2"/>
        <v>34</v>
      </c>
      <c r="B40" s="135" t="s">
        <v>330</v>
      </c>
      <c r="C40" s="64">
        <f>-C493-C494-C495-C496-C497</f>
        <v>2383717.54</v>
      </c>
      <c r="D40" s="64">
        <f>-D493-D494-D495-D496-D497</f>
        <v>31624.540000000008</v>
      </c>
      <c r="E40" s="64">
        <f>-E493-E494-E495-E496-E497</f>
        <v>2352093</v>
      </c>
      <c r="F40" s="64">
        <f>-SUM(F493:F496)</f>
        <v>3091136</v>
      </c>
      <c r="G40" s="64">
        <f>E40+F40</f>
        <v>5443229</v>
      </c>
      <c r="H40" s="43"/>
      <c r="I40" s="9"/>
      <c r="J40" s="38"/>
    </row>
    <row r="41" spans="1:10" s="379" customFormat="1" ht="14.1" customHeight="1" thickBot="1">
      <c r="A41" s="379">
        <f t="shared" si="2"/>
        <v>35</v>
      </c>
      <c r="B41" s="4" t="s">
        <v>41</v>
      </c>
      <c r="C41" s="136">
        <f>C40+C39</f>
        <v>93288509.929999709</v>
      </c>
      <c r="D41" s="136">
        <f>D40+D39</f>
        <v>3596956.1966220783</v>
      </c>
      <c r="E41" s="136">
        <f>E39+E40</f>
        <v>89691554.233377874</v>
      </c>
      <c r="F41" s="136">
        <f>F39+F40</f>
        <v>-49397776.922561795</v>
      </c>
      <c r="G41" s="136">
        <f>SUM(G39:G40)</f>
        <v>40293777.31081605</v>
      </c>
      <c r="H41" s="43"/>
      <c r="I41" s="238"/>
      <c r="J41" s="38"/>
    </row>
    <row r="42" spans="1:10" s="379" customFormat="1" ht="14.1" customHeight="1" thickTop="1">
      <c r="A42" s="379">
        <f t="shared" si="2"/>
        <v>36</v>
      </c>
      <c r="B42" s="115"/>
      <c r="C42" s="43"/>
      <c r="D42" s="43"/>
      <c r="E42" s="43"/>
      <c r="F42" s="43"/>
      <c r="G42" s="128"/>
      <c r="H42" s="43"/>
      <c r="I42" s="380"/>
      <c r="J42" s="38"/>
    </row>
    <row r="43" spans="1:10" ht="14.1" customHeight="1">
      <c r="A43" s="379">
        <f t="shared" si="2"/>
        <v>37</v>
      </c>
      <c r="B43" s="88" t="s">
        <v>42</v>
      </c>
      <c r="C43" s="43">
        <f>C171</f>
        <v>2920630955.5299997</v>
      </c>
      <c r="D43" s="43">
        <f>D171</f>
        <v>60158227.859999917</v>
      </c>
      <c r="E43" s="43">
        <f>E171</f>
        <v>2860472727.6700001</v>
      </c>
      <c r="F43" s="43">
        <f>F171</f>
        <v>-323850066</v>
      </c>
      <c r="G43" s="43">
        <f>G171</f>
        <v>2536622661.6700001</v>
      </c>
      <c r="H43" s="43"/>
      <c r="I43" s="22"/>
      <c r="J43" s="38"/>
    </row>
    <row r="44" spans="1:10" ht="14.1" customHeight="1">
      <c r="A44" s="379">
        <f t="shared" si="2"/>
        <v>38</v>
      </c>
      <c r="B44" s="56" t="s">
        <v>43</v>
      </c>
      <c r="C44" s="64">
        <f>-C188-C196-C199</f>
        <v>-1047393815.8099999</v>
      </c>
      <c r="D44" s="64">
        <f>-D188-D196-D199</f>
        <v>-17766885.809999999</v>
      </c>
      <c r="E44" s="64">
        <f>-E188-E196-E199</f>
        <v>-1029626930</v>
      </c>
      <c r="F44" s="64">
        <f>-F188-F196</f>
        <v>121568119</v>
      </c>
      <c r="G44" s="64">
        <f>-G188-G196</f>
        <v>-908058811</v>
      </c>
      <c r="H44" s="43"/>
      <c r="I44" s="22"/>
      <c r="J44" s="38"/>
    </row>
    <row r="45" spans="1:10" ht="14.1" customHeight="1">
      <c r="A45" s="379">
        <f t="shared" si="2"/>
        <v>39</v>
      </c>
      <c r="B45" s="13" t="s">
        <v>473</v>
      </c>
      <c r="C45" s="43">
        <f>SUM(C43:C44)</f>
        <v>1873237139.7199998</v>
      </c>
      <c r="D45" s="43">
        <f>SUM(D43:D44)</f>
        <v>42391342.049999923</v>
      </c>
      <c r="E45" s="43">
        <f>SUM(E43:E44)</f>
        <v>1830845797.6700001</v>
      </c>
      <c r="F45" s="43">
        <f>SUM(F43:F44)</f>
        <v>-202281947</v>
      </c>
      <c r="G45" s="43">
        <f>SUM(G43:G44)</f>
        <v>1628563850.6700001</v>
      </c>
      <c r="H45" s="97"/>
      <c r="I45" s="22"/>
      <c r="J45" s="38"/>
    </row>
    <row r="46" spans="1:10" ht="14.1" customHeight="1">
      <c r="A46" s="379">
        <f t="shared" si="2"/>
        <v>40</v>
      </c>
      <c r="B46" s="88" t="s">
        <v>45</v>
      </c>
      <c r="C46" s="43">
        <f>C236</f>
        <v>556145.38</v>
      </c>
      <c r="D46" s="43">
        <f>D236</f>
        <v>556.38000000000466</v>
      </c>
      <c r="E46" s="43">
        <f>E236</f>
        <v>555589</v>
      </c>
      <c r="F46" s="43">
        <f>F236</f>
        <v>0</v>
      </c>
      <c r="G46" s="43">
        <f>E46+F46</f>
        <v>555589</v>
      </c>
      <c r="H46" s="43"/>
      <c r="I46" s="65"/>
      <c r="J46" s="38"/>
    </row>
    <row r="47" spans="1:10" ht="14.1" customHeight="1">
      <c r="A47" s="379">
        <f t="shared" si="2"/>
        <v>41</v>
      </c>
      <c r="B47" s="88" t="s">
        <v>373</v>
      </c>
      <c r="C47" s="43">
        <f>C247+C248</f>
        <v>66888681.362999998</v>
      </c>
      <c r="D47" s="43">
        <f>D247+D248</f>
        <v>1003330.362999998</v>
      </c>
      <c r="E47" s="43">
        <f>E247+E248</f>
        <v>65885351</v>
      </c>
      <c r="F47" s="43">
        <f>F247+F248</f>
        <v>0</v>
      </c>
      <c r="G47" s="43">
        <f>E47+F47</f>
        <v>65885351</v>
      </c>
      <c r="H47" s="43"/>
      <c r="I47" s="22"/>
      <c r="J47" s="38"/>
    </row>
    <row r="48" spans="1:10" ht="14.1" customHeight="1">
      <c r="A48" s="379">
        <f t="shared" si="2"/>
        <v>42</v>
      </c>
      <c r="B48" s="88" t="s">
        <v>374</v>
      </c>
      <c r="C48" s="43">
        <f>C244</f>
        <v>49578794.739000008</v>
      </c>
      <c r="D48" s="43">
        <f>D244</f>
        <v>669095.73900000344</v>
      </c>
      <c r="E48" s="43">
        <f>E244</f>
        <v>48909699</v>
      </c>
      <c r="F48" s="43">
        <f>F244</f>
        <v>-14587221</v>
      </c>
      <c r="G48" s="43">
        <f>E48+F48</f>
        <v>34322478</v>
      </c>
      <c r="H48" s="43"/>
      <c r="I48" s="22"/>
      <c r="J48" s="38"/>
    </row>
    <row r="49" spans="1:10" ht="14.1" customHeight="1">
      <c r="A49" s="379">
        <f t="shared" si="2"/>
        <v>43</v>
      </c>
      <c r="B49" s="88" t="s">
        <v>375</v>
      </c>
      <c r="C49" s="43">
        <f>C450</f>
        <v>20349994.371624999</v>
      </c>
      <c r="D49" s="43">
        <f>D450</f>
        <v>586426.02842973976</v>
      </c>
      <c r="E49" s="43">
        <f>E450</f>
        <v>19763568.343195263</v>
      </c>
      <c r="F49" s="43">
        <f>F450</f>
        <v>682665.80625000026</v>
      </c>
      <c r="G49" s="43">
        <f>E49+F49</f>
        <v>20446234.149445262</v>
      </c>
      <c r="H49" s="43"/>
      <c r="I49" s="22"/>
      <c r="J49" s="38"/>
    </row>
    <row r="50" spans="1:10" ht="14.1" customHeight="1">
      <c r="A50" s="379">
        <f t="shared" si="2"/>
        <v>44</v>
      </c>
      <c r="B50" s="88" t="s">
        <v>44</v>
      </c>
      <c r="C50" s="43">
        <f>C229</f>
        <v>91925130</v>
      </c>
      <c r="D50" s="43">
        <f>D229</f>
        <v>4040122</v>
      </c>
      <c r="E50" s="43">
        <f>E229</f>
        <v>87885008</v>
      </c>
      <c r="F50" s="43">
        <f>F229</f>
        <v>0</v>
      </c>
      <c r="G50" s="43">
        <f>G229</f>
        <v>87885008</v>
      </c>
      <c r="H50" s="43"/>
      <c r="I50" s="22"/>
      <c r="J50" s="38"/>
    </row>
    <row r="51" spans="1:10" ht="14.1" customHeight="1">
      <c r="A51" s="379">
        <f t="shared" si="2"/>
        <v>45</v>
      </c>
      <c r="B51" s="88" t="s">
        <v>377</v>
      </c>
      <c r="C51" s="43">
        <f>(C256+C257)</f>
        <v>-31421915.940000001</v>
      </c>
      <c r="D51" s="43">
        <f>(D256+D257)</f>
        <v>5.9999999240972102E-2</v>
      </c>
      <c r="E51" s="43">
        <f>(E256+E257)</f>
        <v>-31421916</v>
      </c>
      <c r="F51" s="43">
        <f>(F256+F257)*-1</f>
        <v>0</v>
      </c>
      <c r="G51" s="43">
        <f>E51+F51</f>
        <v>-31421916</v>
      </c>
      <c r="H51" s="43"/>
      <c r="I51" s="22"/>
      <c r="J51" s="38"/>
    </row>
    <row r="52" spans="1:10" ht="14.1" customHeight="1">
      <c r="A52" s="379">
        <f t="shared" si="2"/>
        <v>46</v>
      </c>
      <c r="B52" s="56" t="s">
        <v>46</v>
      </c>
      <c r="C52" s="64">
        <f>C253</f>
        <v>-539545500</v>
      </c>
      <c r="D52" s="64">
        <f>D253</f>
        <v>-7231906</v>
      </c>
      <c r="E52" s="64">
        <f>E253</f>
        <v>-532313594</v>
      </c>
      <c r="F52" s="64">
        <f>F253</f>
        <v>133451967</v>
      </c>
      <c r="G52" s="64">
        <f>E52+F52</f>
        <v>-398861627</v>
      </c>
      <c r="H52" s="43"/>
      <c r="I52" s="137"/>
      <c r="J52" s="38"/>
    </row>
    <row r="53" spans="1:10" s="18" customFormat="1" ht="14.1" customHeight="1" thickBot="1">
      <c r="A53" s="379">
        <f t="shared" si="2"/>
        <v>47</v>
      </c>
      <c r="B53" s="5" t="s">
        <v>47</v>
      </c>
      <c r="C53" s="138">
        <f>SUM(C45:C52)</f>
        <v>1531568469.6336248</v>
      </c>
      <c r="D53" s="138">
        <f>SUM(D45:D52)</f>
        <v>41458966.620429665</v>
      </c>
      <c r="E53" s="138">
        <f>SUM(E45:E52)</f>
        <v>1490109503.0131953</v>
      </c>
      <c r="F53" s="138">
        <f>SUM(F45:F52)</f>
        <v>-82734535.193749994</v>
      </c>
      <c r="G53" s="138">
        <f>SUM(G45:G52)</f>
        <v>1407374967.8194454</v>
      </c>
      <c r="H53" s="16"/>
      <c r="I53" s="139" t="s">
        <v>48</v>
      </c>
      <c r="J53" s="38"/>
    </row>
    <row r="54" spans="1:10" s="18" customFormat="1" ht="14.1" customHeight="1" thickTop="1">
      <c r="A54" s="379">
        <f t="shared" si="2"/>
        <v>48</v>
      </c>
      <c r="B54" s="6"/>
      <c r="C54" s="16"/>
      <c r="D54" s="16"/>
      <c r="E54" s="16"/>
      <c r="F54" s="16"/>
      <c r="G54" s="16"/>
      <c r="H54" s="16"/>
      <c r="I54" s="134"/>
      <c r="J54" s="38"/>
    </row>
    <row r="55" spans="1:10" s="18" customFormat="1" ht="14.1" customHeight="1">
      <c r="A55" s="379">
        <f t="shared" si="2"/>
        <v>49</v>
      </c>
      <c r="B55" s="2" t="s">
        <v>49</v>
      </c>
      <c r="C55" s="140">
        <f>C41/C53</f>
        <v>6.0910440362039957E-2</v>
      </c>
      <c r="D55" s="141">
        <f>+D41/D53</f>
        <v>8.6759427207951975E-2</v>
      </c>
      <c r="E55" s="140">
        <f>+E41/E53</f>
        <v>6.0191250409456408E-2</v>
      </c>
      <c r="F55" s="141"/>
      <c r="G55" s="140">
        <f>+G41/G53</f>
        <v>2.8630449050295607E-2</v>
      </c>
      <c r="H55" s="142"/>
      <c r="I55" s="134"/>
      <c r="J55" s="38"/>
    </row>
    <row r="56" spans="1:10" s="18" customFormat="1" ht="14.1" customHeight="1">
      <c r="A56" s="379">
        <f t="shared" si="2"/>
        <v>50</v>
      </c>
      <c r="B56" s="6"/>
      <c r="C56" s="143"/>
      <c r="D56" s="143"/>
      <c r="E56" s="142"/>
      <c r="F56" s="142"/>
      <c r="G56" s="142"/>
      <c r="H56" s="134"/>
      <c r="I56" s="144"/>
      <c r="J56" s="38"/>
    </row>
    <row r="57" spans="1:10" ht="13.5" customHeight="1">
      <c r="A57" s="379">
        <f t="shared" si="2"/>
        <v>51</v>
      </c>
      <c r="C57" s="10"/>
      <c r="D57" s="100"/>
      <c r="E57" s="100"/>
      <c r="F57" s="100"/>
      <c r="G57" s="142"/>
      <c r="I57" s="22"/>
      <c r="J57" s="38"/>
    </row>
    <row r="58" spans="1:10" s="21" customFormat="1" ht="14.1" customHeight="1">
      <c r="A58" s="379">
        <f t="shared" si="2"/>
        <v>52</v>
      </c>
      <c r="B58" s="53" t="s">
        <v>50</v>
      </c>
      <c r="C58" s="10"/>
      <c r="D58" s="19"/>
      <c r="E58" s="19"/>
      <c r="F58" s="19"/>
      <c r="G58" s="145"/>
      <c r="J58" s="38"/>
    </row>
    <row r="59" spans="1:10" ht="14.1" customHeight="1">
      <c r="A59" s="379">
        <f t="shared" si="2"/>
        <v>53</v>
      </c>
      <c r="B59" s="8" t="s">
        <v>51</v>
      </c>
      <c r="C59" s="10"/>
      <c r="D59" s="19"/>
      <c r="E59" s="10"/>
      <c r="F59" s="10"/>
      <c r="G59" s="38"/>
      <c r="I59" s="88"/>
      <c r="J59" s="38"/>
    </row>
    <row r="60" spans="1:10" ht="14.1" customHeight="1">
      <c r="A60" s="379">
        <f t="shared" si="2"/>
        <v>54</v>
      </c>
      <c r="B60" s="88" t="s">
        <v>52</v>
      </c>
      <c r="C60" s="10">
        <v>39923093.86999999</v>
      </c>
      <c r="D60" s="10">
        <f>C60-E60</f>
        <v>598846.86999998987</v>
      </c>
      <c r="E60" s="10">
        <f>ROUND(C60*'Allocation Factors'!$G$22,0)</f>
        <v>39324247</v>
      </c>
      <c r="F60" s="10">
        <f>'Sch 5'!C60</f>
        <v>0</v>
      </c>
      <c r="G60" s="10">
        <f>E60+F60</f>
        <v>39324247</v>
      </c>
      <c r="H60" s="10"/>
      <c r="I60" s="15" t="s">
        <v>352</v>
      </c>
      <c r="J60" s="38"/>
    </row>
    <row r="61" spans="1:10" ht="14.1" customHeight="1">
      <c r="A61" s="379">
        <f t="shared" si="2"/>
        <v>55</v>
      </c>
      <c r="B61" s="56" t="s">
        <v>53</v>
      </c>
      <c r="C61" s="10">
        <v>0</v>
      </c>
      <c r="D61" s="10">
        <f>C61-E61</f>
        <v>0</v>
      </c>
      <c r="E61" s="10">
        <f>ROUND(C61*'Allocation Factors'!$G$22,0)</f>
        <v>0</v>
      </c>
      <c r="F61" s="10">
        <f>'Sch 5'!C61</f>
        <v>0</v>
      </c>
      <c r="G61" s="10">
        <f>E61+F61</f>
        <v>0</v>
      </c>
      <c r="H61" s="10"/>
      <c r="I61" s="15" t="s">
        <v>352</v>
      </c>
      <c r="J61" s="38"/>
    </row>
    <row r="62" spans="1:10" ht="14.1" customHeight="1">
      <c r="A62" s="379">
        <f t="shared" si="2"/>
        <v>56</v>
      </c>
      <c r="B62" s="3" t="s">
        <v>474</v>
      </c>
      <c r="C62" s="47">
        <f>SUM(C60:C61)</f>
        <v>39923093.86999999</v>
      </c>
      <c r="D62" s="47">
        <f>SUM(D60:D61)</f>
        <v>598846.86999998987</v>
      </c>
      <c r="E62" s="47">
        <f>SUM(E60:E61)</f>
        <v>39324247</v>
      </c>
      <c r="F62" s="47">
        <f>SUM(F60:F61)</f>
        <v>0</v>
      </c>
      <c r="G62" s="47">
        <f>SUM(G60:G61)</f>
        <v>39324247</v>
      </c>
      <c r="H62" s="47"/>
      <c r="I62" s="146"/>
      <c r="J62" s="38"/>
    </row>
    <row r="63" spans="1:10" ht="14.1" customHeight="1">
      <c r="A63" s="379">
        <f t="shared" si="2"/>
        <v>57</v>
      </c>
      <c r="C63" s="9"/>
      <c r="D63" s="43"/>
      <c r="E63" s="48"/>
      <c r="F63" s="43"/>
      <c r="G63" s="43"/>
      <c r="H63" s="43"/>
      <c r="I63" s="15"/>
      <c r="J63" s="38"/>
    </row>
    <row r="64" spans="1:10" ht="14.1" customHeight="1">
      <c r="A64" s="379">
        <f t="shared" si="2"/>
        <v>58</v>
      </c>
      <c r="B64" s="3" t="s">
        <v>56</v>
      </c>
      <c r="C64" s="10"/>
      <c r="D64" s="19"/>
      <c r="E64" s="10"/>
      <c r="F64" s="10"/>
      <c r="G64" s="10"/>
      <c r="H64" s="10"/>
      <c r="I64" s="15"/>
      <c r="J64" s="38"/>
    </row>
    <row r="65" spans="1:10" ht="14.1" customHeight="1">
      <c r="A65" s="379">
        <f t="shared" si="2"/>
        <v>59</v>
      </c>
      <c r="B65" s="3" t="s">
        <v>57</v>
      </c>
      <c r="C65" s="10"/>
      <c r="D65" s="19"/>
      <c r="E65" s="10"/>
      <c r="F65" s="10"/>
      <c r="G65" s="10"/>
      <c r="H65" s="10"/>
      <c r="I65" s="15"/>
      <c r="J65" s="38"/>
    </row>
    <row r="66" spans="1:10" ht="14.1" customHeight="1">
      <c r="A66" s="379">
        <f t="shared" si="2"/>
        <v>60</v>
      </c>
      <c r="B66" s="88" t="s">
        <v>58</v>
      </c>
      <c r="C66" s="10">
        <v>4838789.3899999997</v>
      </c>
      <c r="D66" s="10">
        <f t="shared" ref="D66:D73" si="5">C66-E66</f>
        <v>72581.389999999665</v>
      </c>
      <c r="E66" s="10">
        <f>ROUND(C66*'Allocation Factors'!$G$10,0)</f>
        <v>4766208</v>
      </c>
      <c r="F66" s="10">
        <f>'Sch 5'!C66</f>
        <v>0</v>
      </c>
      <c r="G66" s="10">
        <f t="shared" ref="G66:G73" si="6">E66+F66</f>
        <v>4766208</v>
      </c>
      <c r="H66" s="10"/>
      <c r="I66" s="15" t="s">
        <v>341</v>
      </c>
      <c r="J66" s="38"/>
    </row>
    <row r="67" spans="1:10" ht="14.1" customHeight="1">
      <c r="A67" s="379">
        <f t="shared" si="2"/>
        <v>61</v>
      </c>
      <c r="B67" s="88" t="s">
        <v>60</v>
      </c>
      <c r="C67" s="10">
        <v>72033790.179999992</v>
      </c>
      <c r="D67" s="10">
        <f t="shared" si="5"/>
        <v>1080507.1799999923</v>
      </c>
      <c r="E67" s="10">
        <f>ROUND(C67*'Allocation Factors'!$G$10,0)</f>
        <v>70953283</v>
      </c>
      <c r="F67" s="10">
        <f>'Sch 5'!C67</f>
        <v>0</v>
      </c>
      <c r="G67" s="10">
        <f t="shared" si="6"/>
        <v>70953283</v>
      </c>
      <c r="H67" s="10"/>
      <c r="I67" s="15" t="s">
        <v>341</v>
      </c>
      <c r="J67" s="38"/>
    </row>
    <row r="68" spans="1:10" ht="14.1" customHeight="1">
      <c r="A68" s="379">
        <f t="shared" si="2"/>
        <v>62</v>
      </c>
      <c r="B68" s="88" t="s">
        <v>61</v>
      </c>
      <c r="C68" s="10">
        <v>951999603.32999992</v>
      </c>
      <c r="D68" s="10">
        <f t="shared" si="5"/>
        <v>14279994.329999924</v>
      </c>
      <c r="E68" s="10">
        <f>ROUND(C68*'Allocation Factors'!$G$10,0)</f>
        <v>937719609</v>
      </c>
      <c r="F68" s="10">
        <f>'Sch 5'!C68</f>
        <v>-323850066</v>
      </c>
      <c r="G68" s="10">
        <f t="shared" si="6"/>
        <v>613869543</v>
      </c>
      <c r="H68" s="10"/>
      <c r="I68" s="15" t="s">
        <v>341</v>
      </c>
      <c r="J68" s="38"/>
    </row>
    <row r="69" spans="1:10" ht="14.1" customHeight="1">
      <c r="A69" s="379">
        <f t="shared" si="2"/>
        <v>63</v>
      </c>
      <c r="B69" s="88" t="s">
        <v>62</v>
      </c>
      <c r="C69" s="10">
        <v>0</v>
      </c>
      <c r="D69" s="10">
        <f t="shared" si="5"/>
        <v>0</v>
      </c>
      <c r="E69" s="10">
        <f>ROUND(C69*'Allocation Factors'!$G$10,0)</f>
        <v>0</v>
      </c>
      <c r="F69" s="10">
        <f>'Sch 5'!C69</f>
        <v>0</v>
      </c>
      <c r="G69" s="10">
        <f t="shared" si="6"/>
        <v>0</v>
      </c>
      <c r="H69" s="10"/>
      <c r="I69" s="15" t="s">
        <v>341</v>
      </c>
      <c r="J69" s="38"/>
    </row>
    <row r="70" spans="1:10" ht="14.1" customHeight="1">
      <c r="A70" s="379">
        <f t="shared" si="2"/>
        <v>64</v>
      </c>
      <c r="B70" s="88" t="s">
        <v>63</v>
      </c>
      <c r="C70" s="10">
        <v>117974434.71000001</v>
      </c>
      <c r="D70" s="10">
        <f t="shared" si="5"/>
        <v>1769616.7100000083</v>
      </c>
      <c r="E70" s="10">
        <f>ROUND(C70*'Allocation Factors'!$G$10,0)</f>
        <v>116204818</v>
      </c>
      <c r="F70" s="10">
        <f>'Sch 5'!C70</f>
        <v>0</v>
      </c>
      <c r="G70" s="10">
        <f t="shared" si="6"/>
        <v>116204818</v>
      </c>
      <c r="H70" s="10"/>
      <c r="I70" s="15" t="s">
        <v>341</v>
      </c>
      <c r="J70" s="38"/>
    </row>
    <row r="71" spans="1:10" ht="14.1" customHeight="1">
      <c r="A71" s="379">
        <f t="shared" si="2"/>
        <v>65</v>
      </c>
      <c r="B71" s="88" t="s">
        <v>64</v>
      </c>
      <c r="C71" s="10">
        <v>31104342.830000002</v>
      </c>
      <c r="D71" s="10">
        <f t="shared" si="5"/>
        <v>466564.83000000194</v>
      </c>
      <c r="E71" s="10">
        <f>ROUND(C71*'Allocation Factors'!$G$10,0)</f>
        <v>30637778</v>
      </c>
      <c r="F71" s="10">
        <f>'Sch 5'!C71</f>
        <v>0</v>
      </c>
      <c r="G71" s="10">
        <f t="shared" si="6"/>
        <v>30637778</v>
      </c>
      <c r="H71" s="10"/>
      <c r="I71" s="15" t="s">
        <v>341</v>
      </c>
      <c r="J71" s="38"/>
    </row>
    <row r="72" spans="1:10" ht="14.1" customHeight="1">
      <c r="A72" s="379">
        <f t="shared" si="2"/>
        <v>66</v>
      </c>
      <c r="B72" s="88" t="s">
        <v>65</v>
      </c>
      <c r="C72" s="10">
        <v>13236328.720000001</v>
      </c>
      <c r="D72" s="10">
        <f t="shared" si="5"/>
        <v>198544.72000000067</v>
      </c>
      <c r="E72" s="10">
        <f>ROUND(C72*'Allocation Factors'!$G$10,0)</f>
        <v>13037784</v>
      </c>
      <c r="F72" s="10">
        <f>'Sch 5'!C72</f>
        <v>0</v>
      </c>
      <c r="G72" s="10">
        <f t="shared" si="6"/>
        <v>13037784</v>
      </c>
      <c r="H72" s="10"/>
      <c r="I72" s="15" t="s">
        <v>341</v>
      </c>
      <c r="J72" s="38"/>
    </row>
    <row r="73" spans="1:10" ht="14.1" customHeight="1">
      <c r="A73" s="379">
        <f t="shared" si="2"/>
        <v>67</v>
      </c>
      <c r="B73" s="56" t="s">
        <v>66</v>
      </c>
      <c r="C73" s="10">
        <v>13203292.559999999</v>
      </c>
      <c r="D73" s="10">
        <f t="shared" si="5"/>
        <v>13203292.559999999</v>
      </c>
      <c r="E73" s="10">
        <v>0</v>
      </c>
      <c r="F73" s="10">
        <f>'Sch 5'!C73</f>
        <v>0</v>
      </c>
      <c r="G73" s="10">
        <f t="shared" si="6"/>
        <v>0</v>
      </c>
      <c r="H73" s="10"/>
      <c r="I73" s="15"/>
      <c r="J73" s="38"/>
    </row>
    <row r="74" spans="1:10" s="18" customFormat="1" ht="14.1" customHeight="1">
      <c r="A74" s="379">
        <f t="shared" si="2"/>
        <v>68</v>
      </c>
      <c r="B74" s="2" t="s">
        <v>475</v>
      </c>
      <c r="C74" s="85">
        <f>SUM(C66:C73)</f>
        <v>1204390581.7199998</v>
      </c>
      <c r="D74" s="85">
        <f>SUM(D66:D73)</f>
        <v>31071101.719999928</v>
      </c>
      <c r="E74" s="85">
        <f>SUM(E66:E73)</f>
        <v>1173319480</v>
      </c>
      <c r="F74" s="85">
        <f>SUM(F66:F73)</f>
        <v>-323850066</v>
      </c>
      <c r="G74" s="85">
        <f>SUM(G66:G73)</f>
        <v>849469414</v>
      </c>
      <c r="H74" s="85"/>
      <c r="I74" s="147"/>
      <c r="J74" s="38"/>
    </row>
    <row r="75" spans="1:10" s="18" customFormat="1" ht="14.1" customHeight="1">
      <c r="A75" s="379">
        <f t="shared" ref="A75:A140" si="7">+A74+1</f>
        <v>69</v>
      </c>
      <c r="B75" s="6"/>
      <c r="C75" s="12"/>
      <c r="D75" s="16"/>
      <c r="E75" s="130"/>
      <c r="F75" s="16"/>
      <c r="G75" s="16"/>
      <c r="H75" s="16"/>
      <c r="I75" s="25"/>
      <c r="J75" s="38"/>
    </row>
    <row r="76" spans="1:10" ht="14.1" customHeight="1">
      <c r="A76" s="379">
        <f t="shared" si="7"/>
        <v>70</v>
      </c>
      <c r="B76" s="3" t="s">
        <v>67</v>
      </c>
      <c r="C76" s="10"/>
      <c r="D76" s="10"/>
      <c r="E76" s="10"/>
      <c r="F76" s="10"/>
      <c r="G76" s="10"/>
      <c r="H76" s="10"/>
      <c r="I76" s="15"/>
      <c r="J76" s="38"/>
    </row>
    <row r="77" spans="1:10" ht="14.1" customHeight="1">
      <c r="A77" s="379">
        <f t="shared" si="7"/>
        <v>71</v>
      </c>
      <c r="B77" s="88" t="s">
        <v>68</v>
      </c>
      <c r="C77" s="10">
        <v>0</v>
      </c>
      <c r="D77" s="19">
        <v>0</v>
      </c>
      <c r="E77" s="10">
        <v>0</v>
      </c>
      <c r="F77" s="10">
        <f>'Sch 5'!C77</f>
        <v>0</v>
      </c>
      <c r="G77" s="10">
        <f t="shared" ref="G77:G82" si="8">E77+F77</f>
        <v>0</v>
      </c>
      <c r="H77" s="10"/>
      <c r="I77" s="15"/>
      <c r="J77" s="38"/>
    </row>
    <row r="78" spans="1:10" ht="14.1" customHeight="1">
      <c r="A78" s="379">
        <f t="shared" si="7"/>
        <v>72</v>
      </c>
      <c r="B78" s="88" t="s">
        <v>69</v>
      </c>
      <c r="C78" s="10">
        <v>0</v>
      </c>
      <c r="D78" s="19">
        <v>0</v>
      </c>
      <c r="E78" s="10">
        <v>0</v>
      </c>
      <c r="F78" s="10">
        <f>'Sch 5'!C78</f>
        <v>0</v>
      </c>
      <c r="G78" s="10">
        <f t="shared" si="8"/>
        <v>0</v>
      </c>
      <c r="H78" s="10"/>
      <c r="I78" s="15"/>
      <c r="J78" s="38"/>
    </row>
    <row r="79" spans="1:10" ht="14.1" customHeight="1">
      <c r="A79" s="379">
        <f t="shared" si="7"/>
        <v>73</v>
      </c>
      <c r="B79" s="88" t="s">
        <v>70</v>
      </c>
      <c r="C79" s="10">
        <v>0</v>
      </c>
      <c r="D79" s="19">
        <v>0</v>
      </c>
      <c r="E79" s="10">
        <v>0</v>
      </c>
      <c r="F79" s="10">
        <f>'Sch 5'!C79</f>
        <v>0</v>
      </c>
      <c r="G79" s="10">
        <f t="shared" si="8"/>
        <v>0</v>
      </c>
      <c r="H79" s="10"/>
      <c r="I79" s="15"/>
      <c r="J79" s="38"/>
    </row>
    <row r="80" spans="1:10" ht="14.1" customHeight="1">
      <c r="A80" s="379">
        <f t="shared" si="7"/>
        <v>74</v>
      </c>
      <c r="B80" s="88" t="s">
        <v>71</v>
      </c>
      <c r="C80" s="10">
        <v>0</v>
      </c>
      <c r="D80" s="19">
        <v>0</v>
      </c>
      <c r="E80" s="10">
        <v>0</v>
      </c>
      <c r="F80" s="10">
        <f>'Sch 5'!C80</f>
        <v>0</v>
      </c>
      <c r="G80" s="10">
        <f t="shared" si="8"/>
        <v>0</v>
      </c>
      <c r="H80" s="10"/>
      <c r="I80" s="15"/>
      <c r="J80" s="38"/>
    </row>
    <row r="81" spans="1:10" ht="14.1" customHeight="1">
      <c r="A81" s="379">
        <f t="shared" si="7"/>
        <v>75</v>
      </c>
      <c r="B81" s="88" t="s">
        <v>72</v>
      </c>
      <c r="C81" s="10">
        <v>0</v>
      </c>
      <c r="D81" s="19">
        <v>0</v>
      </c>
      <c r="E81" s="10">
        <v>0</v>
      </c>
      <c r="F81" s="10">
        <f>'Sch 5'!C81</f>
        <v>0</v>
      </c>
      <c r="G81" s="10">
        <f t="shared" si="8"/>
        <v>0</v>
      </c>
      <c r="H81" s="10"/>
      <c r="I81" s="15"/>
      <c r="J81" s="38"/>
    </row>
    <row r="82" spans="1:10" ht="14.1" customHeight="1">
      <c r="A82" s="379">
        <f t="shared" si="7"/>
        <v>76</v>
      </c>
      <c r="B82" s="56" t="s">
        <v>73</v>
      </c>
      <c r="C82" s="10">
        <v>0</v>
      </c>
      <c r="D82" s="19">
        <v>0</v>
      </c>
      <c r="E82" s="10">
        <v>0</v>
      </c>
      <c r="F82" s="10">
        <f>'Sch 5'!C82</f>
        <v>0</v>
      </c>
      <c r="G82" s="10">
        <f t="shared" si="8"/>
        <v>0</v>
      </c>
      <c r="H82" s="10"/>
      <c r="I82" s="15"/>
      <c r="J82" s="38"/>
    </row>
    <row r="83" spans="1:10" s="18" customFormat="1" ht="14.1" customHeight="1">
      <c r="A83" s="379">
        <f t="shared" si="7"/>
        <v>77</v>
      </c>
      <c r="B83" s="2" t="s">
        <v>476</v>
      </c>
      <c r="C83" s="85">
        <f>SUM(C77:C82)</f>
        <v>0</v>
      </c>
      <c r="D83" s="85">
        <f>SUM(D77:D82)</f>
        <v>0</v>
      </c>
      <c r="E83" s="85">
        <f>SUM(E77:E82)</f>
        <v>0</v>
      </c>
      <c r="F83" s="85">
        <f>SUM(F77:F82)</f>
        <v>0</v>
      </c>
      <c r="G83" s="85">
        <f>SUM(G77:G82)</f>
        <v>0</v>
      </c>
      <c r="H83" s="85"/>
      <c r="I83" s="148"/>
      <c r="J83" s="38"/>
    </row>
    <row r="84" spans="1:10" s="18" customFormat="1" ht="14.1" customHeight="1">
      <c r="A84" s="379">
        <f t="shared" si="7"/>
        <v>78</v>
      </c>
      <c r="B84" s="6"/>
      <c r="C84" s="16"/>
      <c r="D84" s="16"/>
      <c r="E84" s="16"/>
      <c r="F84" s="16"/>
      <c r="G84" s="16"/>
      <c r="H84" s="16"/>
      <c r="I84" s="25"/>
      <c r="J84" s="38"/>
    </row>
    <row r="85" spans="1:10" ht="14.1" customHeight="1">
      <c r="A85" s="379">
        <f t="shared" si="7"/>
        <v>79</v>
      </c>
      <c r="B85" s="3" t="s">
        <v>74</v>
      </c>
      <c r="C85" s="10"/>
      <c r="D85" s="10"/>
      <c r="E85" s="10"/>
      <c r="F85" s="10"/>
      <c r="G85" s="10"/>
      <c r="H85" s="10"/>
      <c r="I85" s="15"/>
      <c r="J85" s="38"/>
    </row>
    <row r="86" spans="1:10" ht="14.1" customHeight="1">
      <c r="A86" s="379">
        <f t="shared" si="7"/>
        <v>80</v>
      </c>
      <c r="B86" s="88" t="s">
        <v>75</v>
      </c>
      <c r="C86" s="10">
        <v>0</v>
      </c>
      <c r="D86" s="10">
        <v>0</v>
      </c>
      <c r="E86" s="10">
        <v>0</v>
      </c>
      <c r="F86" s="10">
        <f>'Sch 5'!C86</f>
        <v>0</v>
      </c>
      <c r="G86" s="10">
        <f t="shared" ref="G86:G93" si="9">E86+F86</f>
        <v>0</v>
      </c>
      <c r="H86" s="10"/>
      <c r="I86" s="15"/>
      <c r="J86" s="38"/>
    </row>
    <row r="87" spans="1:10" ht="14.1" customHeight="1">
      <c r="A87" s="379">
        <f t="shared" si="7"/>
        <v>81</v>
      </c>
      <c r="B87" s="88" t="s">
        <v>76</v>
      </c>
      <c r="C87" s="10">
        <v>0</v>
      </c>
      <c r="D87" s="10">
        <v>0</v>
      </c>
      <c r="E87" s="10">
        <v>0</v>
      </c>
      <c r="F87" s="10">
        <f>'Sch 5'!C87</f>
        <v>0</v>
      </c>
      <c r="G87" s="10">
        <f t="shared" si="9"/>
        <v>0</v>
      </c>
      <c r="H87" s="10"/>
      <c r="I87" s="15"/>
      <c r="J87" s="38"/>
    </row>
    <row r="88" spans="1:10" ht="14.1" customHeight="1">
      <c r="A88" s="379">
        <f t="shared" si="7"/>
        <v>82</v>
      </c>
      <c r="B88" s="88" t="s">
        <v>77</v>
      </c>
      <c r="C88" s="10">
        <v>0</v>
      </c>
      <c r="D88" s="10">
        <v>0</v>
      </c>
      <c r="E88" s="10">
        <v>0</v>
      </c>
      <c r="F88" s="10">
        <f>'Sch 5'!C88</f>
        <v>0</v>
      </c>
      <c r="G88" s="10">
        <f t="shared" si="9"/>
        <v>0</v>
      </c>
      <c r="H88" s="10"/>
      <c r="I88" s="15"/>
      <c r="J88" s="38"/>
    </row>
    <row r="89" spans="1:10" ht="14.1" customHeight="1">
      <c r="A89" s="379">
        <f t="shared" si="7"/>
        <v>83</v>
      </c>
      <c r="B89" s="88" t="s">
        <v>78</v>
      </c>
      <c r="C89" s="10">
        <v>0</v>
      </c>
      <c r="D89" s="10">
        <v>0</v>
      </c>
      <c r="E89" s="10">
        <v>0</v>
      </c>
      <c r="F89" s="10">
        <f>'Sch 5'!C89</f>
        <v>0</v>
      </c>
      <c r="G89" s="10">
        <f t="shared" si="9"/>
        <v>0</v>
      </c>
      <c r="H89" s="10"/>
      <c r="I89" s="15"/>
      <c r="J89" s="38"/>
    </row>
    <row r="90" spans="1:10" ht="14.1" customHeight="1">
      <c r="A90" s="379">
        <f t="shared" si="7"/>
        <v>84</v>
      </c>
      <c r="B90" s="88" t="s">
        <v>79</v>
      </c>
      <c r="C90" s="10">
        <v>0</v>
      </c>
      <c r="D90" s="10">
        <v>0</v>
      </c>
      <c r="E90" s="10">
        <v>0</v>
      </c>
      <c r="F90" s="10">
        <f>'Sch 5'!C90</f>
        <v>0</v>
      </c>
      <c r="G90" s="10">
        <f t="shared" si="9"/>
        <v>0</v>
      </c>
      <c r="H90" s="10"/>
      <c r="I90" s="15"/>
      <c r="J90" s="38"/>
    </row>
    <row r="91" spans="1:10" ht="14.1" customHeight="1">
      <c r="A91" s="379">
        <f t="shared" si="7"/>
        <v>85</v>
      </c>
      <c r="B91" s="88" t="s">
        <v>80</v>
      </c>
      <c r="C91" s="10">
        <v>0</v>
      </c>
      <c r="D91" s="10">
        <v>0</v>
      </c>
      <c r="E91" s="10">
        <v>0</v>
      </c>
      <c r="F91" s="10">
        <f>'Sch 5'!C91</f>
        <v>0</v>
      </c>
      <c r="G91" s="10">
        <f t="shared" si="9"/>
        <v>0</v>
      </c>
      <c r="H91" s="10"/>
      <c r="I91" s="15"/>
      <c r="J91" s="38"/>
    </row>
    <row r="92" spans="1:10" ht="14.1" customHeight="1">
      <c r="A92" s="379">
        <f t="shared" si="7"/>
        <v>86</v>
      </c>
      <c r="B92" s="88" t="s">
        <v>81</v>
      </c>
      <c r="C92" s="10">
        <v>0</v>
      </c>
      <c r="D92" s="10">
        <v>0</v>
      </c>
      <c r="E92" s="10">
        <v>0</v>
      </c>
      <c r="F92" s="10">
        <f>'Sch 5'!C92</f>
        <v>0</v>
      </c>
      <c r="G92" s="10">
        <f t="shared" si="9"/>
        <v>0</v>
      </c>
      <c r="H92" s="10"/>
      <c r="I92" s="15"/>
      <c r="J92" s="38"/>
    </row>
    <row r="93" spans="1:10" ht="13.5" customHeight="1">
      <c r="A93" s="379">
        <f t="shared" si="7"/>
        <v>87</v>
      </c>
      <c r="B93" s="56" t="s">
        <v>82</v>
      </c>
      <c r="C93" s="10">
        <v>0</v>
      </c>
      <c r="D93" s="10">
        <v>0</v>
      </c>
      <c r="E93" s="10">
        <v>0</v>
      </c>
      <c r="F93" s="10">
        <f>'Sch 5'!C93</f>
        <v>0</v>
      </c>
      <c r="G93" s="10">
        <f t="shared" si="9"/>
        <v>0</v>
      </c>
      <c r="H93" s="10"/>
      <c r="I93" s="15"/>
      <c r="J93" s="38"/>
    </row>
    <row r="94" spans="1:10" s="18" customFormat="1" ht="14.1" customHeight="1">
      <c r="A94" s="379">
        <f t="shared" si="7"/>
        <v>88</v>
      </c>
      <c r="B94" s="2" t="s">
        <v>477</v>
      </c>
      <c r="C94" s="85">
        <f>SUM(C86:C93)</f>
        <v>0</v>
      </c>
      <c r="D94" s="85">
        <f>SUM(D86:D93)</f>
        <v>0</v>
      </c>
      <c r="E94" s="85">
        <f>SUM(E86:E93)</f>
        <v>0</v>
      </c>
      <c r="F94" s="85">
        <f>SUM(F86:F93)</f>
        <v>0</v>
      </c>
      <c r="G94" s="85">
        <f>SUM(G86:G93)</f>
        <v>0</v>
      </c>
      <c r="H94" s="85"/>
      <c r="I94" s="147"/>
      <c r="J94" s="38"/>
    </row>
    <row r="95" spans="1:10" s="18" customFormat="1" ht="14.1" customHeight="1">
      <c r="A95" s="379">
        <f t="shared" si="7"/>
        <v>89</v>
      </c>
      <c r="B95" s="6"/>
      <c r="C95" s="12"/>
      <c r="D95" s="16"/>
      <c r="E95" s="130"/>
      <c r="F95" s="16"/>
      <c r="G95" s="16"/>
      <c r="H95" s="16"/>
      <c r="I95" s="25"/>
      <c r="J95" s="38"/>
    </row>
    <row r="96" spans="1:10" ht="14.1" customHeight="1">
      <c r="A96" s="379">
        <f t="shared" si="7"/>
        <v>90</v>
      </c>
      <c r="B96" s="3" t="s">
        <v>83</v>
      </c>
      <c r="C96" s="43"/>
      <c r="D96" s="16"/>
      <c r="E96" s="43"/>
      <c r="F96" s="43"/>
      <c r="G96" s="43"/>
      <c r="H96" s="43"/>
      <c r="I96" s="15"/>
      <c r="J96" s="38"/>
    </row>
    <row r="97" spans="1:11" ht="14.1" customHeight="1">
      <c r="A97" s="379">
        <f t="shared" si="7"/>
        <v>91</v>
      </c>
      <c r="B97" s="88" t="s">
        <v>84</v>
      </c>
      <c r="C97" s="10">
        <v>0</v>
      </c>
      <c r="D97" s="10">
        <v>0</v>
      </c>
      <c r="E97" s="10">
        <v>0</v>
      </c>
      <c r="F97" s="10">
        <f>'Sch 5'!C97</f>
        <v>0</v>
      </c>
      <c r="G97" s="10">
        <f t="shared" ref="G97:G103" si="10">E97+F97</f>
        <v>0</v>
      </c>
      <c r="H97" s="10"/>
      <c r="I97" s="15"/>
      <c r="J97" s="38"/>
    </row>
    <row r="98" spans="1:11" ht="14.1" customHeight="1">
      <c r="A98" s="379">
        <f t="shared" si="7"/>
        <v>92</v>
      </c>
      <c r="B98" s="88" t="s">
        <v>85</v>
      </c>
      <c r="C98" s="10">
        <v>0</v>
      </c>
      <c r="D98" s="10">
        <v>0</v>
      </c>
      <c r="E98" s="10">
        <v>0</v>
      </c>
      <c r="F98" s="10">
        <f>'Sch 5'!C98</f>
        <v>0</v>
      </c>
      <c r="G98" s="10">
        <f t="shared" si="10"/>
        <v>0</v>
      </c>
      <c r="H98" s="10"/>
      <c r="I98" s="15"/>
      <c r="J98" s="38"/>
    </row>
    <row r="99" spans="1:11" ht="14.1" customHeight="1">
      <c r="A99" s="379">
        <f t="shared" si="7"/>
        <v>93</v>
      </c>
      <c r="B99" s="88" t="s">
        <v>86</v>
      </c>
      <c r="C99" s="10">
        <v>0</v>
      </c>
      <c r="D99" s="10">
        <v>0</v>
      </c>
      <c r="E99" s="10">
        <v>0</v>
      </c>
      <c r="F99" s="10">
        <f>'Sch 5'!C99</f>
        <v>0</v>
      </c>
      <c r="G99" s="10">
        <f t="shared" si="10"/>
        <v>0</v>
      </c>
      <c r="H99" s="10"/>
      <c r="I99" s="15"/>
      <c r="J99" s="38"/>
    </row>
    <row r="100" spans="1:11" ht="14.1" customHeight="1">
      <c r="A100" s="379">
        <f t="shared" si="7"/>
        <v>94</v>
      </c>
      <c r="B100" s="88" t="s">
        <v>87</v>
      </c>
      <c r="C100" s="10">
        <v>0</v>
      </c>
      <c r="D100" s="10">
        <v>0</v>
      </c>
      <c r="E100" s="10">
        <v>0</v>
      </c>
      <c r="F100" s="10">
        <f>'Sch 5'!C100</f>
        <v>0</v>
      </c>
      <c r="G100" s="10">
        <f t="shared" si="10"/>
        <v>0</v>
      </c>
      <c r="H100" s="10"/>
      <c r="I100" s="15"/>
      <c r="J100" s="38"/>
    </row>
    <row r="101" spans="1:11" ht="14.1" customHeight="1">
      <c r="A101" s="379">
        <f t="shared" si="7"/>
        <v>95</v>
      </c>
      <c r="B101" s="88" t="s">
        <v>88</v>
      </c>
      <c r="C101" s="10">
        <v>0</v>
      </c>
      <c r="D101" s="10">
        <v>0</v>
      </c>
      <c r="E101" s="10">
        <v>0</v>
      </c>
      <c r="F101" s="10">
        <f>'Sch 5'!C101</f>
        <v>0</v>
      </c>
      <c r="G101" s="10">
        <f t="shared" si="10"/>
        <v>0</v>
      </c>
      <c r="H101" s="10"/>
      <c r="I101" s="15"/>
      <c r="J101" s="38"/>
    </row>
    <row r="102" spans="1:11" ht="14.1" customHeight="1">
      <c r="A102" s="379">
        <f t="shared" si="7"/>
        <v>96</v>
      </c>
      <c r="B102" s="88" t="s">
        <v>89</v>
      </c>
      <c r="C102" s="10">
        <v>0</v>
      </c>
      <c r="D102" s="10">
        <v>0</v>
      </c>
      <c r="E102" s="10">
        <v>0</v>
      </c>
      <c r="F102" s="10">
        <f>'Sch 5'!C102</f>
        <v>0</v>
      </c>
      <c r="G102" s="10">
        <f t="shared" si="10"/>
        <v>0</v>
      </c>
      <c r="H102" s="10"/>
      <c r="I102" s="15"/>
      <c r="J102" s="38"/>
    </row>
    <row r="103" spans="1:11" ht="14.1" customHeight="1">
      <c r="A103" s="379">
        <f t="shared" si="7"/>
        <v>97</v>
      </c>
      <c r="B103" s="56" t="s">
        <v>90</v>
      </c>
      <c r="C103" s="64">
        <v>0</v>
      </c>
      <c r="D103" s="64">
        <v>0</v>
      </c>
      <c r="E103" s="64">
        <v>0</v>
      </c>
      <c r="F103" s="64">
        <f>'Sch 5'!C103</f>
        <v>0</v>
      </c>
      <c r="G103" s="64">
        <f t="shared" si="10"/>
        <v>0</v>
      </c>
      <c r="H103" s="10"/>
      <c r="I103" s="15"/>
      <c r="J103" s="38"/>
    </row>
    <row r="104" spans="1:11" s="18" customFormat="1" ht="14.1" customHeight="1">
      <c r="A104" s="379">
        <f t="shared" si="7"/>
        <v>98</v>
      </c>
      <c r="B104" s="2" t="s">
        <v>478</v>
      </c>
      <c r="C104" s="16">
        <f>SUM(C96:C103)</f>
        <v>0</v>
      </c>
      <c r="D104" s="16">
        <f>SUM(D96:D103)</f>
        <v>0</v>
      </c>
      <c r="E104" s="16">
        <f>SUM(E96:E103)</f>
        <v>0</v>
      </c>
      <c r="F104" s="16">
        <f>SUM(F96:F103)</f>
        <v>0</v>
      </c>
      <c r="G104" s="16">
        <f>SUM(G97:G103)</f>
        <v>0</v>
      </c>
      <c r="H104" s="16"/>
      <c r="I104" s="17"/>
      <c r="J104" s="38"/>
    </row>
    <row r="105" spans="1:11" s="18" customFormat="1" ht="14.1" customHeight="1">
      <c r="A105" s="379">
        <f t="shared" si="7"/>
        <v>99</v>
      </c>
      <c r="B105" s="2"/>
      <c r="C105" s="16"/>
      <c r="D105" s="16"/>
      <c r="E105" s="16"/>
      <c r="F105" s="16"/>
      <c r="G105" s="16"/>
      <c r="H105" s="16"/>
      <c r="I105" s="17"/>
      <c r="J105" s="38"/>
    </row>
    <row r="106" spans="1:11" s="18" customFormat="1" ht="14.1" customHeight="1">
      <c r="A106" s="379">
        <f t="shared" si="7"/>
        <v>100</v>
      </c>
      <c r="B106" s="2" t="s">
        <v>479</v>
      </c>
      <c r="C106" s="43">
        <f>C104+C94+C83+C74</f>
        <v>1204390581.7199998</v>
      </c>
      <c r="D106" s="43">
        <f>D104+D94+D83+D74</f>
        <v>31071101.719999928</v>
      </c>
      <c r="E106" s="43">
        <f>E104+E94+E83+E74</f>
        <v>1173319480</v>
      </c>
      <c r="F106" s="43">
        <f>F104+F94+F83+F74</f>
        <v>-323850066</v>
      </c>
      <c r="G106" s="43">
        <f>G104+G94+G83+G74</f>
        <v>849469414</v>
      </c>
      <c r="H106" s="43"/>
      <c r="I106" s="254"/>
      <c r="J106" s="38"/>
    </row>
    <row r="107" spans="1:11" s="18" customFormat="1" ht="14.1" customHeight="1">
      <c r="A107" s="379">
        <f t="shared" si="7"/>
        <v>101</v>
      </c>
      <c r="B107" s="2"/>
      <c r="C107" s="43"/>
      <c r="D107" s="43"/>
      <c r="E107" s="43"/>
      <c r="F107" s="43"/>
      <c r="G107" s="43"/>
      <c r="H107" s="43"/>
      <c r="I107" s="254"/>
      <c r="J107" s="38"/>
    </row>
    <row r="108" spans="1:11" ht="14.1" customHeight="1">
      <c r="A108" s="379">
        <f t="shared" si="7"/>
        <v>102</v>
      </c>
      <c r="B108" s="88" t="s">
        <v>91</v>
      </c>
      <c r="C108" s="43">
        <f>J108+J109</f>
        <v>489403</v>
      </c>
      <c r="D108" s="10">
        <f>C108-E108</f>
        <v>7341</v>
      </c>
      <c r="E108" s="10">
        <f>ROUND(C108*'Allocation Factors'!$G$16,0)</f>
        <v>482062</v>
      </c>
      <c r="F108" s="10">
        <f>'Sch 5'!C108</f>
        <v>0</v>
      </c>
      <c r="G108" s="10">
        <f>E108+F108</f>
        <v>482062</v>
      </c>
      <c r="H108" s="10"/>
      <c r="I108" s="15" t="s">
        <v>346</v>
      </c>
      <c r="J108" s="14">
        <v>423432</v>
      </c>
      <c r="K108" s="88" t="s">
        <v>445</v>
      </c>
    </row>
    <row r="109" spans="1:11" ht="14.1" customHeight="1">
      <c r="A109" s="379">
        <f t="shared" si="7"/>
        <v>103</v>
      </c>
      <c r="B109" s="56" t="s">
        <v>92</v>
      </c>
      <c r="C109" s="64">
        <v>0</v>
      </c>
      <c r="D109" s="64">
        <v>0</v>
      </c>
      <c r="E109" s="64">
        <v>0</v>
      </c>
      <c r="F109" s="10">
        <f>'Sch 5'!C109</f>
        <v>0</v>
      </c>
      <c r="G109" s="10">
        <f>E109+F109</f>
        <v>0</v>
      </c>
      <c r="H109" s="10"/>
      <c r="I109" s="15"/>
      <c r="J109" s="14">
        <v>65971</v>
      </c>
      <c r="K109" s="88" t="s">
        <v>446</v>
      </c>
    </row>
    <row r="110" spans="1:11" s="18" customFormat="1" ht="14.1" customHeight="1">
      <c r="A110" s="379">
        <f t="shared" si="7"/>
        <v>104</v>
      </c>
      <c r="B110" s="2" t="s">
        <v>933</v>
      </c>
      <c r="C110" s="47">
        <f>C108+C109</f>
        <v>489403</v>
      </c>
      <c r="D110" s="47">
        <f>D108+D109</f>
        <v>7341</v>
      </c>
      <c r="E110" s="47">
        <f>E108+E109</f>
        <v>482062</v>
      </c>
      <c r="F110" s="47">
        <f>F108+F109</f>
        <v>0</v>
      </c>
      <c r="G110" s="47">
        <f>G108+G109</f>
        <v>482062</v>
      </c>
      <c r="H110" s="47"/>
      <c r="I110" s="49"/>
      <c r="J110" s="38"/>
    </row>
    <row r="111" spans="1:11" s="18" customFormat="1" ht="14.1" customHeight="1">
      <c r="A111" s="379">
        <f t="shared" si="7"/>
        <v>105</v>
      </c>
      <c r="B111" s="6"/>
      <c r="C111" s="9"/>
      <c r="D111" s="16"/>
      <c r="E111" s="130"/>
      <c r="F111" s="16"/>
      <c r="G111" s="16"/>
      <c r="H111" s="16"/>
      <c r="I111" s="25"/>
      <c r="J111" s="38"/>
    </row>
    <row r="112" spans="1:11" ht="14.1" customHeight="1">
      <c r="A112" s="379">
        <f t="shared" si="7"/>
        <v>106</v>
      </c>
      <c r="B112" s="3" t="s">
        <v>93</v>
      </c>
      <c r="C112" s="43"/>
      <c r="D112" s="10"/>
      <c r="E112" s="10"/>
      <c r="F112" s="10"/>
      <c r="G112" s="10"/>
      <c r="H112" s="10"/>
      <c r="I112" s="15"/>
      <c r="J112" s="38"/>
    </row>
    <row r="113" spans="1:11" ht="14.1" customHeight="1">
      <c r="A113" s="379">
        <f t="shared" si="7"/>
        <v>107</v>
      </c>
      <c r="B113" s="88" t="s">
        <v>94</v>
      </c>
      <c r="C113" s="10">
        <v>36007762.660000004</v>
      </c>
      <c r="D113" s="38">
        <f t="shared" ref="D113:D123" si="11">C113-E113</f>
        <v>540116.66000000387</v>
      </c>
      <c r="E113" s="38">
        <f>ROUND(C113*'Allocation Factors'!$G$12,0)</f>
        <v>35467646</v>
      </c>
      <c r="F113" s="10">
        <f>'Sch 5'!C113</f>
        <v>0</v>
      </c>
      <c r="G113" s="10">
        <f t="shared" ref="G113:G123" si="12">E113+F113</f>
        <v>35467646</v>
      </c>
      <c r="H113" s="10"/>
      <c r="I113" s="15" t="s">
        <v>343</v>
      </c>
      <c r="J113" s="38"/>
    </row>
    <row r="114" spans="1:11" ht="14.1" customHeight="1">
      <c r="A114" s="379">
        <f t="shared" si="7"/>
        <v>108</v>
      </c>
      <c r="B114" s="88" t="s">
        <v>95</v>
      </c>
      <c r="C114" s="10">
        <v>6324601.7400000002</v>
      </c>
      <c r="D114" s="38">
        <f t="shared" si="11"/>
        <v>94868.740000000224</v>
      </c>
      <c r="E114" s="38">
        <f>ROUND(C114*'Allocation Factors'!$G$12,0)</f>
        <v>6229733</v>
      </c>
      <c r="F114" s="10">
        <f>'Sch 5'!C114</f>
        <v>0</v>
      </c>
      <c r="G114" s="10">
        <f t="shared" si="12"/>
        <v>6229733</v>
      </c>
      <c r="H114" s="10"/>
      <c r="I114" s="15" t="s">
        <v>343</v>
      </c>
      <c r="J114" s="38"/>
    </row>
    <row r="115" spans="1:11" ht="14.1" customHeight="1">
      <c r="A115" s="379">
        <f t="shared" si="7"/>
        <v>109</v>
      </c>
      <c r="B115" s="88" t="s">
        <v>96</v>
      </c>
      <c r="C115" s="10">
        <v>193729196.83999997</v>
      </c>
      <c r="D115" s="38">
        <f t="shared" si="11"/>
        <v>2905937.8399999738</v>
      </c>
      <c r="E115" s="38">
        <f>ROUND(C115*'Allocation Factors'!$G$12,0)</f>
        <v>190823259</v>
      </c>
      <c r="F115" s="10">
        <f>'Sch 5'!C115</f>
        <v>0</v>
      </c>
      <c r="G115" s="10">
        <f t="shared" si="12"/>
        <v>190823259</v>
      </c>
      <c r="H115" s="10"/>
      <c r="I115" s="15" t="s">
        <v>343</v>
      </c>
      <c r="J115" s="38"/>
    </row>
    <row r="116" spans="1:11" ht="14.1" customHeight="1">
      <c r="A116" s="379">
        <f t="shared" si="7"/>
        <v>110</v>
      </c>
      <c r="B116" s="88" t="s">
        <v>97</v>
      </c>
      <c r="C116" s="10">
        <v>81856.25</v>
      </c>
      <c r="D116" s="38">
        <f t="shared" si="11"/>
        <v>1228.25</v>
      </c>
      <c r="E116" s="38">
        <f>ROUND(C116*'Allocation Factors'!$G$10,0)</f>
        <v>80628</v>
      </c>
      <c r="F116" s="10">
        <f>'Sch 5'!C116</f>
        <v>0</v>
      </c>
      <c r="G116" s="10">
        <f t="shared" si="12"/>
        <v>80628</v>
      </c>
      <c r="H116" s="10"/>
      <c r="I116" s="15" t="s">
        <v>341</v>
      </c>
      <c r="J116" s="38"/>
    </row>
    <row r="117" spans="1:11" ht="14.1" customHeight="1">
      <c r="A117" s="379">
        <f t="shared" si="7"/>
        <v>111</v>
      </c>
      <c r="B117" s="88" t="s">
        <v>98</v>
      </c>
      <c r="C117" s="10">
        <v>12112584.640000001</v>
      </c>
      <c r="D117" s="38">
        <f t="shared" si="11"/>
        <v>181688.6400000006</v>
      </c>
      <c r="E117" s="38">
        <f>ROUND(C117*'Allocation Factors'!$G$10,0)</f>
        <v>11930896</v>
      </c>
      <c r="F117" s="10">
        <f>'Sch 5'!C117</f>
        <v>0</v>
      </c>
      <c r="G117" s="10">
        <f t="shared" si="12"/>
        <v>11930896</v>
      </c>
      <c r="H117" s="10"/>
      <c r="I117" s="15" t="s">
        <v>341</v>
      </c>
      <c r="J117" s="38"/>
    </row>
    <row r="118" spans="1:11" ht="14.1" customHeight="1">
      <c r="A118" s="379">
        <f t="shared" si="7"/>
        <v>112</v>
      </c>
      <c r="B118" s="88" t="s">
        <v>99</v>
      </c>
      <c r="C118" s="10">
        <v>100034887.23</v>
      </c>
      <c r="D118" s="38">
        <f t="shared" si="11"/>
        <v>1500523.2300000042</v>
      </c>
      <c r="E118" s="38">
        <f>ROUND(C118*'Allocation Factors'!$G$12,0)</f>
        <v>98534364</v>
      </c>
      <c r="F118" s="10">
        <f>'Sch 5'!C118</f>
        <v>0</v>
      </c>
      <c r="G118" s="10">
        <f t="shared" si="12"/>
        <v>98534364</v>
      </c>
      <c r="H118" s="10"/>
      <c r="I118" s="15" t="s">
        <v>343</v>
      </c>
      <c r="J118" s="38"/>
    </row>
    <row r="119" spans="1:11" ht="14.1" customHeight="1">
      <c r="A119" s="379">
        <f t="shared" si="7"/>
        <v>113</v>
      </c>
      <c r="B119" s="88" t="s">
        <v>100</v>
      </c>
      <c r="C119" s="10">
        <v>114555887.15000001</v>
      </c>
      <c r="D119" s="38">
        <f t="shared" si="11"/>
        <v>1718338.150000006</v>
      </c>
      <c r="E119" s="38">
        <f>ROUND(C119*'Allocation Factors'!$G$12,0)</f>
        <v>112837549</v>
      </c>
      <c r="F119" s="10">
        <f>'Sch 5'!C119</f>
        <v>0</v>
      </c>
      <c r="G119" s="10">
        <f t="shared" si="12"/>
        <v>112837549</v>
      </c>
      <c r="H119" s="10"/>
      <c r="I119" s="15" t="s">
        <v>343</v>
      </c>
      <c r="J119" s="38"/>
    </row>
    <row r="120" spans="1:11" ht="14.1" customHeight="1">
      <c r="A120" s="379">
        <f t="shared" si="7"/>
        <v>114</v>
      </c>
      <c r="B120" s="88" t="s">
        <v>101</v>
      </c>
      <c r="C120" s="10">
        <v>142960886.02000001</v>
      </c>
      <c r="D120" s="38">
        <f t="shared" si="11"/>
        <v>2144413.0200000107</v>
      </c>
      <c r="E120" s="38">
        <f>ROUND(C120*'Allocation Factors'!$G$12,0)</f>
        <v>140816473</v>
      </c>
      <c r="F120" s="10">
        <f>'Sch 5'!C120</f>
        <v>0</v>
      </c>
      <c r="G120" s="10">
        <f t="shared" si="12"/>
        <v>140816473</v>
      </c>
      <c r="H120" s="10"/>
      <c r="I120" s="15" t="s">
        <v>343</v>
      </c>
      <c r="J120" s="38"/>
    </row>
    <row r="121" spans="1:11" ht="14.1" customHeight="1">
      <c r="A121" s="379">
        <f t="shared" si="7"/>
        <v>115</v>
      </c>
      <c r="B121" s="88" t="s">
        <v>102</v>
      </c>
      <c r="C121" s="10">
        <v>121984.94</v>
      </c>
      <c r="D121" s="38">
        <f t="shared" si="11"/>
        <v>1829.9400000000023</v>
      </c>
      <c r="E121" s="38">
        <f>ROUND(C121*'Allocation Factors'!$G$12,0)</f>
        <v>120155</v>
      </c>
      <c r="F121" s="10">
        <f>'Sch 5'!C121</f>
        <v>0</v>
      </c>
      <c r="G121" s="10">
        <f t="shared" si="12"/>
        <v>120155</v>
      </c>
      <c r="H121" s="10"/>
      <c r="I121" s="15" t="s">
        <v>343</v>
      </c>
      <c r="J121" s="38"/>
    </row>
    <row r="122" spans="1:11" ht="14.1" customHeight="1">
      <c r="A122" s="379">
        <f t="shared" si="7"/>
        <v>116</v>
      </c>
      <c r="B122" s="88" t="s">
        <v>103</v>
      </c>
      <c r="C122" s="10">
        <v>107389.02</v>
      </c>
      <c r="D122" s="38">
        <f t="shared" si="11"/>
        <v>1611.0200000000041</v>
      </c>
      <c r="E122" s="38">
        <f>ROUND(C122*'Allocation Factors'!$G$12,0)</f>
        <v>105778</v>
      </c>
      <c r="F122" s="10">
        <f>'Sch 5'!C122</f>
        <v>0</v>
      </c>
      <c r="G122" s="10">
        <f t="shared" si="12"/>
        <v>105778</v>
      </c>
      <c r="H122" s="10"/>
      <c r="I122" s="15" t="s">
        <v>343</v>
      </c>
      <c r="J122" s="38"/>
    </row>
    <row r="123" spans="1:11" ht="14.1" customHeight="1">
      <c r="A123" s="379">
        <f t="shared" si="7"/>
        <v>117</v>
      </c>
      <c r="B123" s="56" t="s">
        <v>104</v>
      </c>
      <c r="C123" s="10">
        <v>0</v>
      </c>
      <c r="D123" s="38">
        <f t="shared" si="11"/>
        <v>0</v>
      </c>
      <c r="E123" s="38">
        <f>ROUND(C123*'Allocation Factors'!$G$12,0)</f>
        <v>0</v>
      </c>
      <c r="F123" s="10">
        <f>'Sch 5'!C123</f>
        <v>0</v>
      </c>
      <c r="G123" s="10">
        <f t="shared" si="12"/>
        <v>0</v>
      </c>
      <c r="H123" s="10"/>
      <c r="I123" s="15" t="s">
        <v>343</v>
      </c>
      <c r="J123" s="38"/>
    </row>
    <row r="124" spans="1:11" ht="14.1" customHeight="1">
      <c r="A124" s="379">
        <f t="shared" si="7"/>
        <v>118</v>
      </c>
      <c r="B124" s="2" t="s">
        <v>480</v>
      </c>
      <c r="C124" s="85">
        <f>SUM(C113:C123)</f>
        <v>606037036.49000001</v>
      </c>
      <c r="D124" s="85">
        <f>SUM(D113:D123)</f>
        <v>9090555.4899999984</v>
      </c>
      <c r="E124" s="85">
        <f>SUM(E113:E123)</f>
        <v>596946481</v>
      </c>
      <c r="F124" s="85">
        <f>SUM(F113:F123)</f>
        <v>0</v>
      </c>
      <c r="G124" s="85">
        <f>SUM(G113:G123)</f>
        <v>596946481</v>
      </c>
      <c r="H124" s="85"/>
      <c r="I124" s="149"/>
      <c r="J124" s="38"/>
    </row>
    <row r="125" spans="1:11" ht="14.1" customHeight="1">
      <c r="A125" s="379">
        <f t="shared" si="7"/>
        <v>119</v>
      </c>
      <c r="B125" s="6"/>
      <c r="C125" s="16"/>
      <c r="D125" s="16"/>
      <c r="E125" s="130"/>
      <c r="F125" s="16"/>
      <c r="G125" s="43"/>
      <c r="H125" s="43"/>
      <c r="I125" s="15"/>
      <c r="J125" s="38"/>
    </row>
    <row r="126" spans="1:11" ht="14.1" customHeight="1">
      <c r="A126" s="379">
        <f t="shared" si="7"/>
        <v>120</v>
      </c>
      <c r="B126" s="3" t="s">
        <v>105</v>
      </c>
      <c r="C126" s="10"/>
      <c r="D126" s="10"/>
      <c r="E126" s="150"/>
      <c r="F126" s="10"/>
      <c r="G126" s="10"/>
      <c r="H126" s="10"/>
      <c r="I126" s="15"/>
      <c r="J126" s="38"/>
    </row>
    <row r="127" spans="1:11" ht="14.1" customHeight="1">
      <c r="A127" s="379">
        <f t="shared" si="7"/>
        <v>121</v>
      </c>
      <c r="B127" s="88" t="s">
        <v>106</v>
      </c>
      <c r="C127" s="10">
        <v>7725159.4799999995</v>
      </c>
      <c r="D127" s="19">
        <f>J127</f>
        <v>1408</v>
      </c>
      <c r="E127" s="89">
        <f t="shared" ref="E127:E141" si="13">C127-D127</f>
        <v>7723751.4799999995</v>
      </c>
      <c r="F127" s="10">
        <f>'Sch 5'!C127</f>
        <v>0</v>
      </c>
      <c r="G127" s="10">
        <f t="shared" ref="G127:G141" si="14">E127+F127</f>
        <v>7723751.4799999995</v>
      </c>
      <c r="H127" s="10"/>
      <c r="I127" s="15" t="s">
        <v>54</v>
      </c>
      <c r="J127" s="38">
        <v>1408</v>
      </c>
      <c r="K127" s="88" t="s">
        <v>923</v>
      </c>
    </row>
    <row r="128" spans="1:11" ht="14.1" customHeight="1">
      <c r="A128" s="379">
        <f t="shared" si="7"/>
        <v>122</v>
      </c>
      <c r="B128" s="88" t="s">
        <v>107</v>
      </c>
      <c r="C128" s="10">
        <v>5204539.24</v>
      </c>
      <c r="D128" s="19">
        <f>J128</f>
        <v>44907</v>
      </c>
      <c r="E128" s="89">
        <f t="shared" si="13"/>
        <v>5159632.24</v>
      </c>
      <c r="F128" s="10">
        <f>'Sch 5'!C128</f>
        <v>0</v>
      </c>
      <c r="G128" s="10">
        <f t="shared" si="14"/>
        <v>5159632.24</v>
      </c>
      <c r="H128" s="10"/>
      <c r="I128" s="15" t="s">
        <v>54</v>
      </c>
      <c r="J128" s="38">
        <v>44907</v>
      </c>
      <c r="K128" s="88" t="s">
        <v>923</v>
      </c>
    </row>
    <row r="129" spans="1:11" ht="14.1" customHeight="1">
      <c r="A129" s="379">
        <f t="shared" si="7"/>
        <v>123</v>
      </c>
      <c r="B129" s="88" t="s">
        <v>108</v>
      </c>
      <c r="C129" s="10">
        <v>115160327.48999999</v>
      </c>
      <c r="D129" s="19">
        <f>J129</f>
        <v>903858.68</v>
      </c>
      <c r="E129" s="89">
        <f t="shared" si="13"/>
        <v>114256468.80999999</v>
      </c>
      <c r="F129" s="10">
        <f>'Sch 5'!C129</f>
        <v>0</v>
      </c>
      <c r="G129" s="10">
        <f t="shared" si="14"/>
        <v>114256468.80999999</v>
      </c>
      <c r="H129" s="10"/>
      <c r="I129" s="15" t="s">
        <v>54</v>
      </c>
      <c r="J129" s="38">
        <v>903858.68</v>
      </c>
      <c r="K129" s="88" t="s">
        <v>923</v>
      </c>
    </row>
    <row r="130" spans="1:11" ht="14.1" customHeight="1">
      <c r="A130" s="379">
        <f t="shared" si="7"/>
        <v>124</v>
      </c>
      <c r="B130" s="88" t="s">
        <v>109</v>
      </c>
      <c r="C130" s="10">
        <v>0</v>
      </c>
      <c r="D130" s="19">
        <v>0</v>
      </c>
      <c r="E130" s="19">
        <f t="shared" si="13"/>
        <v>0</v>
      </c>
      <c r="F130" s="10">
        <f>'Sch 5'!C130</f>
        <v>0</v>
      </c>
      <c r="G130" s="10">
        <f t="shared" si="14"/>
        <v>0</v>
      </c>
      <c r="H130" s="10"/>
      <c r="I130" s="15" t="s">
        <v>362</v>
      </c>
      <c r="J130" s="38"/>
    </row>
    <row r="131" spans="1:11" ht="14.1" customHeight="1">
      <c r="A131" s="379">
        <f t="shared" si="7"/>
        <v>125</v>
      </c>
      <c r="B131" s="88" t="s">
        <v>110</v>
      </c>
      <c r="C131" s="10">
        <v>218911142.34999999</v>
      </c>
      <c r="D131" s="19">
        <v>0</v>
      </c>
      <c r="E131" s="19">
        <f t="shared" si="13"/>
        <v>218911142.34999999</v>
      </c>
      <c r="F131" s="10">
        <f>'Sch 5'!C131</f>
        <v>0</v>
      </c>
      <c r="G131" s="10">
        <f t="shared" si="14"/>
        <v>218911142.34999999</v>
      </c>
      <c r="H131" s="10"/>
      <c r="I131" s="15" t="s">
        <v>362</v>
      </c>
      <c r="J131" s="38"/>
    </row>
    <row r="132" spans="1:11" ht="14.1" customHeight="1">
      <c r="A132" s="379">
        <f t="shared" si="7"/>
        <v>126</v>
      </c>
      <c r="B132" s="88" t="s">
        <v>111</v>
      </c>
      <c r="C132" s="10">
        <v>252666413.61000001</v>
      </c>
      <c r="D132" s="19">
        <v>0</v>
      </c>
      <c r="E132" s="19">
        <f t="shared" si="13"/>
        <v>252666413.61000001</v>
      </c>
      <c r="F132" s="10">
        <f>'Sch 5'!C132</f>
        <v>0</v>
      </c>
      <c r="G132" s="10">
        <f t="shared" si="14"/>
        <v>252666413.61000001</v>
      </c>
      <c r="H132" s="10"/>
      <c r="I132" s="15" t="s">
        <v>362</v>
      </c>
      <c r="J132" s="38"/>
    </row>
    <row r="133" spans="1:11" ht="14.1" customHeight="1">
      <c r="A133" s="379">
        <f t="shared" si="7"/>
        <v>127</v>
      </c>
      <c r="B133" s="88" t="s">
        <v>112</v>
      </c>
      <c r="C133" s="10">
        <v>7479457.0700000003</v>
      </c>
      <c r="D133" s="19">
        <v>0</v>
      </c>
      <c r="E133" s="19">
        <f t="shared" si="13"/>
        <v>7479457.0700000003</v>
      </c>
      <c r="F133" s="10">
        <f>'Sch 5'!C133</f>
        <v>0</v>
      </c>
      <c r="G133" s="10">
        <f t="shared" si="14"/>
        <v>7479457.0700000003</v>
      </c>
      <c r="H133" s="10"/>
      <c r="I133" s="15" t="s">
        <v>362</v>
      </c>
      <c r="J133" s="38"/>
    </row>
    <row r="134" spans="1:11" ht="14.1" customHeight="1">
      <c r="A134" s="379">
        <f t="shared" si="7"/>
        <v>128</v>
      </c>
      <c r="B134" s="88" t="s">
        <v>113</v>
      </c>
      <c r="C134" s="10">
        <v>11645462.67</v>
      </c>
      <c r="D134" s="19">
        <v>0</v>
      </c>
      <c r="E134" s="19">
        <f t="shared" si="13"/>
        <v>11645462.67</v>
      </c>
      <c r="F134" s="10">
        <f>'Sch 5'!C134</f>
        <v>0</v>
      </c>
      <c r="G134" s="10">
        <f t="shared" si="14"/>
        <v>11645462.67</v>
      </c>
      <c r="H134" s="10"/>
      <c r="I134" s="15" t="s">
        <v>362</v>
      </c>
      <c r="J134" s="38"/>
    </row>
    <row r="135" spans="1:11" ht="14.1" customHeight="1">
      <c r="A135" s="379">
        <f t="shared" si="7"/>
        <v>129</v>
      </c>
      <c r="B135" s="88" t="s">
        <v>114</v>
      </c>
      <c r="C135" s="10">
        <v>141489773.90000001</v>
      </c>
      <c r="D135" s="19">
        <v>0</v>
      </c>
      <c r="E135" s="19">
        <f t="shared" si="13"/>
        <v>141489773.90000001</v>
      </c>
      <c r="F135" s="10">
        <f>'Sch 5'!C135</f>
        <v>0</v>
      </c>
      <c r="G135" s="10">
        <f t="shared" si="14"/>
        <v>141489773.90000001</v>
      </c>
      <c r="H135" s="10"/>
      <c r="I135" s="15" t="s">
        <v>362</v>
      </c>
      <c r="J135" s="38"/>
    </row>
    <row r="136" spans="1:11" ht="14.1" customHeight="1">
      <c r="A136" s="379">
        <f t="shared" si="7"/>
        <v>130</v>
      </c>
      <c r="B136" s="88" t="s">
        <v>115</v>
      </c>
      <c r="C136" s="10">
        <v>65817061.869999997</v>
      </c>
      <c r="D136" s="19">
        <v>0</v>
      </c>
      <c r="E136" s="19">
        <f t="shared" si="13"/>
        <v>65817061.869999997</v>
      </c>
      <c r="F136" s="10">
        <f>'Sch 5'!C136</f>
        <v>0</v>
      </c>
      <c r="G136" s="10">
        <f t="shared" si="14"/>
        <v>65817061.869999997</v>
      </c>
      <c r="H136" s="10"/>
      <c r="I136" s="15" t="s">
        <v>362</v>
      </c>
      <c r="J136" s="38"/>
    </row>
    <row r="137" spans="1:11" ht="14.1" customHeight="1">
      <c r="A137" s="379">
        <f t="shared" si="7"/>
        <v>131</v>
      </c>
      <c r="B137" s="88" t="s">
        <v>116</v>
      </c>
      <c r="C137" s="10">
        <v>25197540.670000002</v>
      </c>
      <c r="D137" s="19">
        <f>J137</f>
        <v>4102</v>
      </c>
      <c r="E137" s="19">
        <f t="shared" si="13"/>
        <v>25193438.670000002</v>
      </c>
      <c r="F137" s="10">
        <f>'Sch 5'!C137</f>
        <v>0</v>
      </c>
      <c r="G137" s="10">
        <f t="shared" si="14"/>
        <v>25193438.670000002</v>
      </c>
      <c r="H137" s="10"/>
      <c r="I137" s="15" t="s">
        <v>54</v>
      </c>
      <c r="J137" s="38">
        <v>4102</v>
      </c>
      <c r="K137" s="88" t="s">
        <v>924</v>
      </c>
    </row>
    <row r="138" spans="1:11" ht="14.1" customHeight="1">
      <c r="A138" s="379">
        <f t="shared" si="7"/>
        <v>132</v>
      </c>
      <c r="B138" s="88" t="s">
        <v>117</v>
      </c>
      <c r="C138" s="10">
        <v>18544508.600000001</v>
      </c>
      <c r="D138" s="19">
        <v>0</v>
      </c>
      <c r="E138" s="19">
        <f t="shared" si="13"/>
        <v>18544508.600000001</v>
      </c>
      <c r="F138" s="10">
        <f>'Sch 5'!C138</f>
        <v>0</v>
      </c>
      <c r="G138" s="10">
        <f t="shared" si="14"/>
        <v>18544508.600000001</v>
      </c>
      <c r="H138" s="10"/>
      <c r="I138" s="15" t="s">
        <v>362</v>
      </c>
      <c r="J138" s="38"/>
    </row>
    <row r="139" spans="1:11" ht="14.1" customHeight="1">
      <c r="A139" s="379">
        <f t="shared" si="7"/>
        <v>133</v>
      </c>
      <c r="B139" s="88" t="s">
        <v>118</v>
      </c>
      <c r="C139" s="10">
        <v>0</v>
      </c>
      <c r="D139" s="19">
        <v>0</v>
      </c>
      <c r="E139" s="19">
        <f t="shared" si="13"/>
        <v>0</v>
      </c>
      <c r="F139" s="10">
        <f>'Sch 5'!C139</f>
        <v>0</v>
      </c>
      <c r="G139" s="10">
        <f t="shared" si="14"/>
        <v>0</v>
      </c>
      <c r="H139" s="10"/>
      <c r="I139" s="15" t="s">
        <v>362</v>
      </c>
      <c r="J139" s="38"/>
    </row>
    <row r="140" spans="1:11" ht="14.1" customHeight="1">
      <c r="A140" s="379">
        <f t="shared" si="7"/>
        <v>134</v>
      </c>
      <c r="B140" s="88" t="s">
        <v>119</v>
      </c>
      <c r="C140" s="10">
        <v>4329453.4400000004</v>
      </c>
      <c r="D140" s="19">
        <v>0</v>
      </c>
      <c r="E140" s="19">
        <f t="shared" si="13"/>
        <v>4329453.4400000004</v>
      </c>
      <c r="F140" s="10">
        <f>'Sch 5'!C140</f>
        <v>0</v>
      </c>
      <c r="G140" s="10">
        <f t="shared" si="14"/>
        <v>4329453.4400000004</v>
      </c>
      <c r="H140" s="10"/>
      <c r="I140" s="15" t="s">
        <v>362</v>
      </c>
      <c r="J140" s="38"/>
    </row>
    <row r="141" spans="1:11" ht="14.1" customHeight="1">
      <c r="A141" s="379">
        <f t="shared" ref="A141:A182" si="15">+A140+1</f>
        <v>135</v>
      </c>
      <c r="B141" s="56" t="s">
        <v>120</v>
      </c>
      <c r="C141" s="10">
        <v>0</v>
      </c>
      <c r="D141" s="19">
        <v>0</v>
      </c>
      <c r="E141" s="19">
        <f t="shared" si="13"/>
        <v>0</v>
      </c>
      <c r="F141" s="10">
        <f>'Sch 5'!C141</f>
        <v>0</v>
      </c>
      <c r="G141" s="10">
        <f t="shared" si="14"/>
        <v>0</v>
      </c>
      <c r="H141" s="10"/>
      <c r="I141" s="15" t="s">
        <v>362</v>
      </c>
      <c r="J141" s="38"/>
    </row>
    <row r="142" spans="1:11" ht="14.1" customHeight="1">
      <c r="A142" s="379">
        <f t="shared" si="15"/>
        <v>136</v>
      </c>
      <c r="B142" s="2" t="s">
        <v>481</v>
      </c>
      <c r="C142" s="85">
        <f>SUM(C127:C141)</f>
        <v>874170840.3900001</v>
      </c>
      <c r="D142" s="85">
        <f>SUM(D127:D141)</f>
        <v>954275.68</v>
      </c>
      <c r="E142" s="85">
        <f>SUM(E127:E141)</f>
        <v>873216564.71000004</v>
      </c>
      <c r="F142" s="85">
        <f>SUM(F127:F141)</f>
        <v>0</v>
      </c>
      <c r="G142" s="85">
        <f>SUM(G127:G141)</f>
        <v>873216564.71000004</v>
      </c>
      <c r="H142" s="85"/>
      <c r="I142" s="149"/>
      <c r="J142" s="38"/>
    </row>
    <row r="143" spans="1:11" ht="14.1" customHeight="1">
      <c r="A143" s="379">
        <f t="shared" si="15"/>
        <v>137</v>
      </c>
      <c r="B143" s="6"/>
      <c r="C143" s="16"/>
      <c r="D143" s="16"/>
      <c r="E143" s="130"/>
      <c r="F143" s="16"/>
      <c r="G143" s="43"/>
      <c r="H143" s="43"/>
      <c r="I143" s="15"/>
      <c r="J143" s="38"/>
    </row>
    <row r="144" spans="1:11" ht="14.1" customHeight="1">
      <c r="A144" s="379">
        <f t="shared" si="15"/>
        <v>138</v>
      </c>
      <c r="B144" s="3" t="s">
        <v>121</v>
      </c>
      <c r="C144" s="10"/>
      <c r="D144" s="10"/>
      <c r="E144" s="10"/>
      <c r="F144" s="10"/>
      <c r="G144" s="10"/>
      <c r="H144" s="10"/>
      <c r="I144" s="15"/>
      <c r="J144" s="38"/>
    </row>
    <row r="145" spans="1:10" ht="14.1" customHeight="1">
      <c r="A145" s="379">
        <f t="shared" si="15"/>
        <v>139</v>
      </c>
      <c r="B145" s="88" t="s">
        <v>122</v>
      </c>
      <c r="C145" s="10">
        <f>13011+1530979.57</f>
        <v>1543990.57</v>
      </c>
      <c r="D145" s="10">
        <f t="shared" ref="D145:D156" si="16">C145-E145</f>
        <v>23159.570000000065</v>
      </c>
      <c r="E145" s="10">
        <f>ROUND(C145*'Allocation Factors'!$G$22,0)</f>
        <v>1520831</v>
      </c>
      <c r="F145" s="10">
        <f>'Sch 5'!C145</f>
        <v>0</v>
      </c>
      <c r="G145" s="10">
        <f t="shared" ref="G145:G156" si="17">E145+F145</f>
        <v>1520831</v>
      </c>
      <c r="H145" s="10"/>
      <c r="I145" s="15" t="s">
        <v>352</v>
      </c>
      <c r="J145" s="38"/>
    </row>
    <row r="146" spans="1:10" ht="14.1" customHeight="1">
      <c r="A146" s="379">
        <f t="shared" si="15"/>
        <v>140</v>
      </c>
      <c r="B146" s="88" t="s">
        <v>123</v>
      </c>
      <c r="C146" s="10">
        <f>27007.06+24068336.16</f>
        <v>24095343.219999999</v>
      </c>
      <c r="D146" s="10">
        <f t="shared" si="16"/>
        <v>361430.21999999881</v>
      </c>
      <c r="E146" s="10">
        <f>ROUND(C146*'Allocation Factors'!$G$22,0)</f>
        <v>23733913</v>
      </c>
      <c r="F146" s="10">
        <f>'Sch 5'!C146</f>
        <v>0</v>
      </c>
      <c r="G146" s="10">
        <f t="shared" si="17"/>
        <v>23733913</v>
      </c>
      <c r="H146" s="10"/>
      <c r="I146" s="15" t="s">
        <v>352</v>
      </c>
      <c r="J146" s="38"/>
    </row>
    <row r="147" spans="1:10" ht="14.1" customHeight="1">
      <c r="A147" s="379">
        <f t="shared" si="15"/>
        <v>141</v>
      </c>
      <c r="B147" s="88" t="s">
        <v>124</v>
      </c>
      <c r="C147" s="10">
        <v>2079703.8900000001</v>
      </c>
      <c r="D147" s="10">
        <f t="shared" si="16"/>
        <v>31195.89000000013</v>
      </c>
      <c r="E147" s="10">
        <f>ROUND(C147*'Allocation Factors'!$G$22,0)</f>
        <v>2048508</v>
      </c>
      <c r="F147" s="10">
        <f>'Sch 5'!C147</f>
        <v>0</v>
      </c>
      <c r="G147" s="10">
        <f t="shared" si="17"/>
        <v>2048508</v>
      </c>
      <c r="H147" s="10"/>
      <c r="I147" s="15" t="s">
        <v>352</v>
      </c>
      <c r="J147" s="38"/>
    </row>
    <row r="148" spans="1:10" ht="14.1" customHeight="1">
      <c r="A148" s="379">
        <f t="shared" si="15"/>
        <v>142</v>
      </c>
      <c r="B148" s="88" t="s">
        <v>125</v>
      </c>
      <c r="C148" s="10">
        <v>14767.6</v>
      </c>
      <c r="D148" s="10">
        <f t="shared" si="16"/>
        <v>221.60000000000036</v>
      </c>
      <c r="E148" s="10">
        <f>ROUND(C148*'Allocation Factors'!$G$22,0)</f>
        <v>14546</v>
      </c>
      <c r="F148" s="10">
        <f>'Sch 5'!C148</f>
        <v>0</v>
      </c>
      <c r="G148" s="10">
        <f t="shared" si="17"/>
        <v>14546</v>
      </c>
      <c r="H148" s="10"/>
      <c r="I148" s="15" t="s">
        <v>352</v>
      </c>
      <c r="J148" s="38"/>
    </row>
    <row r="149" spans="1:10" ht="14.1" customHeight="1">
      <c r="A149" s="379">
        <f t="shared" si="15"/>
        <v>143</v>
      </c>
      <c r="B149" s="88" t="s">
        <v>126</v>
      </c>
      <c r="C149" s="10">
        <v>281759.63000000006</v>
      </c>
      <c r="D149" s="10">
        <f t="shared" si="16"/>
        <v>4226.6300000000629</v>
      </c>
      <c r="E149" s="10">
        <f>ROUND(C149*'Allocation Factors'!$G$22,0)</f>
        <v>277533</v>
      </c>
      <c r="F149" s="10">
        <f>'Sch 5'!C149</f>
        <v>0</v>
      </c>
      <c r="G149" s="10">
        <f t="shared" si="17"/>
        <v>277533</v>
      </c>
      <c r="H149" s="10"/>
      <c r="I149" s="15" t="s">
        <v>352</v>
      </c>
      <c r="J149" s="38"/>
    </row>
    <row r="150" spans="1:10" ht="14.1" customHeight="1">
      <c r="A150" s="379">
        <f t="shared" si="15"/>
        <v>144</v>
      </c>
      <c r="B150" s="88" t="s">
        <v>127</v>
      </c>
      <c r="C150" s="10">
        <v>5725347.5500000007</v>
      </c>
      <c r="D150" s="10">
        <f t="shared" si="16"/>
        <v>85880.550000000745</v>
      </c>
      <c r="E150" s="10">
        <f>ROUND(C150*'Allocation Factors'!$G$22,0)</f>
        <v>5639467</v>
      </c>
      <c r="F150" s="10">
        <f>'Sch 5'!C150</f>
        <v>0</v>
      </c>
      <c r="G150" s="10">
        <f t="shared" si="17"/>
        <v>5639467</v>
      </c>
      <c r="H150" s="10"/>
      <c r="I150" s="15" t="s">
        <v>352</v>
      </c>
      <c r="J150" s="38"/>
    </row>
    <row r="151" spans="1:10" ht="14.1" customHeight="1">
      <c r="A151" s="379">
        <f t="shared" si="15"/>
        <v>145</v>
      </c>
      <c r="B151" s="88" t="s">
        <v>128</v>
      </c>
      <c r="C151" s="10">
        <v>261453.41999999998</v>
      </c>
      <c r="D151" s="10">
        <f t="shared" si="16"/>
        <v>3921.4199999999837</v>
      </c>
      <c r="E151" s="10">
        <f>ROUND(C151*'Allocation Factors'!$G$22,0)</f>
        <v>257532</v>
      </c>
      <c r="F151" s="10">
        <f>'Sch 5'!C151</f>
        <v>0</v>
      </c>
      <c r="G151" s="10">
        <f t="shared" si="17"/>
        <v>257532</v>
      </c>
      <c r="H151" s="10"/>
      <c r="I151" s="15" t="s">
        <v>352</v>
      </c>
      <c r="J151" s="38"/>
    </row>
    <row r="152" spans="1:10" ht="14.1" customHeight="1">
      <c r="A152" s="379">
        <f t="shared" si="15"/>
        <v>146</v>
      </c>
      <c r="B152" s="88" t="s">
        <v>129</v>
      </c>
      <c r="C152" s="10">
        <v>5931.29</v>
      </c>
      <c r="D152" s="10">
        <f t="shared" si="16"/>
        <v>89.289999999999964</v>
      </c>
      <c r="E152" s="10">
        <f>ROUND(C152*'Allocation Factors'!$G$22,0)</f>
        <v>5842</v>
      </c>
      <c r="F152" s="10">
        <f>'Sch 5'!C152</f>
        <v>0</v>
      </c>
      <c r="G152" s="10">
        <f t="shared" si="17"/>
        <v>5842</v>
      </c>
      <c r="H152" s="10"/>
      <c r="I152" s="15" t="s">
        <v>352</v>
      </c>
      <c r="J152" s="38"/>
    </row>
    <row r="153" spans="1:10" ht="14.1" customHeight="1">
      <c r="A153" s="379">
        <f t="shared" si="15"/>
        <v>147</v>
      </c>
      <c r="B153" s="88" t="s">
        <v>130</v>
      </c>
      <c r="C153" s="346">
        <v>15937334.35</v>
      </c>
      <c r="D153" s="10">
        <f>C153-E153</f>
        <v>239060.34999999963</v>
      </c>
      <c r="E153" s="10">
        <f>ROUND(C153*'Allocation Factors'!$G$22,0)</f>
        <v>15698274</v>
      </c>
      <c r="F153" s="10">
        <f>'Sch 5'!C153</f>
        <v>0</v>
      </c>
      <c r="G153" s="10">
        <f>E153+F153</f>
        <v>15698274</v>
      </c>
      <c r="H153" s="10"/>
      <c r="I153" s="15" t="s">
        <v>352</v>
      </c>
      <c r="J153" s="38"/>
    </row>
    <row r="154" spans="1:10" ht="14.1" customHeight="1">
      <c r="A154" s="379">
        <f t="shared" si="15"/>
        <v>148</v>
      </c>
      <c r="B154" s="88" t="s">
        <v>131</v>
      </c>
      <c r="C154" s="10">
        <v>1804863.61</v>
      </c>
      <c r="D154" s="10">
        <f t="shared" si="16"/>
        <v>27072.610000000102</v>
      </c>
      <c r="E154" s="10">
        <f>ROUND(C154*'Allocation Factors'!$G$22,0)</f>
        <v>1777791</v>
      </c>
      <c r="F154" s="10">
        <f>'Sch 5'!C154</f>
        <v>0</v>
      </c>
      <c r="G154" s="10">
        <f t="shared" si="17"/>
        <v>1777791</v>
      </c>
      <c r="H154" s="10"/>
      <c r="I154" s="15" t="s">
        <v>352</v>
      </c>
      <c r="J154" s="38"/>
    </row>
    <row r="155" spans="1:10" ht="14.1" customHeight="1">
      <c r="A155" s="379">
        <f t="shared" si="15"/>
        <v>149</v>
      </c>
      <c r="B155" s="88" t="s">
        <v>132</v>
      </c>
      <c r="C155" s="10">
        <v>0</v>
      </c>
      <c r="D155" s="10">
        <f t="shared" si="16"/>
        <v>0</v>
      </c>
      <c r="E155" s="10">
        <f>ROUND(C155*'Allocation Factors'!$G$22,0)</f>
        <v>0</v>
      </c>
      <c r="F155" s="10">
        <f>'Sch 5'!C155</f>
        <v>0</v>
      </c>
      <c r="G155" s="10">
        <f t="shared" si="17"/>
        <v>0</v>
      </c>
      <c r="H155" s="10"/>
      <c r="I155" s="15" t="s">
        <v>352</v>
      </c>
      <c r="J155" s="38"/>
    </row>
    <row r="156" spans="1:10" ht="14.1" customHeight="1">
      <c r="A156" s="379">
        <f t="shared" si="15"/>
        <v>150</v>
      </c>
      <c r="B156" s="56" t="s">
        <v>133</v>
      </c>
      <c r="C156" s="10">
        <v>81054.350000000006</v>
      </c>
      <c r="D156" s="10">
        <f t="shared" si="16"/>
        <v>81054.350000000006</v>
      </c>
      <c r="E156" s="10">
        <v>0</v>
      </c>
      <c r="F156" s="10">
        <f>'Sch 5'!C156</f>
        <v>0</v>
      </c>
      <c r="G156" s="10">
        <f t="shared" si="17"/>
        <v>0</v>
      </c>
      <c r="H156" s="10"/>
      <c r="I156" s="15"/>
      <c r="J156" s="38"/>
    </row>
    <row r="157" spans="1:10" ht="14.1" customHeight="1">
      <c r="A157" s="379">
        <f t="shared" si="15"/>
        <v>151</v>
      </c>
      <c r="B157" s="90" t="s">
        <v>482</v>
      </c>
      <c r="C157" s="85">
        <f>SUM(C145:C156)</f>
        <v>51831549.480000004</v>
      </c>
      <c r="D157" s="85">
        <f>SUM(D145:D156)</f>
        <v>857312.4799999994</v>
      </c>
      <c r="E157" s="85">
        <f>SUM(E145:E156)</f>
        <v>50974237</v>
      </c>
      <c r="F157" s="85">
        <f>SUM(F145:F156)</f>
        <v>0</v>
      </c>
      <c r="G157" s="85">
        <f>SUM(G145:G156)</f>
        <v>50974237</v>
      </c>
      <c r="H157" s="85"/>
      <c r="I157" s="147"/>
      <c r="J157" s="38"/>
    </row>
    <row r="158" spans="1:10" ht="14.1" customHeight="1">
      <c r="A158" s="379">
        <f t="shared" si="15"/>
        <v>152</v>
      </c>
      <c r="B158" s="90"/>
      <c r="C158" s="16"/>
      <c r="D158" s="16"/>
      <c r="E158" s="16"/>
      <c r="F158" s="16"/>
      <c r="G158" s="16"/>
      <c r="H158" s="16"/>
      <c r="I158" s="17"/>
      <c r="J158" s="38"/>
    </row>
    <row r="159" spans="1:10" ht="14.1" customHeight="1">
      <c r="A159" s="379">
        <f t="shared" si="15"/>
        <v>153</v>
      </c>
      <c r="B159" s="90" t="s">
        <v>147</v>
      </c>
      <c r="C159" s="10"/>
      <c r="D159" s="19"/>
      <c r="E159" s="16"/>
      <c r="F159" s="16"/>
      <c r="G159" s="19"/>
      <c r="H159" s="19"/>
      <c r="I159" s="25"/>
      <c r="J159" s="38"/>
    </row>
    <row r="160" spans="1:10" ht="14.1" customHeight="1">
      <c r="A160" s="379">
        <f t="shared" si="15"/>
        <v>154</v>
      </c>
      <c r="B160" s="25" t="s">
        <v>148</v>
      </c>
      <c r="C160" s="10">
        <v>7952945.7599999998</v>
      </c>
      <c r="D160" s="16">
        <f>C160-E160</f>
        <v>119293.75999999978</v>
      </c>
      <c r="E160" s="10">
        <f>ROUND(C160*'Allocation Factors'!$G$22,0)</f>
        <v>7833652</v>
      </c>
      <c r="F160" s="10">
        <f>'Sch 5'!C160</f>
        <v>0</v>
      </c>
      <c r="G160" s="10">
        <f>E160+F160</f>
        <v>7833652</v>
      </c>
      <c r="H160" s="10"/>
      <c r="I160" s="15" t="s">
        <v>352</v>
      </c>
      <c r="J160" s="38"/>
    </row>
    <row r="161" spans="1:10" ht="14.1" customHeight="1">
      <c r="A161" s="379">
        <f t="shared" si="15"/>
        <v>155</v>
      </c>
      <c r="B161" s="25" t="s">
        <v>149</v>
      </c>
      <c r="C161" s="10">
        <v>22080239.009999998</v>
      </c>
      <c r="D161" s="16">
        <f>C161-E161</f>
        <v>331204.00999999791</v>
      </c>
      <c r="E161" s="10">
        <f>ROUND(C161*'Allocation Factors'!$G$10,0)</f>
        <v>21749035</v>
      </c>
      <c r="F161" s="10">
        <f>'Sch 5'!C161</f>
        <v>0</v>
      </c>
      <c r="G161" s="10">
        <f>E161+F161</f>
        <v>21749035</v>
      </c>
      <c r="H161" s="10"/>
      <c r="I161" s="15" t="s">
        <v>341</v>
      </c>
      <c r="J161" s="38"/>
    </row>
    <row r="162" spans="1:10" ht="14.1" customHeight="1">
      <c r="A162" s="379">
        <f t="shared" si="15"/>
        <v>156</v>
      </c>
      <c r="B162" s="25" t="s">
        <v>137</v>
      </c>
      <c r="C162" s="10">
        <v>49188868.910000004</v>
      </c>
      <c r="D162" s="16">
        <f>C162-E162</f>
        <v>737832.91000000387</v>
      </c>
      <c r="E162" s="16">
        <f>ROUND(C162*'Allocation Factors'!$G$12,0)</f>
        <v>48451036</v>
      </c>
      <c r="F162" s="10">
        <f>'Sch 5'!C162</f>
        <v>0</v>
      </c>
      <c r="G162" s="10">
        <f>E162+F162</f>
        <v>48451036</v>
      </c>
      <c r="H162" s="10"/>
      <c r="I162" s="15" t="s">
        <v>343</v>
      </c>
      <c r="J162" s="38"/>
    </row>
    <row r="163" spans="1:10" ht="14.1" customHeight="1">
      <c r="A163" s="379">
        <f t="shared" si="15"/>
        <v>157</v>
      </c>
      <c r="B163" s="25" t="s">
        <v>150</v>
      </c>
      <c r="C163" s="10">
        <v>44569477.960000008</v>
      </c>
      <c r="D163" s="16">
        <f>C163-E163</f>
        <v>0</v>
      </c>
      <c r="E163" s="10">
        <f>C163</f>
        <v>44569477.960000008</v>
      </c>
      <c r="F163" s="10">
        <f>'Sch 5'!C163</f>
        <v>0</v>
      </c>
      <c r="G163" s="10">
        <f>E163+F163</f>
        <v>44569477.960000008</v>
      </c>
      <c r="H163" s="10"/>
      <c r="I163" s="25" t="s">
        <v>54</v>
      </c>
      <c r="J163" s="38"/>
    </row>
    <row r="164" spans="1:10" ht="14.1" customHeight="1">
      <c r="A164" s="379">
        <f t="shared" si="15"/>
        <v>158</v>
      </c>
      <c r="B164" s="52" t="s">
        <v>151</v>
      </c>
      <c r="C164" s="10">
        <v>3661375.4899999998</v>
      </c>
      <c r="D164" s="16">
        <f>C164-E164</f>
        <v>54920.489999999758</v>
      </c>
      <c r="E164" s="43">
        <f>ROUND(C164*'Allocation Factors'!$G$22,0)</f>
        <v>3606455</v>
      </c>
      <c r="F164" s="10">
        <f>'Sch 5'!C164</f>
        <v>0</v>
      </c>
      <c r="G164" s="10">
        <f>E164+F164</f>
        <v>3606455</v>
      </c>
      <c r="H164" s="10"/>
      <c r="I164" s="15" t="s">
        <v>352</v>
      </c>
      <c r="J164" s="38"/>
    </row>
    <row r="165" spans="1:10" ht="14.1" customHeight="1">
      <c r="A165" s="379">
        <f t="shared" si="15"/>
        <v>159</v>
      </c>
      <c r="B165" s="90" t="s">
        <v>493</v>
      </c>
      <c r="C165" s="85">
        <f>SUM(C160:C164)</f>
        <v>127452907.13000001</v>
      </c>
      <c r="D165" s="85">
        <f>SUM(D160:D164)</f>
        <v>1243251.1700000013</v>
      </c>
      <c r="E165" s="85">
        <f>SUM(E160:E164)</f>
        <v>126209655.96000001</v>
      </c>
      <c r="F165" s="85">
        <f>SUM(F160:F164)</f>
        <v>0</v>
      </c>
      <c r="G165" s="85">
        <f>SUM(G160:G164)</f>
        <v>126209655.96000001</v>
      </c>
      <c r="H165" s="85"/>
      <c r="I165" s="149"/>
      <c r="J165" s="38"/>
    </row>
    <row r="166" spans="1:10" ht="14.1" customHeight="1">
      <c r="A166" s="379">
        <f t="shared" si="15"/>
        <v>160</v>
      </c>
      <c r="B166" s="90"/>
      <c r="C166" s="16"/>
      <c r="D166" s="16"/>
      <c r="E166" s="16"/>
      <c r="F166" s="16"/>
      <c r="G166" s="16"/>
      <c r="H166" s="16"/>
      <c r="I166" s="17"/>
      <c r="J166" s="38"/>
    </row>
    <row r="167" spans="1:10" ht="14.1" customHeight="1">
      <c r="A167" s="379">
        <f t="shared" si="15"/>
        <v>161</v>
      </c>
      <c r="B167" s="25" t="s">
        <v>332</v>
      </c>
      <c r="C167" s="16">
        <v>5124115.4400000004</v>
      </c>
      <c r="D167" s="16">
        <f>C167-E167</f>
        <v>5124115.4400000004</v>
      </c>
      <c r="E167" s="16">
        <v>0</v>
      </c>
      <c r="F167" s="10">
        <v>0</v>
      </c>
      <c r="G167" s="10">
        <f>E167+F167</f>
        <v>0</v>
      </c>
      <c r="H167" s="16"/>
      <c r="I167" s="15"/>
      <c r="J167" s="38"/>
    </row>
    <row r="168" spans="1:10" ht="14.1" customHeight="1">
      <c r="A168" s="379">
        <f t="shared" si="15"/>
        <v>162</v>
      </c>
      <c r="B168" s="52" t="s">
        <v>999</v>
      </c>
      <c r="C168" s="151">
        <f>366065.54+12489107.57+611516.44-2255261.54</f>
        <v>11211428.009999998</v>
      </c>
      <c r="D168" s="16">
        <f>C168-E168</f>
        <v>11211428.009999998</v>
      </c>
      <c r="E168" s="10">
        <v>0</v>
      </c>
      <c r="F168" s="10">
        <v>0</v>
      </c>
      <c r="G168" s="10">
        <f>E168+F168</f>
        <v>0</v>
      </c>
      <c r="H168" s="151"/>
      <c r="I168" s="15"/>
      <c r="J168" s="38"/>
    </row>
    <row r="169" spans="1:10" ht="14.1" customHeight="1">
      <c r="A169" s="379">
        <f t="shared" si="15"/>
        <v>163</v>
      </c>
      <c r="B169" s="90" t="s">
        <v>483</v>
      </c>
      <c r="C169" s="85">
        <f>SUM(C167:C168)</f>
        <v>16335543.449999999</v>
      </c>
      <c r="D169" s="85">
        <f>SUM(D167:D168)</f>
        <v>16335543.449999999</v>
      </c>
      <c r="E169" s="85">
        <f>SUM(E167:E168)</f>
        <v>0</v>
      </c>
      <c r="F169" s="85">
        <f>SUM(F167:F168)</f>
        <v>0</v>
      </c>
      <c r="G169" s="85">
        <f>SUM(G167:G168)</f>
        <v>0</v>
      </c>
      <c r="H169" s="85"/>
      <c r="I169" s="147"/>
      <c r="J169" s="38"/>
    </row>
    <row r="170" spans="1:10" ht="14.1" customHeight="1">
      <c r="A170" s="379">
        <f t="shared" si="15"/>
        <v>164</v>
      </c>
      <c r="B170" s="60"/>
      <c r="C170" s="151"/>
      <c r="D170" s="151"/>
      <c r="E170" s="151"/>
      <c r="F170" s="151"/>
      <c r="G170" s="151"/>
      <c r="H170" s="151"/>
      <c r="I170" s="152"/>
      <c r="J170" s="38"/>
    </row>
    <row r="171" spans="1:10" ht="14.1" customHeight="1" thickBot="1">
      <c r="A171" s="379">
        <f t="shared" si="15"/>
        <v>165</v>
      </c>
      <c r="B171" s="54" t="s">
        <v>134</v>
      </c>
      <c r="C171" s="153">
        <f>+C169+C165+C157+C142+C124+C110+C62+C106</f>
        <v>2920630955.5299997</v>
      </c>
      <c r="D171" s="153">
        <f>+D169+D165+D157+D142+D124+D110+D62+D106</f>
        <v>60158227.859999917</v>
      </c>
      <c r="E171" s="153">
        <f>+E169+E165+E157+E142+E124+E110+E62+E106</f>
        <v>2860472727.6700001</v>
      </c>
      <c r="F171" s="153">
        <f>+F169+F165+F157+F142+F124+F110+F62+F106</f>
        <v>-323850066</v>
      </c>
      <c r="G171" s="153">
        <f>+G169+G165+G157+G142+G124+G110+G62+G106</f>
        <v>2536622661.6700001</v>
      </c>
      <c r="H171" s="92"/>
      <c r="I171" s="154"/>
      <c r="J171" s="38"/>
    </row>
    <row r="172" spans="1:10" ht="14.1" customHeight="1" thickTop="1">
      <c r="A172" s="379">
        <f t="shared" si="15"/>
        <v>166</v>
      </c>
      <c r="C172" s="10"/>
      <c r="D172" s="10"/>
      <c r="E172" s="11"/>
      <c r="F172" s="10"/>
      <c r="G172" s="10"/>
      <c r="H172" s="10"/>
      <c r="I172" s="15"/>
      <c r="J172" s="38"/>
    </row>
    <row r="173" spans="1:10" ht="14.1" customHeight="1">
      <c r="A173" s="379">
        <f t="shared" si="15"/>
        <v>167</v>
      </c>
      <c r="B173" s="90" t="s">
        <v>806</v>
      </c>
      <c r="C173" s="10">
        <f>C124+C162</f>
        <v>655225905.39999998</v>
      </c>
      <c r="D173" s="10">
        <f>D124+D162</f>
        <v>9828388.4000000022</v>
      </c>
      <c r="E173" s="10">
        <f>E124+E162</f>
        <v>645397517</v>
      </c>
      <c r="F173" s="10">
        <f>F124+F162</f>
        <v>0</v>
      </c>
      <c r="G173" s="10">
        <f>G124+G162</f>
        <v>645397517</v>
      </c>
      <c r="H173" s="98">
        <f>ROUND(E173/C173,3)</f>
        <v>0.98499999999999999</v>
      </c>
      <c r="I173" s="15"/>
      <c r="J173" s="38"/>
    </row>
    <row r="174" spans="1:10" ht="14.1" customHeight="1">
      <c r="A174" s="379">
        <f t="shared" si="15"/>
        <v>168</v>
      </c>
      <c r="C174" s="10"/>
      <c r="D174" s="10"/>
      <c r="E174" s="11"/>
      <c r="F174" s="10"/>
      <c r="G174" s="10"/>
      <c r="H174" s="98"/>
      <c r="I174" s="15"/>
      <c r="J174" s="38"/>
    </row>
    <row r="175" spans="1:10" ht="14.1" customHeight="1">
      <c r="A175" s="379">
        <f t="shared" si="15"/>
        <v>169</v>
      </c>
      <c r="B175" s="90" t="s">
        <v>807</v>
      </c>
      <c r="C175" s="10">
        <f>C142+C163</f>
        <v>918740318.35000014</v>
      </c>
      <c r="D175" s="10">
        <f>D142+D163</f>
        <v>954275.68</v>
      </c>
      <c r="E175" s="10">
        <f>E142+E163</f>
        <v>917786042.67000008</v>
      </c>
      <c r="F175" s="10">
        <f>F142+F163</f>
        <v>0</v>
      </c>
      <c r="G175" s="10">
        <f>G142+G163</f>
        <v>917786042.67000008</v>
      </c>
      <c r="H175" s="98">
        <f>ROUND(E175/C175,3)</f>
        <v>0.999</v>
      </c>
      <c r="I175" s="15"/>
      <c r="J175" s="38"/>
    </row>
    <row r="176" spans="1:10" ht="14.1" customHeight="1">
      <c r="A176" s="379">
        <f t="shared" si="15"/>
        <v>170</v>
      </c>
      <c r="C176" s="10"/>
      <c r="D176" s="10"/>
      <c r="E176" s="11"/>
      <c r="F176" s="10"/>
      <c r="G176" s="10"/>
      <c r="H176" s="98"/>
      <c r="I176" s="15"/>
      <c r="J176" s="38"/>
    </row>
    <row r="177" spans="1:11" ht="14.1" customHeight="1">
      <c r="A177" s="379">
        <f t="shared" si="15"/>
        <v>171</v>
      </c>
      <c r="B177" s="90" t="s">
        <v>808</v>
      </c>
      <c r="C177" s="10">
        <f>C124+C142+C162+C163</f>
        <v>1573966223.7500002</v>
      </c>
      <c r="D177" s="10">
        <f>D124+D142+D162+D163</f>
        <v>10782664.080000002</v>
      </c>
      <c r="E177" s="10">
        <f>E124+E142+E162+E163</f>
        <v>1563183559.6700001</v>
      </c>
      <c r="F177" s="10">
        <f>F124+F142+F162+F163</f>
        <v>0</v>
      </c>
      <c r="G177" s="10">
        <f>G124+G142+G162+G163</f>
        <v>1563183559.6700001</v>
      </c>
      <c r="H177" s="98">
        <f>ROUND(E177/C177,3)</f>
        <v>0.99299999999999999</v>
      </c>
      <c r="I177" s="15"/>
      <c r="J177" s="38"/>
    </row>
    <row r="178" spans="1:11" ht="14.1" customHeight="1">
      <c r="A178" s="379">
        <f t="shared" si="15"/>
        <v>172</v>
      </c>
      <c r="C178" s="10"/>
      <c r="D178" s="10"/>
      <c r="E178" s="11"/>
      <c r="F178" s="10"/>
      <c r="G178" s="10"/>
      <c r="H178" s="98"/>
      <c r="I178" s="15"/>
      <c r="J178" s="38"/>
    </row>
    <row r="179" spans="1:11" ht="14.1" customHeight="1">
      <c r="A179" s="379">
        <f t="shared" si="15"/>
        <v>173</v>
      </c>
      <c r="B179" s="90" t="s">
        <v>786</v>
      </c>
      <c r="C179" s="16">
        <f>C62+C110+C124+C142+C157+C165+C106</f>
        <v>2904295412.0799999</v>
      </c>
      <c r="D179" s="16">
        <f>D62+D110+D124+D142+D157+D165+D106</f>
        <v>43822684.409999914</v>
      </c>
      <c r="E179" s="16">
        <f>E62+E110+E124+E142+E157+E165+E106</f>
        <v>2860472727.6700001</v>
      </c>
      <c r="F179" s="16">
        <f>F62+F110+F124+F142+F157+F165+F106</f>
        <v>-323850066</v>
      </c>
      <c r="G179" s="16">
        <f>G62+G110+G124+G142+G157+G165+G106</f>
        <v>2536622661.6700001</v>
      </c>
      <c r="H179" s="98">
        <f>ROUND(E179/C179,3)</f>
        <v>0.98499999999999999</v>
      </c>
      <c r="I179" s="155"/>
      <c r="J179" s="38"/>
    </row>
    <row r="180" spans="1:11" ht="14.1" customHeight="1">
      <c r="A180" s="379">
        <f t="shared" si="15"/>
        <v>174</v>
      </c>
      <c r="B180" s="90"/>
      <c r="C180" s="16"/>
      <c r="D180" s="16"/>
      <c r="E180" s="16"/>
      <c r="F180" s="16"/>
      <c r="G180" s="16"/>
      <c r="H180" s="99"/>
      <c r="I180" s="155"/>
      <c r="J180" s="38"/>
    </row>
    <row r="181" spans="1:11" ht="14.1" customHeight="1">
      <c r="A181" s="379">
        <f t="shared" si="15"/>
        <v>175</v>
      </c>
      <c r="B181" s="90" t="s">
        <v>805</v>
      </c>
      <c r="C181" s="16">
        <f>C106+C124+C142+C161+C162+C163+C110</f>
        <v>2800926447.48</v>
      </c>
      <c r="D181" s="16">
        <f>D106+D124+D142+D161+D162+D163+D110</f>
        <v>42192310.809999928</v>
      </c>
      <c r="E181" s="16">
        <f>E106+E124+E142+E161+E162+E163+E110</f>
        <v>2758734136.6700001</v>
      </c>
      <c r="F181" s="16">
        <f>F106+F124+F142+F161+F162+F163+F110</f>
        <v>-323850066</v>
      </c>
      <c r="G181" s="16">
        <f>G106+G124+G142+G161+G162+G163+G110</f>
        <v>2434884070.6700001</v>
      </c>
      <c r="H181" s="98">
        <f>ROUND(E181/C181,3)</f>
        <v>0.98499999999999999</v>
      </c>
      <c r="I181" s="155"/>
      <c r="J181" s="38"/>
    </row>
    <row r="182" spans="1:11" ht="14.1" customHeight="1">
      <c r="A182" s="379">
        <f t="shared" si="15"/>
        <v>176</v>
      </c>
      <c r="C182" s="10"/>
      <c r="D182" s="10"/>
      <c r="E182" s="11"/>
      <c r="F182" s="10"/>
      <c r="G182" s="10"/>
      <c r="H182" s="10"/>
      <c r="I182" s="15"/>
      <c r="J182" s="38"/>
    </row>
    <row r="183" spans="1:11" ht="14.1" customHeight="1">
      <c r="A183" s="379">
        <f>+A172+1</f>
        <v>167</v>
      </c>
      <c r="B183" s="3" t="s">
        <v>135</v>
      </c>
      <c r="C183" s="10"/>
      <c r="D183" s="19"/>
      <c r="E183" s="10"/>
      <c r="F183" s="10"/>
      <c r="G183" s="10"/>
      <c r="H183" s="10"/>
      <c r="I183" s="15"/>
      <c r="J183" s="38"/>
    </row>
    <row r="184" spans="1:11" ht="14.1" customHeight="1">
      <c r="A184" s="379">
        <f t="shared" ref="A184:A246" si="18">+A183+1</f>
        <v>168</v>
      </c>
      <c r="B184" s="88" t="s">
        <v>136</v>
      </c>
      <c r="C184" s="10">
        <f>506438494-583252</f>
        <v>505855242</v>
      </c>
      <c r="D184" s="10">
        <f>C184-E184</f>
        <v>12832569</v>
      </c>
      <c r="E184" s="10">
        <f>ROUND((C184+J184)*'Allocation Factors'!$G$10,0)</f>
        <v>493022673</v>
      </c>
      <c r="F184" s="10">
        <f>'Sch 5'!C174</f>
        <v>-121568119</v>
      </c>
      <c r="G184" s="10">
        <f>E184+F184</f>
        <v>371454554</v>
      </c>
      <c r="H184" s="10"/>
      <c r="I184" s="15" t="s">
        <v>341</v>
      </c>
      <c r="J184" s="38">
        <v>-5324610</v>
      </c>
      <c r="K184" s="88" t="s">
        <v>844</v>
      </c>
    </row>
    <row r="185" spans="1:11" ht="14.1" customHeight="1">
      <c r="A185" s="379">
        <f t="shared" si="18"/>
        <v>169</v>
      </c>
      <c r="B185" s="22" t="s">
        <v>145</v>
      </c>
      <c r="C185" s="10">
        <f>231543650-2734648</f>
        <v>228809002</v>
      </c>
      <c r="D185" s="10">
        <f>C185-E185</f>
        <v>2269427</v>
      </c>
      <c r="E185" s="10">
        <f>ROUND((C185+J185)*'Allocation Factors'!$G$16,0)</f>
        <v>226539575</v>
      </c>
      <c r="F185" s="10">
        <f>'Sch 5'!C175</f>
        <v>0</v>
      </c>
      <c r="G185" s="10">
        <f>E185+F185</f>
        <v>226539575</v>
      </c>
      <c r="H185" s="10"/>
      <c r="I185" s="15" t="s">
        <v>346</v>
      </c>
      <c r="J185" s="38">
        <v>1180414</v>
      </c>
      <c r="K185" s="88" t="s">
        <v>843</v>
      </c>
    </row>
    <row r="186" spans="1:11" ht="14.1" customHeight="1">
      <c r="A186" s="379">
        <f t="shared" si="18"/>
        <v>170</v>
      </c>
      <c r="B186" s="22" t="s">
        <v>138</v>
      </c>
      <c r="C186" s="10">
        <f>274587352-2651933</f>
        <v>271935419</v>
      </c>
      <c r="D186" s="10">
        <f>C186-E186</f>
        <v>271935</v>
      </c>
      <c r="E186" s="10">
        <f>ROUND(C186*'Allocation Factors'!$G$18,0)</f>
        <v>271663484</v>
      </c>
      <c r="F186" s="10">
        <f>'Sch 5'!C176</f>
        <v>0</v>
      </c>
      <c r="G186" s="10">
        <f>E186+F186</f>
        <v>271663484</v>
      </c>
      <c r="H186" s="10"/>
      <c r="I186" s="25" t="s">
        <v>348</v>
      </c>
      <c r="J186" s="38"/>
    </row>
    <row r="187" spans="1:11" ht="13.5" customHeight="1">
      <c r="A187" s="379">
        <f t="shared" si="18"/>
        <v>171</v>
      </c>
      <c r="B187" s="22" t="s">
        <v>139</v>
      </c>
      <c r="C187" s="10">
        <f>19023405-9234</f>
        <v>19014171</v>
      </c>
      <c r="D187" s="10">
        <f>C187-E187</f>
        <v>285213</v>
      </c>
      <c r="E187" s="10">
        <f>ROUND(C187*'Allocation Factors'!$G$22,0)</f>
        <v>18728958</v>
      </c>
      <c r="F187" s="10">
        <f>'Sch 5'!C177</f>
        <v>0</v>
      </c>
      <c r="G187" s="10">
        <f>E187+F187</f>
        <v>18728958</v>
      </c>
      <c r="H187" s="10"/>
      <c r="I187" s="15" t="s">
        <v>352</v>
      </c>
      <c r="J187" s="38"/>
    </row>
    <row r="188" spans="1:11" ht="14.1" customHeight="1">
      <c r="A188" s="379">
        <f t="shared" si="18"/>
        <v>172</v>
      </c>
      <c r="B188" s="90" t="s">
        <v>484</v>
      </c>
      <c r="C188" s="85">
        <f>SUM(C184:C187)</f>
        <v>1025613834</v>
      </c>
      <c r="D188" s="85">
        <f>SUM(D184:D187)</f>
        <v>15659144</v>
      </c>
      <c r="E188" s="85">
        <f>SUM(E184:E187)</f>
        <v>1009954690</v>
      </c>
      <c r="F188" s="85">
        <f>SUM(F184:F187)</f>
        <v>-121568119</v>
      </c>
      <c r="G188" s="85">
        <f>SUM(G184:G187)</f>
        <v>888386571</v>
      </c>
      <c r="H188" s="47"/>
      <c r="I188" s="147"/>
      <c r="J188" s="38"/>
    </row>
    <row r="189" spans="1:11" ht="14.1" customHeight="1">
      <c r="A189" s="379">
        <f t="shared" si="18"/>
        <v>173</v>
      </c>
      <c r="B189" s="25"/>
      <c r="C189" s="16"/>
      <c r="D189" s="16"/>
      <c r="E189" s="130"/>
      <c r="F189" s="16"/>
      <c r="G189" s="43"/>
      <c r="H189" s="43"/>
      <c r="I189" s="156"/>
      <c r="J189" s="38"/>
    </row>
    <row r="190" spans="1:11" ht="14.1" customHeight="1">
      <c r="A190" s="379">
        <f t="shared" si="18"/>
        <v>174</v>
      </c>
      <c r="B190" s="90" t="s">
        <v>140</v>
      </c>
      <c r="C190" s="16"/>
      <c r="D190" s="16"/>
      <c r="E190" s="16"/>
      <c r="F190" s="16"/>
      <c r="G190" s="10"/>
      <c r="H190" s="10"/>
      <c r="I190" s="15"/>
      <c r="J190" s="38"/>
    </row>
    <row r="191" spans="1:11" ht="14.1" customHeight="1">
      <c r="A191" s="379">
        <f t="shared" si="18"/>
        <v>175</v>
      </c>
      <c r="B191" s="22" t="s">
        <v>143</v>
      </c>
      <c r="C191" s="10">
        <v>19965662</v>
      </c>
      <c r="D191" s="43">
        <f>C191-E191</f>
        <v>299485</v>
      </c>
      <c r="E191" s="10">
        <f>ROUND(C191*'Allocation Factors'!$G$10,0)</f>
        <v>19666177</v>
      </c>
      <c r="F191" s="10">
        <f>'Sch 5'!C181</f>
        <v>0</v>
      </c>
      <c r="G191" s="10">
        <f>E191+F191</f>
        <v>19666177</v>
      </c>
      <c r="H191" s="10"/>
      <c r="I191" s="15" t="s">
        <v>352</v>
      </c>
    </row>
    <row r="192" spans="1:11" ht="14.1" customHeight="1">
      <c r="A192" s="379">
        <f t="shared" si="18"/>
        <v>176</v>
      </c>
      <c r="B192" s="22" t="s">
        <v>136</v>
      </c>
      <c r="C192" s="10">
        <v>0</v>
      </c>
      <c r="D192" s="43">
        <f>C192-E192</f>
        <v>0</v>
      </c>
      <c r="E192" s="10">
        <f>ROUND((C192+J192)*'Allocation Factors'!$G$10,0)</f>
        <v>0</v>
      </c>
      <c r="F192" s="10">
        <f>'Sch 5'!C182</f>
        <v>0</v>
      </c>
      <c r="G192" s="10">
        <f>E192+F192</f>
        <v>0</v>
      </c>
      <c r="H192" s="10"/>
      <c r="I192" s="15" t="s">
        <v>341</v>
      </c>
      <c r="J192" s="38"/>
    </row>
    <row r="193" spans="1:11" ht="14.1" customHeight="1">
      <c r="A193" s="379">
        <f t="shared" si="18"/>
        <v>177</v>
      </c>
      <c r="B193" s="22" t="s">
        <v>137</v>
      </c>
      <c r="C193" s="43">
        <v>0</v>
      </c>
      <c r="D193" s="43">
        <f>C193-E193</f>
        <v>0</v>
      </c>
      <c r="E193" s="43">
        <v>0</v>
      </c>
      <c r="F193" s="10">
        <f>'Sch 5'!C183</f>
        <v>0</v>
      </c>
      <c r="G193" s="43">
        <v>0</v>
      </c>
      <c r="H193" s="43"/>
      <c r="I193" s="15"/>
      <c r="J193" s="38"/>
    </row>
    <row r="194" spans="1:11" ht="14.1" customHeight="1">
      <c r="A194" s="379">
        <f t="shared" si="18"/>
        <v>178</v>
      </c>
      <c r="B194" s="22" t="s">
        <v>138</v>
      </c>
      <c r="C194" s="43">
        <v>0</v>
      </c>
      <c r="D194" s="43">
        <f>C194-E194</f>
        <v>0</v>
      </c>
      <c r="E194" s="43">
        <v>0</v>
      </c>
      <c r="F194" s="10">
        <f>'Sch 5'!C184</f>
        <v>0</v>
      </c>
      <c r="G194" s="43">
        <v>0</v>
      </c>
      <c r="H194" s="43"/>
      <c r="I194" s="15"/>
      <c r="J194" s="38"/>
    </row>
    <row r="195" spans="1:11" s="18" customFormat="1" ht="14.1" customHeight="1">
      <c r="A195" s="379">
        <f t="shared" si="18"/>
        <v>179</v>
      </c>
      <c r="B195" s="56" t="s">
        <v>139</v>
      </c>
      <c r="C195" s="64">
        <v>6155</v>
      </c>
      <c r="D195" s="64">
        <f>C195-E195</f>
        <v>92</v>
      </c>
      <c r="E195" s="64">
        <f>ROUND(C195*'Allocation Factors'!$G$22,0)</f>
        <v>6063</v>
      </c>
      <c r="F195" s="64">
        <f>'Sch 5'!C185</f>
        <v>0</v>
      </c>
      <c r="G195" s="64">
        <f>E195+F195</f>
        <v>6063</v>
      </c>
      <c r="H195" s="64"/>
      <c r="I195" s="135" t="s">
        <v>352</v>
      </c>
      <c r="J195" s="38"/>
    </row>
    <row r="196" spans="1:11" ht="14.1" customHeight="1">
      <c r="A196" s="379">
        <f t="shared" si="18"/>
        <v>180</v>
      </c>
      <c r="B196" s="90" t="s">
        <v>488</v>
      </c>
      <c r="C196" s="16">
        <f>SUM(C191:C195)</f>
        <v>19971817</v>
      </c>
      <c r="D196" s="16">
        <f>SUM(D191:D195)</f>
        <v>299577</v>
      </c>
      <c r="E196" s="16">
        <f>SUM(E191:E195)</f>
        <v>19672240</v>
      </c>
      <c r="F196" s="16">
        <f>SUM(F191:F195)</f>
        <v>0</v>
      </c>
      <c r="G196" s="16">
        <f>SUM(G191:G195)</f>
        <v>19672240</v>
      </c>
      <c r="H196" s="16"/>
      <c r="I196" s="17"/>
      <c r="J196" s="38"/>
    </row>
    <row r="197" spans="1:11" ht="14.1" customHeight="1">
      <c r="A197" s="379">
        <f t="shared" si="18"/>
        <v>181</v>
      </c>
      <c r="B197" s="25"/>
      <c r="C197" s="16"/>
      <c r="D197" s="16"/>
      <c r="E197" s="130"/>
      <c r="F197" s="16"/>
      <c r="G197" s="43"/>
      <c r="H197" s="43"/>
      <c r="I197" s="15"/>
      <c r="J197" s="38"/>
    </row>
    <row r="198" spans="1:11" ht="14.1" customHeight="1">
      <c r="A198" s="379">
        <f t="shared" si="18"/>
        <v>182</v>
      </c>
      <c r="B198" s="52" t="s">
        <v>998</v>
      </c>
      <c r="C198" s="151">
        <f>1808164.81</f>
        <v>1808164.81</v>
      </c>
      <c r="D198" s="64">
        <f>C198-E198</f>
        <v>1808164.81</v>
      </c>
      <c r="E198" s="64">
        <v>0</v>
      </c>
      <c r="F198" s="64">
        <f>'Sch 5'!C188</f>
        <v>0</v>
      </c>
      <c r="G198" s="64">
        <v>0</v>
      </c>
      <c r="H198" s="64"/>
      <c r="I198" s="135"/>
      <c r="J198" s="38"/>
    </row>
    <row r="199" spans="1:11" ht="14.1" customHeight="1">
      <c r="A199" s="379">
        <f t="shared" si="18"/>
        <v>183</v>
      </c>
      <c r="B199" s="90" t="s">
        <v>491</v>
      </c>
      <c r="C199" s="16">
        <f>SUM(C198:C198)</f>
        <v>1808164.81</v>
      </c>
      <c r="D199" s="16">
        <f>SUM(D198:D198)</f>
        <v>1808164.81</v>
      </c>
      <c r="E199" s="16">
        <f>SUM(E198:E198)</f>
        <v>0</v>
      </c>
      <c r="F199" s="16">
        <f>SUM(F198:F198)</f>
        <v>0</v>
      </c>
      <c r="G199" s="16">
        <f>SUM(G198:G198)</f>
        <v>0</v>
      </c>
      <c r="H199" s="43"/>
      <c r="I199" s="15"/>
      <c r="J199" s="38"/>
    </row>
    <row r="200" spans="1:11" ht="14.1" customHeight="1">
      <c r="A200" s="379">
        <f t="shared" si="18"/>
        <v>184</v>
      </c>
      <c r="B200" s="52"/>
      <c r="C200" s="151"/>
      <c r="D200" s="151"/>
      <c r="E200" s="58"/>
      <c r="F200" s="151"/>
      <c r="G200" s="64"/>
      <c r="H200" s="64"/>
      <c r="I200" s="135"/>
      <c r="J200" s="38"/>
    </row>
    <row r="201" spans="1:11" ht="14.1" customHeight="1">
      <c r="A201" s="379">
        <f t="shared" si="18"/>
        <v>185</v>
      </c>
      <c r="B201" s="90" t="s">
        <v>521</v>
      </c>
      <c r="C201" s="16">
        <f>C196+C188+C199</f>
        <v>1047393815.8099999</v>
      </c>
      <c r="D201" s="16">
        <f>D196+D188+D199</f>
        <v>17766885.809999999</v>
      </c>
      <c r="E201" s="16">
        <f>E196+E188+E199</f>
        <v>1029626930</v>
      </c>
      <c r="F201" s="16">
        <f>F196+F188</f>
        <v>-121568119</v>
      </c>
      <c r="G201" s="16">
        <f>G196+G188</f>
        <v>908058811</v>
      </c>
      <c r="H201" s="16"/>
      <c r="I201" s="17"/>
      <c r="J201" s="38"/>
      <c r="K201" s="38"/>
    </row>
    <row r="202" spans="1:11" ht="14.1" customHeight="1">
      <c r="A202" s="379">
        <f t="shared" si="18"/>
        <v>186</v>
      </c>
      <c r="B202" s="52"/>
      <c r="C202" s="151"/>
      <c r="D202" s="151"/>
      <c r="E202" s="58"/>
      <c r="F202" s="151"/>
      <c r="G202" s="64"/>
      <c r="H202" s="64"/>
      <c r="I202" s="135"/>
      <c r="J202" s="38"/>
    </row>
    <row r="203" spans="1:11" ht="14.1" customHeight="1" thickBot="1">
      <c r="A203" s="379">
        <f t="shared" si="18"/>
        <v>187</v>
      </c>
      <c r="B203" s="5" t="s">
        <v>141</v>
      </c>
      <c r="C203" s="157">
        <f>+C171-C201</f>
        <v>1873237139.7199998</v>
      </c>
      <c r="D203" s="157">
        <f>+D171-D201</f>
        <v>42391342.049999923</v>
      </c>
      <c r="E203" s="157">
        <f>+E171-E201</f>
        <v>1830845797.6700001</v>
      </c>
      <c r="F203" s="138">
        <f>+F171-F201</f>
        <v>-202281947</v>
      </c>
      <c r="G203" s="138">
        <f>+G171-G201</f>
        <v>1628563850.6700001</v>
      </c>
      <c r="H203" s="138"/>
      <c r="I203" s="158"/>
      <c r="J203" s="38"/>
      <c r="K203" s="241"/>
    </row>
    <row r="204" spans="1:11" ht="14.1" customHeight="1" thickTop="1">
      <c r="A204" s="379">
        <f t="shared" si="18"/>
        <v>188</v>
      </c>
      <c r="B204" s="25"/>
      <c r="C204" s="16"/>
      <c r="D204" s="16"/>
      <c r="E204" s="130"/>
      <c r="F204" s="16"/>
      <c r="G204" s="16"/>
      <c r="H204" s="16"/>
      <c r="I204" s="17"/>
      <c r="J204" s="38"/>
    </row>
    <row r="205" spans="1:11" ht="14.1" customHeight="1">
      <c r="A205" s="379">
        <f t="shared" si="18"/>
        <v>189</v>
      </c>
      <c r="B205" s="13" t="s">
        <v>142</v>
      </c>
      <c r="C205" s="10"/>
      <c r="D205" s="10"/>
      <c r="E205" s="10"/>
      <c r="F205" s="10"/>
      <c r="G205" s="10"/>
      <c r="H205" s="10"/>
      <c r="I205" s="15"/>
      <c r="J205" s="38"/>
    </row>
    <row r="206" spans="1:11" ht="14.1" customHeight="1">
      <c r="A206" s="379">
        <f t="shared" si="18"/>
        <v>190</v>
      </c>
      <c r="B206" s="22" t="s">
        <v>143</v>
      </c>
      <c r="C206" s="10">
        <v>2983881</v>
      </c>
      <c r="D206" s="43">
        <f>C206-E206</f>
        <v>2983881</v>
      </c>
      <c r="E206" s="43">
        <v>0</v>
      </c>
      <c r="F206" s="10"/>
      <c r="G206" s="10"/>
      <c r="H206" s="10"/>
      <c r="I206" s="15"/>
      <c r="J206" s="38"/>
    </row>
    <row r="207" spans="1:11" ht="14.1" customHeight="1">
      <c r="A207" s="379">
        <f t="shared" si="18"/>
        <v>191</v>
      </c>
      <c r="B207" s="56" t="s">
        <v>55</v>
      </c>
      <c r="C207" s="10">
        <v>0</v>
      </c>
      <c r="D207" s="43">
        <f>C207-E207</f>
        <v>0</v>
      </c>
      <c r="E207" s="10">
        <v>0</v>
      </c>
      <c r="F207" s="10"/>
      <c r="G207" s="10"/>
      <c r="H207" s="10"/>
      <c r="I207" s="15"/>
      <c r="J207" s="38"/>
    </row>
    <row r="208" spans="1:11" ht="14.1" customHeight="1">
      <c r="A208" s="379">
        <f t="shared" si="18"/>
        <v>192</v>
      </c>
      <c r="B208" s="13" t="s">
        <v>524</v>
      </c>
      <c r="C208" s="47">
        <f>SUM(C206:C207)</f>
        <v>2983881</v>
      </c>
      <c r="D208" s="47">
        <f>SUM(D206:D207)</f>
        <v>2983881</v>
      </c>
      <c r="E208" s="47">
        <f>SUM(E206:E207)</f>
        <v>0</v>
      </c>
      <c r="F208" s="47">
        <f>SUM(F206:F207)</f>
        <v>0</v>
      </c>
      <c r="G208" s="47">
        <f>SUM(G206:G207)</f>
        <v>0</v>
      </c>
      <c r="H208" s="47"/>
      <c r="I208" s="49"/>
      <c r="J208" s="38"/>
    </row>
    <row r="209" spans="1:10" ht="14.1" customHeight="1">
      <c r="A209" s="379">
        <f t="shared" si="18"/>
        <v>193</v>
      </c>
      <c r="B209" s="22"/>
      <c r="C209" s="43"/>
      <c r="D209" s="43"/>
      <c r="E209" s="43"/>
      <c r="F209" s="43"/>
      <c r="G209" s="43"/>
      <c r="H209" s="43"/>
      <c r="I209" s="15"/>
      <c r="J209" s="38"/>
    </row>
    <row r="210" spans="1:10" ht="14.1" customHeight="1">
      <c r="A210" s="379">
        <f t="shared" si="18"/>
        <v>194</v>
      </c>
      <c r="B210" s="22" t="s">
        <v>136</v>
      </c>
      <c r="C210" s="10">
        <v>5520627</v>
      </c>
      <c r="D210" s="10">
        <f>C210-E210</f>
        <v>82809</v>
      </c>
      <c r="E210" s="10">
        <f>ROUND(C210*'Allocation Factors'!$G$10,0)</f>
        <v>5437818</v>
      </c>
      <c r="F210" s="10">
        <f>'Sch 5'!C200</f>
        <v>0</v>
      </c>
      <c r="G210" s="10">
        <f>E210+F210</f>
        <v>5437818</v>
      </c>
      <c r="H210" s="10"/>
      <c r="I210" s="15" t="s">
        <v>341</v>
      </c>
      <c r="J210" s="38"/>
    </row>
    <row r="211" spans="1:10" ht="14.1" customHeight="1">
      <c r="A211" s="379">
        <f t="shared" si="18"/>
        <v>195</v>
      </c>
      <c r="B211" s="56" t="s">
        <v>144</v>
      </c>
      <c r="C211" s="10">
        <v>79212</v>
      </c>
      <c r="D211" s="10">
        <f>C211-E211</f>
        <v>1188</v>
      </c>
      <c r="E211" s="10">
        <f>ROUND(C211*'Allocation Factors'!$G$10,0)</f>
        <v>78024</v>
      </c>
      <c r="F211" s="10">
        <f>'Sch 5'!C201</f>
        <v>0</v>
      </c>
      <c r="G211" s="10">
        <f>E211+F211</f>
        <v>78024</v>
      </c>
      <c r="H211" s="10"/>
      <c r="I211" s="15" t="s">
        <v>341</v>
      </c>
      <c r="J211" s="38"/>
    </row>
    <row r="212" spans="1:10" ht="14.1" customHeight="1">
      <c r="A212" s="379">
        <f t="shared" si="18"/>
        <v>196</v>
      </c>
      <c r="B212" s="90" t="s">
        <v>490</v>
      </c>
      <c r="C212" s="47">
        <f>SUM(C210:C211)</f>
        <v>5599839</v>
      </c>
      <c r="D212" s="47">
        <f>SUM(D210:D211)</f>
        <v>83997</v>
      </c>
      <c r="E212" s="47">
        <f>SUM(E210:E211)</f>
        <v>5515842</v>
      </c>
      <c r="F212" s="47">
        <f>SUM(F210:F211)</f>
        <v>0</v>
      </c>
      <c r="G212" s="47">
        <f>SUM(G210:G211)</f>
        <v>5515842</v>
      </c>
      <c r="H212" s="47"/>
      <c r="I212" s="159"/>
      <c r="J212" s="38"/>
    </row>
    <row r="213" spans="1:10" ht="14.1" customHeight="1">
      <c r="A213" s="379">
        <f t="shared" si="18"/>
        <v>197</v>
      </c>
      <c r="B213" s="25"/>
      <c r="C213" s="43"/>
      <c r="D213" s="16"/>
      <c r="E213" s="43"/>
      <c r="F213" s="43"/>
      <c r="G213" s="43"/>
      <c r="H213" s="43"/>
      <c r="I213" s="15"/>
      <c r="J213" s="38"/>
    </row>
    <row r="214" spans="1:10" ht="14.1" customHeight="1">
      <c r="A214" s="379">
        <f t="shared" si="18"/>
        <v>198</v>
      </c>
      <c r="B214" s="22" t="s">
        <v>145</v>
      </c>
      <c r="C214" s="10">
        <v>49268471</v>
      </c>
      <c r="D214" s="10">
        <f>C214-E214</f>
        <v>739027</v>
      </c>
      <c r="E214" s="10">
        <f>ROUND(C214*'Allocation Factors'!$G$16,0)</f>
        <v>48529444</v>
      </c>
      <c r="F214" s="10">
        <f>'Sch 5'!C204</f>
        <v>0</v>
      </c>
      <c r="G214" s="10">
        <f>E214+F214</f>
        <v>48529444</v>
      </c>
      <c r="H214" s="10"/>
      <c r="I214" s="15" t="s">
        <v>346</v>
      </c>
      <c r="J214" s="38"/>
    </row>
    <row r="215" spans="1:10" ht="14.1" customHeight="1">
      <c r="A215" s="379">
        <f t="shared" si="18"/>
        <v>199</v>
      </c>
      <c r="B215" s="52" t="s">
        <v>55</v>
      </c>
      <c r="C215" s="10">
        <v>2366299</v>
      </c>
      <c r="D215" s="10">
        <f>C215-E215</f>
        <v>35494</v>
      </c>
      <c r="E215" s="10">
        <f>ROUND(C215*'Allocation Factors'!$G$16,0)</f>
        <v>2330805</v>
      </c>
      <c r="F215" s="10">
        <f>'Sch 5'!C205</f>
        <v>0</v>
      </c>
      <c r="G215" s="10">
        <f>E215+F215</f>
        <v>2330805</v>
      </c>
      <c r="H215" s="10"/>
      <c r="I215" s="15"/>
      <c r="J215" s="38"/>
    </row>
    <row r="216" spans="1:10" ht="14.1" customHeight="1">
      <c r="A216" s="379">
        <f t="shared" si="18"/>
        <v>200</v>
      </c>
      <c r="B216" s="13" t="s">
        <v>485</v>
      </c>
      <c r="C216" s="47">
        <f>SUM(C214:C215)</f>
        <v>51634770</v>
      </c>
      <c r="D216" s="47">
        <f>SUM(D214:D215)</f>
        <v>774521</v>
      </c>
      <c r="E216" s="47">
        <f>SUM(E214:E215)</f>
        <v>50860249</v>
      </c>
      <c r="F216" s="47">
        <f>SUM(F214:F215)</f>
        <v>0</v>
      </c>
      <c r="G216" s="47">
        <f>SUM(G214:G215)</f>
        <v>50860249</v>
      </c>
      <c r="H216" s="47"/>
      <c r="I216" s="159"/>
      <c r="J216" s="38"/>
    </row>
    <row r="217" spans="1:10" ht="14.1" customHeight="1">
      <c r="A217" s="379">
        <f t="shared" si="18"/>
        <v>201</v>
      </c>
      <c r="B217" s="22"/>
      <c r="C217" s="43"/>
      <c r="D217" s="16"/>
      <c r="E217" s="43"/>
      <c r="F217" s="43"/>
      <c r="G217" s="43"/>
      <c r="H217" s="43"/>
      <c r="I217" s="15"/>
      <c r="J217" s="38"/>
    </row>
    <row r="218" spans="1:10" s="18" customFormat="1" ht="14.1" customHeight="1">
      <c r="A218" s="379">
        <f t="shared" si="18"/>
        <v>202</v>
      </c>
      <c r="B218" s="22" t="s">
        <v>138</v>
      </c>
      <c r="C218" s="10">
        <v>19848326</v>
      </c>
      <c r="D218" s="10">
        <f>C218-E218</f>
        <v>19848</v>
      </c>
      <c r="E218" s="10">
        <f>ROUND(C218*'Allocation Factors'!$G$18,0)</f>
        <v>19828478</v>
      </c>
      <c r="F218" s="10">
        <f>'Sch 5'!C208</f>
        <v>0</v>
      </c>
      <c r="G218" s="10">
        <f>E218+F218</f>
        <v>19828478</v>
      </c>
      <c r="H218" s="10"/>
      <c r="I218" s="25" t="s">
        <v>348</v>
      </c>
      <c r="J218" s="38"/>
    </row>
    <row r="219" spans="1:10" s="18" customFormat="1" ht="14.1" customHeight="1">
      <c r="A219" s="379">
        <f t="shared" si="18"/>
        <v>203</v>
      </c>
      <c r="B219" s="56" t="s">
        <v>55</v>
      </c>
      <c r="C219" s="10">
        <v>186109</v>
      </c>
      <c r="D219" s="10">
        <f>C219-E219</f>
        <v>186</v>
      </c>
      <c r="E219" s="10">
        <f>ROUND(C219*'Allocation Factors'!$G$18,0)</f>
        <v>185923</v>
      </c>
      <c r="F219" s="10">
        <f>'Sch 5'!C209</f>
        <v>0</v>
      </c>
      <c r="G219" s="10">
        <f>E219+F219</f>
        <v>185923</v>
      </c>
      <c r="H219" s="10"/>
      <c r="I219" s="25"/>
      <c r="J219" s="38"/>
    </row>
    <row r="220" spans="1:10" s="18" customFormat="1" ht="14.1" customHeight="1">
      <c r="A220" s="379">
        <f t="shared" si="18"/>
        <v>204</v>
      </c>
      <c r="B220" s="13" t="s">
        <v>486</v>
      </c>
      <c r="C220" s="47">
        <f>SUM(C218:C219)</f>
        <v>20034435</v>
      </c>
      <c r="D220" s="47">
        <f>SUM(D218:D219)</f>
        <v>20034</v>
      </c>
      <c r="E220" s="47">
        <f>SUM(E218:E219)</f>
        <v>20014401</v>
      </c>
      <c r="F220" s="47">
        <f>SUM(F218:F219)</f>
        <v>0</v>
      </c>
      <c r="G220" s="47">
        <f>SUM(G218:G219)</f>
        <v>20014401</v>
      </c>
      <c r="H220" s="47"/>
      <c r="I220" s="159"/>
      <c r="J220" s="38"/>
    </row>
    <row r="221" spans="1:10" s="18" customFormat="1" ht="14.1" customHeight="1">
      <c r="A221" s="379">
        <f t="shared" si="18"/>
        <v>205</v>
      </c>
      <c r="B221" s="22"/>
      <c r="C221" s="43"/>
      <c r="D221" s="16"/>
      <c r="E221" s="43"/>
      <c r="F221" s="43"/>
      <c r="G221" s="16"/>
      <c r="H221" s="16"/>
      <c r="I221" s="25"/>
      <c r="J221" s="38"/>
    </row>
    <row r="222" spans="1:10" s="18" customFormat="1" ht="14.1" customHeight="1">
      <c r="A222" s="379">
        <f t="shared" si="18"/>
        <v>206</v>
      </c>
      <c r="B222" s="22" t="s">
        <v>139</v>
      </c>
      <c r="C222" s="10">
        <v>14303825</v>
      </c>
      <c r="D222" s="10">
        <f>C222-E222</f>
        <v>214557</v>
      </c>
      <c r="E222" s="10">
        <f>ROUND(C222*'Allocation Factors'!$G$22,0)</f>
        <v>14089268</v>
      </c>
      <c r="F222" s="10">
        <f>'Sch 5'!C212</f>
        <v>0</v>
      </c>
      <c r="G222" s="10">
        <f>E222+F222</f>
        <v>14089268</v>
      </c>
      <c r="H222" s="10"/>
      <c r="I222" s="15" t="s">
        <v>352</v>
      </c>
      <c r="J222" s="38"/>
    </row>
    <row r="223" spans="1:10" s="18" customFormat="1" ht="14.1" customHeight="1">
      <c r="A223" s="379">
        <f t="shared" si="18"/>
        <v>207</v>
      </c>
      <c r="B223" s="56" t="s">
        <v>55</v>
      </c>
      <c r="C223" s="10">
        <v>85670</v>
      </c>
      <c r="D223" s="10">
        <f>C223-E223</f>
        <v>1285</v>
      </c>
      <c r="E223" s="10">
        <f>ROUND(C223*'Allocation Factors'!$G$22,0)</f>
        <v>84385</v>
      </c>
      <c r="F223" s="10">
        <f>'Sch 5'!C213</f>
        <v>0</v>
      </c>
      <c r="G223" s="10">
        <f>E223+F223</f>
        <v>84385</v>
      </c>
      <c r="H223" s="10"/>
      <c r="I223" s="25"/>
      <c r="J223" s="38"/>
    </row>
    <row r="224" spans="1:10" s="18" customFormat="1" ht="14.1" customHeight="1">
      <c r="A224" s="379">
        <f t="shared" si="18"/>
        <v>208</v>
      </c>
      <c r="B224" s="13" t="s">
        <v>487</v>
      </c>
      <c r="C224" s="47">
        <f>SUM(C222:C223)</f>
        <v>14389495</v>
      </c>
      <c r="D224" s="47">
        <f>SUM(D222:D223)</f>
        <v>215842</v>
      </c>
      <c r="E224" s="47">
        <f>SUM(E222:E223)</f>
        <v>14173653</v>
      </c>
      <c r="F224" s="47">
        <f>SUM(F222:F223)</f>
        <v>0</v>
      </c>
      <c r="G224" s="47">
        <f>SUM(G222:G223)</f>
        <v>14173653</v>
      </c>
      <c r="H224" s="47"/>
      <c r="I224" s="49"/>
      <c r="J224" s="38"/>
    </row>
    <row r="225" spans="1:10" s="18" customFormat="1" ht="14.1" customHeight="1">
      <c r="A225" s="379">
        <f t="shared" si="18"/>
        <v>209</v>
      </c>
      <c r="B225" s="56"/>
      <c r="C225" s="64"/>
      <c r="D225" s="151"/>
      <c r="E225" s="64"/>
      <c r="F225" s="64"/>
      <c r="G225" s="151"/>
      <c r="H225" s="151"/>
      <c r="I225" s="52"/>
      <c r="J225" s="38"/>
    </row>
    <row r="226" spans="1:10" s="18" customFormat="1" ht="14.1" customHeight="1">
      <c r="A226" s="379">
        <f t="shared" si="18"/>
        <v>210</v>
      </c>
      <c r="B226" s="90" t="s">
        <v>146</v>
      </c>
      <c r="C226" s="16">
        <f>C212+C216+C220+C224+C208</f>
        <v>94642420</v>
      </c>
      <c r="D226" s="16">
        <f>D206+D212+D216+D220+D224+D208</f>
        <v>7062156</v>
      </c>
      <c r="E226" s="16">
        <f>E206+E212+E216+E220+E224+E208</f>
        <v>90564145</v>
      </c>
      <c r="F226" s="16">
        <f>F206+F212+F216+F220+F224+F208</f>
        <v>0</v>
      </c>
      <c r="G226" s="16">
        <f>G206+G212+G216+G220+G224+G208</f>
        <v>90564145</v>
      </c>
      <c r="H226" s="16"/>
      <c r="I226" s="155"/>
      <c r="J226" s="38"/>
    </row>
    <row r="227" spans="1:10" s="18" customFormat="1" ht="14.1" customHeight="1">
      <c r="A227" s="379">
        <f t="shared" si="18"/>
        <v>211</v>
      </c>
      <c r="B227" s="90"/>
      <c r="C227" s="16"/>
      <c r="D227" s="16"/>
      <c r="E227" s="16"/>
      <c r="F227" s="16"/>
      <c r="G227" s="16"/>
      <c r="H227" s="16"/>
      <c r="I227" s="155"/>
      <c r="J227" s="38"/>
    </row>
    <row r="228" spans="1:10" s="18" customFormat="1" ht="14.1" customHeight="1">
      <c r="A228" s="379">
        <f t="shared" si="18"/>
        <v>212</v>
      </c>
      <c r="B228" s="90" t="s">
        <v>839</v>
      </c>
      <c r="C228" s="16">
        <f>C207+C211+C215+C219+C223</f>
        <v>2717290</v>
      </c>
      <c r="D228" s="16">
        <f>D207+D211+D215+D219+D223</f>
        <v>38153</v>
      </c>
      <c r="E228" s="16">
        <f>E207+E211+E215+E219+E223</f>
        <v>2679137</v>
      </c>
      <c r="F228" s="16">
        <f>F207+F211+F215+F219+F223</f>
        <v>0</v>
      </c>
      <c r="G228" s="16">
        <f>G207+G211+G215+G219+G223</f>
        <v>2679137</v>
      </c>
      <c r="H228" s="16"/>
      <c r="I228" s="155"/>
      <c r="J228" s="38"/>
    </row>
    <row r="229" spans="1:10" s="18" customFormat="1" ht="14.1" customHeight="1">
      <c r="A229" s="379">
        <f t="shared" si="18"/>
        <v>213</v>
      </c>
      <c r="B229" s="90" t="s">
        <v>838</v>
      </c>
      <c r="C229" s="16">
        <f>C206+C210+C214+C218+C222</f>
        <v>91925130</v>
      </c>
      <c r="D229" s="16">
        <f>D206+D210+D214+D218+D222</f>
        <v>4040122</v>
      </c>
      <c r="E229" s="16">
        <f>E206+E210+E214+E218+E222</f>
        <v>87885008</v>
      </c>
      <c r="F229" s="16">
        <f>F206+F210+F214+F218+F222</f>
        <v>0</v>
      </c>
      <c r="G229" s="16">
        <f>G206+G210+G214+G218+G222</f>
        <v>87885008</v>
      </c>
      <c r="H229" s="16"/>
      <c r="I229" s="155"/>
      <c r="J229" s="38"/>
    </row>
    <row r="230" spans="1:10" s="18" customFormat="1" ht="14.1" customHeight="1">
      <c r="A230" s="379">
        <f t="shared" si="18"/>
        <v>214</v>
      </c>
      <c r="B230" s="25"/>
      <c r="C230" s="16"/>
      <c r="D230" s="16"/>
      <c r="E230" s="130"/>
      <c r="F230" s="16"/>
      <c r="G230" s="19"/>
      <c r="H230" s="19"/>
      <c r="I230" s="25"/>
      <c r="J230" s="38"/>
    </row>
    <row r="231" spans="1:10" ht="14.1" customHeight="1">
      <c r="A231" s="379">
        <f t="shared" si="18"/>
        <v>215</v>
      </c>
      <c r="B231" s="13" t="s">
        <v>152</v>
      </c>
      <c r="C231" s="10"/>
      <c r="D231" s="10"/>
      <c r="E231" s="10"/>
      <c r="F231" s="10"/>
      <c r="G231" s="10"/>
      <c r="H231" s="10"/>
      <c r="I231" s="15"/>
      <c r="J231" s="38"/>
    </row>
    <row r="232" spans="1:10" ht="14.1" customHeight="1">
      <c r="A232" s="379">
        <f t="shared" si="18"/>
        <v>216</v>
      </c>
      <c r="B232" s="22" t="s">
        <v>136</v>
      </c>
      <c r="C232" s="10">
        <v>0</v>
      </c>
      <c r="D232" s="10">
        <f>C232-E232</f>
        <v>0</v>
      </c>
      <c r="E232" s="16">
        <v>0</v>
      </c>
      <c r="F232" s="10">
        <f>'Sch 5'!C219</f>
        <v>0</v>
      </c>
      <c r="G232" s="10">
        <f>E232+F232</f>
        <v>0</v>
      </c>
      <c r="H232" s="10"/>
      <c r="I232" s="25" t="s">
        <v>378</v>
      </c>
      <c r="J232" s="38"/>
    </row>
    <row r="233" spans="1:10" ht="14.1" customHeight="1">
      <c r="A233" s="379">
        <f t="shared" si="18"/>
        <v>217</v>
      </c>
      <c r="B233" s="22" t="s">
        <v>145</v>
      </c>
      <c r="C233" s="10">
        <v>0</v>
      </c>
      <c r="D233" s="10">
        <f>C233-E233</f>
        <v>0</v>
      </c>
      <c r="E233" s="16">
        <f>ROUND(C233*'Allocation Factors'!$G$12,0)</f>
        <v>0</v>
      </c>
      <c r="F233" s="10">
        <f>'Sch 5'!C220</f>
        <v>0</v>
      </c>
      <c r="G233" s="10">
        <f>E233+F233</f>
        <v>0</v>
      </c>
      <c r="H233" s="10"/>
      <c r="I233" s="15" t="s">
        <v>343</v>
      </c>
      <c r="J233" s="38"/>
    </row>
    <row r="234" spans="1:10" ht="14.1" customHeight="1">
      <c r="A234" s="379">
        <f t="shared" si="18"/>
        <v>218</v>
      </c>
      <c r="B234" s="22" t="s">
        <v>138</v>
      </c>
      <c r="C234" s="10">
        <v>556145.38</v>
      </c>
      <c r="D234" s="10">
        <f>C234-E234</f>
        <v>556.38000000000466</v>
      </c>
      <c r="E234" s="16">
        <f>ROUND(C234*'Allocation Factors'!$G$18,0)</f>
        <v>555589</v>
      </c>
      <c r="F234" s="10">
        <f>'Sch 5'!C221</f>
        <v>0</v>
      </c>
      <c r="G234" s="10">
        <f>E234+F234</f>
        <v>555589</v>
      </c>
      <c r="H234" s="10"/>
      <c r="I234" s="25" t="s">
        <v>348</v>
      </c>
      <c r="J234" s="38"/>
    </row>
    <row r="235" spans="1:10" ht="14.1" customHeight="1">
      <c r="A235" s="379">
        <f t="shared" si="18"/>
        <v>219</v>
      </c>
      <c r="B235" s="56" t="s">
        <v>139</v>
      </c>
      <c r="C235" s="10">
        <v>0</v>
      </c>
      <c r="D235" s="10">
        <f>C235-E235</f>
        <v>0</v>
      </c>
      <c r="E235" s="10">
        <f>ROUND(C235*'Allocation Factors'!$G$22,0)</f>
        <v>0</v>
      </c>
      <c r="F235" s="10">
        <f>'Sch 5'!C222</f>
        <v>0</v>
      </c>
      <c r="G235" s="10">
        <f>E235+F235</f>
        <v>0</v>
      </c>
      <c r="H235" s="10"/>
      <c r="I235" s="15" t="s">
        <v>352</v>
      </c>
      <c r="J235" s="38"/>
    </row>
    <row r="236" spans="1:10" ht="14.1" customHeight="1">
      <c r="A236" s="379">
        <f t="shared" si="18"/>
        <v>220</v>
      </c>
      <c r="B236" s="90" t="s">
        <v>492</v>
      </c>
      <c r="C236" s="85">
        <f>SUM(C232:C235)</f>
        <v>556145.38</v>
      </c>
      <c r="D236" s="85">
        <f>SUM(D232:D235)</f>
        <v>556.38000000000466</v>
      </c>
      <c r="E236" s="85">
        <f>SUM(E232:E235)</f>
        <v>555589</v>
      </c>
      <c r="F236" s="85">
        <f>SUM(F232:F235)</f>
        <v>0</v>
      </c>
      <c r="G236" s="85">
        <f>G232+G233+G234+G235</f>
        <v>555589</v>
      </c>
      <c r="H236" s="85"/>
      <c r="I236" s="147"/>
      <c r="J236" s="38"/>
    </row>
    <row r="237" spans="1:10" ht="14.1" customHeight="1">
      <c r="A237" s="379">
        <f t="shared" si="18"/>
        <v>221</v>
      </c>
      <c r="B237" s="25"/>
      <c r="C237" s="16"/>
      <c r="D237" s="16"/>
      <c r="E237" s="130"/>
      <c r="F237" s="16"/>
      <c r="G237" s="16"/>
      <c r="H237" s="16"/>
      <c r="I237" s="17"/>
      <c r="J237" s="38"/>
    </row>
    <row r="238" spans="1:10" s="18" customFormat="1" ht="14.1" customHeight="1">
      <c r="A238" s="379">
        <f t="shared" si="18"/>
        <v>222</v>
      </c>
      <c r="B238" s="13" t="s">
        <v>374</v>
      </c>
      <c r="C238" s="10"/>
      <c r="D238" s="10"/>
      <c r="E238" s="10"/>
      <c r="F238" s="10"/>
      <c r="G238" s="19"/>
      <c r="H238" s="19"/>
      <c r="I238" s="25"/>
      <c r="J238" s="38"/>
    </row>
    <row r="239" spans="1:10" ht="14.1" customHeight="1">
      <c r="A239" s="379">
        <f t="shared" si="18"/>
        <v>223</v>
      </c>
      <c r="B239" s="22" t="s">
        <v>153</v>
      </c>
      <c r="C239" s="10">
        <f>21443205.88+810543.69+43784.61+86309.98+8404073.26+257143.91+24972.94+1168045.57</f>
        <v>32238079.840000004</v>
      </c>
      <c r="D239" s="10">
        <f>C239-E239</f>
        <v>451332.84000000358</v>
      </c>
      <c r="E239" s="10">
        <f>ROUND(C239*'Allocation Factors'!$G$14,0)</f>
        <v>31786747</v>
      </c>
      <c r="F239" s="10">
        <f>'Sch 5'!C226</f>
        <v>-12888097</v>
      </c>
      <c r="G239" s="10">
        <f>E239+F239</f>
        <v>18898650</v>
      </c>
      <c r="H239" s="10"/>
      <c r="I239" s="15" t="s">
        <v>344</v>
      </c>
      <c r="J239" s="38"/>
    </row>
    <row r="240" spans="1:10" ht="14.1" customHeight="1">
      <c r="A240" s="379">
        <f t="shared" si="18"/>
        <v>224</v>
      </c>
      <c r="B240" s="22" t="s">
        <v>155</v>
      </c>
      <c r="C240" s="10">
        <v>11727454</v>
      </c>
      <c r="D240" s="10">
        <f>C240-E240</f>
        <v>175912</v>
      </c>
      <c r="E240" s="10">
        <f>ROUND(C240*'Allocation Factors'!$G$10,0)</f>
        <v>11551542</v>
      </c>
      <c r="F240" s="10">
        <f>'Sch 5'!C227</f>
        <v>0</v>
      </c>
      <c r="G240" s="10">
        <f>E240+F240</f>
        <v>11551542</v>
      </c>
      <c r="H240" s="10"/>
      <c r="I240" s="15" t="s">
        <v>341</v>
      </c>
      <c r="J240" s="38"/>
    </row>
    <row r="241" spans="1:10" ht="14.1" customHeight="1">
      <c r="A241" s="379">
        <f t="shared" si="18"/>
        <v>225</v>
      </c>
      <c r="B241" s="22" t="s">
        <v>155</v>
      </c>
      <c r="C241" s="10">
        <v>2389300.84</v>
      </c>
      <c r="D241" s="10">
        <f>C241-E241</f>
        <v>33449.839999999851</v>
      </c>
      <c r="E241" s="10">
        <f>ROUND(C241*'Allocation Factors'!$G$14,0)</f>
        <v>2355851</v>
      </c>
      <c r="F241" s="10">
        <f>'Sch 5'!C228</f>
        <v>-1699124</v>
      </c>
      <c r="G241" s="10">
        <f>E241+F241</f>
        <v>656727</v>
      </c>
      <c r="H241" s="10"/>
      <c r="I241" s="15" t="s">
        <v>344</v>
      </c>
      <c r="J241" s="38"/>
    </row>
    <row r="242" spans="1:10" ht="14.1" customHeight="1">
      <c r="A242" s="379">
        <f t="shared" si="18"/>
        <v>226</v>
      </c>
      <c r="B242" s="22" t="s">
        <v>156</v>
      </c>
      <c r="C242" s="10">
        <v>369774.05900000001</v>
      </c>
      <c r="D242" s="10">
        <f>C242-E242</f>
        <v>5547.0590000000084</v>
      </c>
      <c r="E242" s="10">
        <f>ROUND(C242*'Allocation Factors'!$G$16,0)</f>
        <v>364227</v>
      </c>
      <c r="F242" s="10">
        <f>'Sch 5'!C229</f>
        <v>0</v>
      </c>
      <c r="G242" s="10">
        <f>E242+F242</f>
        <v>364227</v>
      </c>
      <c r="H242" s="10"/>
      <c r="I242" s="15" t="s">
        <v>346</v>
      </c>
      <c r="J242" s="38"/>
    </row>
    <row r="243" spans="1:10" ht="14.1" customHeight="1">
      <c r="A243" s="379">
        <f t="shared" si="18"/>
        <v>227</v>
      </c>
      <c r="B243" s="56" t="s">
        <v>157</v>
      </c>
      <c r="C243" s="64">
        <v>2854186</v>
      </c>
      <c r="D243" s="64">
        <f>C243-E243</f>
        <v>2854</v>
      </c>
      <c r="E243" s="64">
        <f>ROUND(C243*'Allocation Factors'!$G$18,0)</f>
        <v>2851332</v>
      </c>
      <c r="F243" s="64">
        <f>'Sch 5'!C230</f>
        <v>0</v>
      </c>
      <c r="G243" s="64">
        <f>E243+F243</f>
        <v>2851332</v>
      </c>
      <c r="H243" s="64"/>
      <c r="I243" s="135" t="s">
        <v>348</v>
      </c>
      <c r="J243" s="38"/>
    </row>
    <row r="244" spans="1:10" ht="14.1" customHeight="1">
      <c r="A244" s="379">
        <f t="shared" si="18"/>
        <v>228</v>
      </c>
      <c r="B244" s="13" t="s">
        <v>522</v>
      </c>
      <c r="C244" s="10">
        <f>SUM(C239:C243)</f>
        <v>49578794.739000008</v>
      </c>
      <c r="D244" s="10">
        <f>SUM(D239:D243)</f>
        <v>669095.73900000344</v>
      </c>
      <c r="E244" s="10">
        <f>SUM(E239:E243)</f>
        <v>48909699</v>
      </c>
      <c r="F244" s="10">
        <f>SUM(F239:F243)</f>
        <v>-14587221</v>
      </c>
      <c r="G244" s="10">
        <f>SUM(G239:G243)</f>
        <v>34322478</v>
      </c>
      <c r="H244" s="10"/>
      <c r="I244" s="15"/>
      <c r="J244" s="38"/>
    </row>
    <row r="245" spans="1:10" ht="14.1" customHeight="1">
      <c r="A245" s="379">
        <f t="shared" si="18"/>
        <v>229</v>
      </c>
      <c r="B245" s="22"/>
      <c r="C245" s="10"/>
      <c r="D245" s="10"/>
      <c r="E245" s="10"/>
      <c r="F245" s="10"/>
      <c r="G245" s="10"/>
      <c r="H245" s="10"/>
      <c r="I245" s="15"/>
      <c r="J245" s="38"/>
    </row>
    <row r="246" spans="1:10" ht="14.1" customHeight="1">
      <c r="A246" s="379">
        <f t="shared" si="18"/>
        <v>230</v>
      </c>
      <c r="B246" s="13" t="s">
        <v>373</v>
      </c>
      <c r="C246" s="10"/>
      <c r="D246" s="10"/>
      <c r="E246" s="10"/>
      <c r="F246" s="10"/>
      <c r="G246" s="10"/>
      <c r="H246" s="10"/>
      <c r="I246" s="15"/>
      <c r="J246" s="38"/>
    </row>
    <row r="247" spans="1:10" ht="14.1" customHeight="1">
      <c r="A247" s="379">
        <f t="shared" ref="A247:A310" si="19">+A246+1</f>
        <v>231</v>
      </c>
      <c r="B247" s="22" t="s">
        <v>1000</v>
      </c>
      <c r="C247" s="10">
        <f>44879334.11+20174958.11</f>
        <v>65054292.219999999</v>
      </c>
      <c r="D247" s="10">
        <f>C247-E247</f>
        <v>975814.21999999881</v>
      </c>
      <c r="E247" s="10">
        <f>ROUND(C247*'Allocation Factors'!$G$24,0)</f>
        <v>64078478</v>
      </c>
      <c r="F247" s="10">
        <f>'Sch 5'!C234</f>
        <v>0</v>
      </c>
      <c r="G247" s="10">
        <f>E247+F247</f>
        <v>64078478</v>
      </c>
      <c r="H247" s="10"/>
      <c r="I247" s="15" t="s">
        <v>354</v>
      </c>
      <c r="J247" s="38"/>
    </row>
    <row r="248" spans="1:10" ht="14.1" customHeight="1">
      <c r="A248" s="379">
        <f t="shared" si="19"/>
        <v>232</v>
      </c>
      <c r="B248" s="56" t="s">
        <v>159</v>
      </c>
      <c r="C248" s="10">
        <v>1834389.1429999992</v>
      </c>
      <c r="D248" s="10">
        <f>C248-E248</f>
        <v>27516.142999999225</v>
      </c>
      <c r="E248" s="10">
        <f>ROUND(C248*'Allocation Factors'!$G$24,0)</f>
        <v>1806873</v>
      </c>
      <c r="F248" s="10">
        <f>'Sch 5'!C235</f>
        <v>0</v>
      </c>
      <c r="G248" s="10">
        <f>E248+F248</f>
        <v>1806873</v>
      </c>
      <c r="H248" s="10"/>
      <c r="I248" s="15" t="s">
        <v>354</v>
      </c>
      <c r="J248" s="38"/>
    </row>
    <row r="249" spans="1:10" ht="14.1" customHeight="1">
      <c r="A249" s="379">
        <f t="shared" si="19"/>
        <v>233</v>
      </c>
      <c r="B249" s="13" t="s">
        <v>523</v>
      </c>
      <c r="C249" s="85">
        <f>SUM(C247:C248)</f>
        <v>66888681.362999998</v>
      </c>
      <c r="D249" s="85">
        <f>SUM(D247:D248)</f>
        <v>1003330.362999998</v>
      </c>
      <c r="E249" s="85">
        <f>SUM(E247:E248)</f>
        <v>65885351</v>
      </c>
      <c r="F249" s="85">
        <f>SUM(F247:F248)</f>
        <v>0</v>
      </c>
      <c r="G249" s="85">
        <f>SUM(G247:G248)</f>
        <v>65885351</v>
      </c>
      <c r="H249" s="85"/>
      <c r="I249" s="147"/>
      <c r="J249" s="38"/>
    </row>
    <row r="250" spans="1:10" ht="14.1" customHeight="1">
      <c r="A250" s="379">
        <f t="shared" si="19"/>
        <v>234</v>
      </c>
      <c r="B250" s="25"/>
      <c r="C250" s="16"/>
      <c r="D250" s="16"/>
      <c r="E250" s="130"/>
      <c r="F250" s="16"/>
      <c r="G250" s="43"/>
      <c r="H250" s="43"/>
      <c r="I250" s="15"/>
      <c r="J250" s="38"/>
    </row>
    <row r="251" spans="1:10" ht="14.1" customHeight="1">
      <c r="A251" s="379">
        <f t="shared" si="19"/>
        <v>235</v>
      </c>
      <c r="B251" s="25"/>
      <c r="C251" s="16"/>
      <c r="D251" s="16"/>
      <c r="E251" s="16"/>
      <c r="F251" s="16"/>
      <c r="G251" s="10"/>
      <c r="H251" s="10"/>
      <c r="I251" s="15"/>
      <c r="J251" s="38"/>
    </row>
    <row r="252" spans="1:10" ht="14.1" customHeight="1">
      <c r="A252" s="379">
        <f t="shared" si="19"/>
        <v>236</v>
      </c>
      <c r="B252" s="13" t="s">
        <v>160</v>
      </c>
      <c r="C252" s="10"/>
      <c r="D252" s="10"/>
      <c r="E252" s="10"/>
      <c r="F252" s="10"/>
      <c r="G252" s="10"/>
      <c r="H252" s="10"/>
      <c r="I252" s="15"/>
      <c r="J252" s="38"/>
    </row>
    <row r="253" spans="1:10" s="18" customFormat="1" ht="14.1" customHeight="1">
      <c r="A253" s="379">
        <f t="shared" si="19"/>
        <v>237</v>
      </c>
      <c r="B253" s="22" t="s">
        <v>929</v>
      </c>
      <c r="C253" s="10">
        <v>-539545500</v>
      </c>
      <c r="D253" s="10">
        <f t="shared" ref="D253:D258" si="20">C253-E253</f>
        <v>-7231906</v>
      </c>
      <c r="E253" s="411">
        <v>-532313594</v>
      </c>
      <c r="F253" s="10">
        <f>'Sch 5'!C240</f>
        <v>133451967</v>
      </c>
      <c r="G253" s="10">
        <f t="shared" ref="G253:G258" si="21">E253+F253</f>
        <v>-398861627</v>
      </c>
      <c r="H253" s="10"/>
      <c r="I253" s="25" t="s">
        <v>354</v>
      </c>
      <c r="J253" s="38"/>
    </row>
    <row r="254" spans="1:10" s="18" customFormat="1" ht="14.1" customHeight="1">
      <c r="A254" s="379">
        <f t="shared" si="19"/>
        <v>238</v>
      </c>
      <c r="B254" s="22" t="s">
        <v>162</v>
      </c>
      <c r="C254" s="10">
        <v>0</v>
      </c>
      <c r="D254" s="10">
        <f t="shared" si="20"/>
        <v>0</v>
      </c>
      <c r="E254" s="10">
        <v>0</v>
      </c>
      <c r="F254" s="10">
        <f>'Sch 5'!C241</f>
        <v>0</v>
      </c>
      <c r="G254" s="10">
        <f t="shared" si="21"/>
        <v>0</v>
      </c>
      <c r="H254" s="10"/>
      <c r="I254" s="25" t="s">
        <v>54</v>
      </c>
      <c r="J254" s="38"/>
    </row>
    <row r="255" spans="1:10" s="18" customFormat="1" ht="14.1" customHeight="1">
      <c r="A255" s="379">
        <f t="shared" si="19"/>
        <v>239</v>
      </c>
      <c r="B255" s="22" t="s">
        <v>163</v>
      </c>
      <c r="C255" s="10">
        <v>0</v>
      </c>
      <c r="D255" s="10">
        <f t="shared" si="20"/>
        <v>0</v>
      </c>
      <c r="E255" s="10">
        <v>0</v>
      </c>
      <c r="F255" s="10">
        <f>'Sch 5'!C242</f>
        <v>0</v>
      </c>
      <c r="G255" s="10">
        <f t="shared" si="21"/>
        <v>0</v>
      </c>
      <c r="H255" s="10"/>
      <c r="I255" s="25" t="s">
        <v>54</v>
      </c>
      <c r="J255" s="38"/>
    </row>
    <row r="256" spans="1:10" s="18" customFormat="1" ht="14.1" customHeight="1">
      <c r="A256" s="379">
        <f t="shared" si="19"/>
        <v>240</v>
      </c>
      <c r="B256" s="22" t="s">
        <v>376</v>
      </c>
      <c r="C256" s="10">
        <v>-161168.39000000001</v>
      </c>
      <c r="D256" s="10">
        <f t="shared" si="20"/>
        <v>-0.39000000001396984</v>
      </c>
      <c r="E256" s="10">
        <f>ROUND(C256*'Allocation Factors'!$G$34,0)</f>
        <v>-161168</v>
      </c>
      <c r="F256" s="10">
        <f>'Sch 5'!C243</f>
        <v>0</v>
      </c>
      <c r="G256" s="10">
        <f t="shared" si="21"/>
        <v>-161168</v>
      </c>
      <c r="H256" s="10"/>
      <c r="I256" s="25" t="s">
        <v>378</v>
      </c>
      <c r="J256" s="38"/>
    </row>
    <row r="257" spans="1:10" ht="14.1" customHeight="1">
      <c r="A257" s="379">
        <f t="shared" si="19"/>
        <v>241</v>
      </c>
      <c r="B257" s="22" t="s">
        <v>164</v>
      </c>
      <c r="C257" s="10">
        <v>-31260747.550000001</v>
      </c>
      <c r="D257" s="10">
        <f t="shared" si="20"/>
        <v>0.44999999925494194</v>
      </c>
      <c r="E257" s="10">
        <f>ROUND(C257*'Allocation Factors'!$G$34,0)</f>
        <v>-31260748</v>
      </c>
      <c r="F257" s="10">
        <f>'Sch 5'!C244</f>
        <v>0</v>
      </c>
      <c r="G257" s="10">
        <f t="shared" si="21"/>
        <v>-31260748</v>
      </c>
      <c r="H257" s="10"/>
      <c r="I257" s="25" t="s">
        <v>378</v>
      </c>
      <c r="J257" s="38"/>
    </row>
    <row r="258" spans="1:10" ht="14.1" customHeight="1">
      <c r="A258" s="379">
        <f t="shared" si="19"/>
        <v>242</v>
      </c>
      <c r="B258" s="56" t="s">
        <v>165</v>
      </c>
      <c r="C258" s="64">
        <v>0</v>
      </c>
      <c r="D258" s="64">
        <f t="shared" si="20"/>
        <v>0</v>
      </c>
      <c r="E258" s="64">
        <v>0</v>
      </c>
      <c r="F258" s="64">
        <f>'Sch 5'!C245</f>
        <v>0</v>
      </c>
      <c r="G258" s="64">
        <f t="shared" si="21"/>
        <v>0</v>
      </c>
      <c r="H258" s="64"/>
      <c r="I258" s="52" t="s">
        <v>54</v>
      </c>
      <c r="J258" s="38"/>
    </row>
    <row r="259" spans="1:10" ht="14.1" customHeight="1">
      <c r="A259" s="379">
        <f t="shared" si="19"/>
        <v>243</v>
      </c>
      <c r="B259" s="90" t="s">
        <v>166</v>
      </c>
      <c r="C259" s="16">
        <f>SUM(C253:C258)</f>
        <v>-570967415.93999994</v>
      </c>
      <c r="D259" s="16">
        <f>SUM(D253:D258)</f>
        <v>-7231905.9400000004</v>
      </c>
      <c r="E259" s="16">
        <f>SUM(E253:E258)</f>
        <v>-563735510</v>
      </c>
      <c r="F259" s="16">
        <f>SUM(F253:F258)</f>
        <v>133451967</v>
      </c>
      <c r="G259" s="16">
        <f>SUM(G253:G258)</f>
        <v>-430283543</v>
      </c>
      <c r="H259" s="16"/>
      <c r="I259" s="155"/>
      <c r="J259" s="38"/>
    </row>
    <row r="260" spans="1:10" ht="14.1" customHeight="1">
      <c r="A260" s="379">
        <f t="shared" si="19"/>
        <v>244</v>
      </c>
      <c r="B260" s="52"/>
      <c r="C260" s="16"/>
      <c r="D260" s="16"/>
      <c r="E260" s="16"/>
      <c r="F260" s="16"/>
      <c r="G260" s="16"/>
      <c r="H260" s="16"/>
      <c r="I260" s="155"/>
      <c r="J260" s="38"/>
    </row>
    <row r="261" spans="1:10" s="3" customFormat="1" ht="14.1" customHeight="1" thickBot="1">
      <c r="A261" s="379">
        <f t="shared" si="19"/>
        <v>245</v>
      </c>
      <c r="B261" s="54" t="s">
        <v>935</v>
      </c>
      <c r="C261" s="91">
        <f>C203+C229+C236+C244+C249+C259</f>
        <v>1511218475.2620001</v>
      </c>
      <c r="D261" s="91">
        <f>D203+D229+D236+D244+D249+D259</f>
        <v>40872540.591999926</v>
      </c>
      <c r="E261" s="91">
        <f>E203+E229+E236+E244+E249+E259</f>
        <v>1470345934.6700001</v>
      </c>
      <c r="F261" s="91">
        <f>F203+F229+F236+F244+F249+F259</f>
        <v>-83417201</v>
      </c>
      <c r="G261" s="91">
        <f>G203+G229+G236+G244+G249+G259</f>
        <v>1386928733.6700001</v>
      </c>
      <c r="H261" s="91"/>
      <c r="I261" s="55"/>
      <c r="J261" s="38"/>
    </row>
    <row r="262" spans="1:10" ht="13.5" customHeight="1" thickTop="1">
      <c r="A262" s="379">
        <f t="shared" si="19"/>
        <v>246</v>
      </c>
      <c r="B262" s="65"/>
      <c r="C262" s="65"/>
      <c r="D262" s="43"/>
      <c r="E262" s="43"/>
      <c r="F262" s="43"/>
      <c r="G262" s="43"/>
      <c r="H262" s="43"/>
      <c r="I262" s="15"/>
      <c r="J262" s="38"/>
    </row>
    <row r="263" spans="1:10" ht="13.5" customHeight="1">
      <c r="A263" s="379">
        <f t="shared" si="19"/>
        <v>247</v>
      </c>
      <c r="B263" s="22"/>
      <c r="C263" s="10"/>
      <c r="D263" s="10"/>
      <c r="E263" s="10"/>
      <c r="F263" s="10"/>
      <c r="G263" s="10"/>
      <c r="H263" s="10"/>
      <c r="I263" s="15"/>
      <c r="J263" s="38"/>
    </row>
    <row r="264" spans="1:10" ht="14.1" customHeight="1">
      <c r="A264" s="379">
        <f t="shared" si="19"/>
        <v>248</v>
      </c>
      <c r="B264" s="129" t="s">
        <v>318</v>
      </c>
      <c r="C264" s="10">
        <f>237272060.56+292502817.9+1971103.33</f>
        <v>531745981.78999996</v>
      </c>
      <c r="D264" s="19">
        <f>C264-E264</f>
        <v>0</v>
      </c>
      <c r="E264" s="16">
        <f>C264</f>
        <v>531745981.78999996</v>
      </c>
      <c r="F264" s="10">
        <f>'Sch 5'!C251</f>
        <v>-55835125.472561792</v>
      </c>
      <c r="G264" s="10">
        <f>E264+F264</f>
        <v>475910856.31743819</v>
      </c>
      <c r="H264" s="10"/>
      <c r="I264" s="15" t="s">
        <v>54</v>
      </c>
      <c r="J264" s="38"/>
    </row>
    <row r="265" spans="1:10" ht="14.1" customHeight="1">
      <c r="A265" s="379">
        <f t="shared" si="19"/>
        <v>249</v>
      </c>
      <c r="B265" s="129" t="s">
        <v>368</v>
      </c>
      <c r="C265" s="10">
        <f>2549631.21+2660213.06-36298.27</f>
        <v>5173546</v>
      </c>
      <c r="D265" s="19">
        <f>C265</f>
        <v>5173546</v>
      </c>
      <c r="E265" s="16">
        <f>C265-D265</f>
        <v>0</v>
      </c>
      <c r="F265" s="10">
        <f>'Sch 5'!C252</f>
        <v>0</v>
      </c>
      <c r="G265" s="10">
        <f>E265+F265</f>
        <v>0</v>
      </c>
      <c r="H265" s="10"/>
      <c r="I265" s="15" t="s">
        <v>54</v>
      </c>
      <c r="J265" s="38"/>
    </row>
    <row r="266" spans="1:10" ht="14.1" customHeight="1">
      <c r="A266" s="379">
        <f t="shared" si="19"/>
        <v>250</v>
      </c>
      <c r="B266" s="129" t="s">
        <v>15</v>
      </c>
      <c r="C266" s="10">
        <v>-47400.09</v>
      </c>
      <c r="D266" s="19">
        <f>C266</f>
        <v>-47400.09</v>
      </c>
      <c r="E266" s="16">
        <f>C266-D266</f>
        <v>0</v>
      </c>
      <c r="F266" s="10"/>
      <c r="G266" s="10"/>
      <c r="H266" s="10"/>
      <c r="I266" s="15"/>
      <c r="J266" s="38"/>
    </row>
    <row r="267" spans="1:10" ht="14.1" customHeight="1">
      <c r="A267" s="379">
        <f t="shared" si="19"/>
        <v>251</v>
      </c>
      <c r="B267" s="129"/>
      <c r="C267" s="10"/>
      <c r="D267" s="19"/>
      <c r="E267" s="19"/>
      <c r="G267" s="10"/>
      <c r="H267" s="10"/>
      <c r="I267" s="15"/>
      <c r="J267" s="38"/>
    </row>
    <row r="268" spans="1:10" ht="14.1" customHeight="1">
      <c r="A268" s="379">
        <f t="shared" si="19"/>
        <v>252</v>
      </c>
      <c r="B268" s="3" t="s">
        <v>168</v>
      </c>
      <c r="C268" s="10"/>
      <c r="D268" s="19"/>
      <c r="E268" s="19"/>
      <c r="G268" s="10"/>
      <c r="H268" s="10"/>
      <c r="I268" s="15"/>
      <c r="J268" s="38"/>
    </row>
    <row r="269" spans="1:10" ht="14.1" customHeight="1">
      <c r="A269" s="379">
        <f t="shared" si="19"/>
        <v>253</v>
      </c>
      <c r="B269" s="88" t="s">
        <v>169</v>
      </c>
      <c r="C269" s="10">
        <v>0</v>
      </c>
      <c r="D269" s="19">
        <f>C269-E269</f>
        <v>0</v>
      </c>
      <c r="E269" s="19">
        <v>0</v>
      </c>
      <c r="F269" s="10">
        <f>'Sch 5'!C256</f>
        <v>0</v>
      </c>
      <c r="G269" s="10">
        <f>E269+F269</f>
        <v>0</v>
      </c>
      <c r="H269" s="10"/>
      <c r="I269" s="15"/>
      <c r="J269" s="38"/>
    </row>
    <row r="270" spans="1:10" ht="14.1" customHeight="1">
      <c r="A270" s="379">
        <f t="shared" si="19"/>
        <v>254</v>
      </c>
      <c r="B270" s="88" t="s">
        <v>170</v>
      </c>
      <c r="C270" s="10">
        <f>32241721.79-C265</f>
        <v>27068175.789999999</v>
      </c>
      <c r="D270" s="19">
        <f>C270-E270</f>
        <v>378954.46105999872</v>
      </c>
      <c r="E270" s="16">
        <f>(C270*'Allocation Factors'!G14)</f>
        <v>26689221.32894</v>
      </c>
      <c r="F270" s="10">
        <f>'Sch 5'!C257</f>
        <v>0</v>
      </c>
      <c r="G270" s="10">
        <f>E270+F270</f>
        <v>26689221.32894</v>
      </c>
      <c r="H270" s="10"/>
      <c r="I270" s="15" t="s">
        <v>344</v>
      </c>
      <c r="J270" s="38"/>
    </row>
    <row r="271" spans="1:10" ht="14.1" customHeight="1">
      <c r="A271" s="379">
        <f t="shared" si="19"/>
        <v>255</v>
      </c>
      <c r="B271" s="56" t="s">
        <v>171</v>
      </c>
      <c r="C271" s="10">
        <v>0</v>
      </c>
      <c r="D271" s="19">
        <f>C271-E271</f>
        <v>0</v>
      </c>
      <c r="E271" s="19">
        <v>0</v>
      </c>
      <c r="F271" s="10">
        <f>'Sch 5'!C258</f>
        <v>0</v>
      </c>
      <c r="G271" s="10">
        <f>E271+F271</f>
        <v>0</v>
      </c>
      <c r="H271" s="10"/>
      <c r="I271" s="15"/>
      <c r="J271" s="38"/>
    </row>
    <row r="272" spans="1:10" ht="14.1" customHeight="1">
      <c r="A272" s="379">
        <f t="shared" si="19"/>
        <v>256</v>
      </c>
      <c r="B272" s="20" t="s">
        <v>494</v>
      </c>
      <c r="C272" s="85">
        <f>+C269+C270</f>
        <v>27068175.789999999</v>
      </c>
      <c r="D272" s="85">
        <f>+D269+D270+D271</f>
        <v>378954.46105999872</v>
      </c>
      <c r="E272" s="85">
        <f>+E269+E270</f>
        <v>26689221.32894</v>
      </c>
      <c r="F272" s="85">
        <f>+F269+F270</f>
        <v>0</v>
      </c>
      <c r="G272" s="47">
        <f>E272+F272</f>
        <v>26689221.32894</v>
      </c>
      <c r="H272" s="47"/>
      <c r="I272" s="147"/>
      <c r="J272" s="38"/>
    </row>
    <row r="273" spans="1:12" ht="14.1" customHeight="1">
      <c r="A273" s="379">
        <f t="shared" si="19"/>
        <v>257</v>
      </c>
      <c r="B273" s="129"/>
      <c r="C273" s="16"/>
      <c r="D273" s="16"/>
      <c r="E273" s="16"/>
      <c r="F273" s="16"/>
      <c r="G273" s="43"/>
      <c r="H273" s="43"/>
      <c r="I273" s="15"/>
      <c r="J273" s="38"/>
    </row>
    <row r="274" spans="1:12" ht="14.1" customHeight="1">
      <c r="A274" s="379">
        <f t="shared" si="19"/>
        <v>258</v>
      </c>
      <c r="B274" s="13" t="s">
        <v>172</v>
      </c>
      <c r="C274" s="43"/>
      <c r="D274" s="16"/>
      <c r="E274" s="48"/>
      <c r="F274" s="43"/>
      <c r="G274" s="43"/>
      <c r="H274" s="43"/>
      <c r="I274" s="15"/>
      <c r="J274" s="38"/>
    </row>
    <row r="275" spans="1:12" ht="14.1" customHeight="1">
      <c r="A275" s="379">
        <f t="shared" si="19"/>
        <v>259</v>
      </c>
      <c r="B275" s="22" t="s">
        <v>173</v>
      </c>
      <c r="C275" s="10">
        <v>4066116.73</v>
      </c>
      <c r="D275" s="16">
        <f>ROUND(C275-E275,0)</f>
        <v>0</v>
      </c>
      <c r="E275" s="16">
        <f>ROUND(C275*'Allocation Factors'!$G$34,0)</f>
        <v>4066117</v>
      </c>
      <c r="F275" s="10">
        <f>'Sch 5'!C262</f>
        <v>0</v>
      </c>
      <c r="G275" s="10">
        <f>E275+F275</f>
        <v>4066117</v>
      </c>
      <c r="H275" s="10"/>
      <c r="I275" s="15" t="s">
        <v>362</v>
      </c>
      <c r="J275" s="38"/>
    </row>
    <row r="276" spans="1:12" ht="14.1" customHeight="1">
      <c r="A276" s="379">
        <f t="shared" si="19"/>
        <v>260</v>
      </c>
      <c r="B276" s="22" t="s">
        <v>174</v>
      </c>
      <c r="C276" s="10">
        <v>622203.77</v>
      </c>
      <c r="D276" s="16">
        <f>ROUND(C276-E276,0)</f>
        <v>0</v>
      </c>
      <c r="E276" s="16">
        <f>ROUND(C276*'Allocation Factors'!$G$34,0)</f>
        <v>622204</v>
      </c>
      <c r="F276" s="10">
        <f>'Sch 5'!C263</f>
        <v>0</v>
      </c>
      <c r="G276" s="10">
        <f>E276+F276</f>
        <v>622204</v>
      </c>
      <c r="H276" s="10"/>
      <c r="I276" s="15" t="s">
        <v>362</v>
      </c>
      <c r="J276" s="38"/>
    </row>
    <row r="277" spans="1:12" ht="14.1" customHeight="1">
      <c r="A277" s="379">
        <f t="shared" si="19"/>
        <v>261</v>
      </c>
      <c r="B277" s="13" t="s">
        <v>175</v>
      </c>
      <c r="C277" s="10"/>
      <c r="D277" s="10"/>
      <c r="E277" s="11"/>
      <c r="F277" s="10"/>
      <c r="G277" s="10"/>
      <c r="H277" s="10"/>
      <c r="I277" s="15"/>
      <c r="J277" s="38"/>
    </row>
    <row r="278" spans="1:12" s="21" customFormat="1" ht="14.1" customHeight="1">
      <c r="A278" s="379">
        <f t="shared" si="19"/>
        <v>262</v>
      </c>
      <c r="B278" s="22" t="s">
        <v>176</v>
      </c>
      <c r="C278" s="10">
        <v>0</v>
      </c>
      <c r="D278" s="10">
        <f t="shared" ref="D278:D286" si="22">C278-E278</f>
        <v>0</v>
      </c>
      <c r="E278" s="10">
        <f>ROUND(C278*'Allocation Factors'!$G$10,0)</f>
        <v>0</v>
      </c>
      <c r="F278" s="10">
        <f>'Sch 5'!C265</f>
        <v>0</v>
      </c>
      <c r="G278" s="10">
        <f t="shared" ref="G278:G286" si="23">E278+F278</f>
        <v>0</v>
      </c>
      <c r="H278" s="10"/>
      <c r="I278" s="25" t="s">
        <v>341</v>
      </c>
      <c r="J278" s="38"/>
      <c r="K278" s="88"/>
      <c r="L278" s="88"/>
    </row>
    <row r="279" spans="1:12" ht="14.1" customHeight="1">
      <c r="A279" s="379">
        <f t="shared" si="19"/>
        <v>263</v>
      </c>
      <c r="B279" s="22" t="s">
        <v>177</v>
      </c>
      <c r="C279" s="10">
        <v>-85942.551999999967</v>
      </c>
      <c r="D279" s="10">
        <f t="shared" si="22"/>
        <v>-1289.5519999999669</v>
      </c>
      <c r="E279" s="16">
        <f>ROUND(C279*'Allocation Factors'!$G$16,0)</f>
        <v>-84653</v>
      </c>
      <c r="F279" s="10">
        <f>'Sch 5'!C266</f>
        <v>0</v>
      </c>
      <c r="G279" s="10">
        <f t="shared" si="23"/>
        <v>-84653</v>
      </c>
      <c r="H279" s="10"/>
      <c r="I279" s="15" t="s">
        <v>346</v>
      </c>
      <c r="J279" s="38"/>
    </row>
    <row r="280" spans="1:12" ht="14.1" customHeight="1">
      <c r="A280" s="379">
        <f t="shared" si="19"/>
        <v>264</v>
      </c>
      <c r="B280" s="22" t="s">
        <v>178</v>
      </c>
      <c r="C280" s="10">
        <v>1218961.4850000001</v>
      </c>
      <c r="D280" s="10">
        <f t="shared" si="22"/>
        <v>1218.4850000001024</v>
      </c>
      <c r="E280" s="16">
        <f>ROUND(C280*'Allocation Factors'!$G$18,0)</f>
        <v>1217743</v>
      </c>
      <c r="F280" s="10">
        <f>'Sch 5'!C267</f>
        <v>0</v>
      </c>
      <c r="G280" s="10">
        <f t="shared" si="23"/>
        <v>1217743</v>
      </c>
      <c r="H280" s="10"/>
      <c r="I280" s="15" t="s">
        <v>348</v>
      </c>
      <c r="J280" s="38"/>
    </row>
    <row r="281" spans="1:12" ht="14.1" customHeight="1">
      <c r="A281" s="379">
        <f t="shared" si="19"/>
        <v>265</v>
      </c>
      <c r="B281" s="22" t="s">
        <v>179</v>
      </c>
      <c r="C281" s="10">
        <v>2728993</v>
      </c>
      <c r="D281" s="10">
        <f t="shared" si="22"/>
        <v>40935</v>
      </c>
      <c r="E281" s="16">
        <f>ROUND(C281*'Allocation Factors'!$G$10,0)</f>
        <v>2688058</v>
      </c>
      <c r="F281" s="10">
        <f>'Sch 5'!C268</f>
        <v>0</v>
      </c>
      <c r="G281" s="10">
        <f t="shared" si="23"/>
        <v>2688058</v>
      </c>
      <c r="H281" s="10"/>
      <c r="I281" s="15" t="s">
        <v>341</v>
      </c>
      <c r="J281" s="38"/>
    </row>
    <row r="282" spans="1:12" ht="14.1" customHeight="1">
      <c r="A282" s="379">
        <f t="shared" si="19"/>
        <v>266</v>
      </c>
      <c r="B282" s="22" t="s">
        <v>180</v>
      </c>
      <c r="C282" s="10">
        <v>38925</v>
      </c>
      <c r="D282" s="10">
        <f t="shared" si="22"/>
        <v>584</v>
      </c>
      <c r="E282" s="16">
        <f>ROUND(C282*'Allocation Factors'!$G$16,0)</f>
        <v>38341</v>
      </c>
      <c r="F282" s="10">
        <f>'Sch 5'!C269</f>
        <v>0</v>
      </c>
      <c r="G282" s="10">
        <f t="shared" si="23"/>
        <v>38341</v>
      </c>
      <c r="H282" s="10"/>
      <c r="I282" s="15" t="s">
        <v>346</v>
      </c>
      <c r="J282" s="38"/>
    </row>
    <row r="283" spans="1:12" ht="14.1" customHeight="1">
      <c r="A283" s="379">
        <f t="shared" si="19"/>
        <v>267</v>
      </c>
      <c r="B283" s="22" t="s">
        <v>181</v>
      </c>
      <c r="C283" s="252">
        <v>2600</v>
      </c>
      <c r="D283" s="10">
        <f t="shared" si="22"/>
        <v>3</v>
      </c>
      <c r="E283" s="16">
        <f>ROUND(C283*'Allocation Factors'!$G$18,0)</f>
        <v>2597</v>
      </c>
      <c r="F283" s="10">
        <f>'Sch 5'!C270</f>
        <v>0</v>
      </c>
      <c r="G283" s="10">
        <f t="shared" si="23"/>
        <v>2597</v>
      </c>
      <c r="H283" s="10"/>
      <c r="I283" s="15" t="s">
        <v>348</v>
      </c>
      <c r="J283" s="38"/>
    </row>
    <row r="284" spans="1:12" ht="14.1" customHeight="1">
      <c r="A284" s="379">
        <f t="shared" si="19"/>
        <v>268</v>
      </c>
      <c r="B284" s="22" t="s">
        <v>182</v>
      </c>
      <c r="C284" s="252">
        <v>5210387.63</v>
      </c>
      <c r="D284" s="10">
        <f t="shared" si="22"/>
        <v>5210.6299999998882</v>
      </c>
      <c r="E284" s="16">
        <f>ROUND(C284*'Allocation Factors'!$G$18,0)</f>
        <v>5205177</v>
      </c>
      <c r="F284" s="10">
        <f>'Sch 5'!C271</f>
        <v>283945</v>
      </c>
      <c r="G284" s="10">
        <f t="shared" si="23"/>
        <v>5489122</v>
      </c>
      <c r="H284" s="10"/>
      <c r="I284" s="15" t="s">
        <v>348</v>
      </c>
      <c r="J284" s="38"/>
    </row>
    <row r="285" spans="1:12" ht="14.1" customHeight="1">
      <c r="A285" s="379">
        <f t="shared" si="19"/>
        <v>269</v>
      </c>
      <c r="B285" s="22" t="s">
        <v>183</v>
      </c>
      <c r="C285" s="43">
        <v>127093.43000000001</v>
      </c>
      <c r="D285" s="10">
        <f t="shared" si="22"/>
        <v>127.43000000000757</v>
      </c>
      <c r="E285" s="16">
        <f>ROUND(C285*'Allocation Factors'!$G$18,0)</f>
        <v>126966</v>
      </c>
      <c r="F285" s="10">
        <f>'Sch 5'!C272</f>
        <v>0</v>
      </c>
      <c r="G285" s="10">
        <f t="shared" si="23"/>
        <v>126966</v>
      </c>
      <c r="H285" s="10"/>
      <c r="I285" s="15" t="s">
        <v>348</v>
      </c>
      <c r="J285" s="38"/>
    </row>
    <row r="286" spans="1:12" ht="14.1" customHeight="1">
      <c r="A286" s="379">
        <f t="shared" si="19"/>
        <v>270</v>
      </c>
      <c r="B286" s="56" t="s">
        <v>184</v>
      </c>
      <c r="C286" s="43">
        <v>0</v>
      </c>
      <c r="D286" s="10">
        <f t="shared" si="22"/>
        <v>0</v>
      </c>
      <c r="E286" s="16">
        <f>ROUND(C286*'Allocation Factors'!$G$16,0)</f>
        <v>0</v>
      </c>
      <c r="F286" s="10">
        <f>'Sch 5'!C273</f>
        <v>0</v>
      </c>
      <c r="G286" s="10">
        <f t="shared" si="23"/>
        <v>0</v>
      </c>
      <c r="H286" s="10"/>
      <c r="I286" s="88" t="s">
        <v>346</v>
      </c>
      <c r="J286" s="38"/>
    </row>
    <row r="287" spans="1:12" s="21" customFormat="1" ht="14.1" customHeight="1">
      <c r="A287" s="379">
        <f t="shared" si="19"/>
        <v>271</v>
      </c>
      <c r="B287" s="20" t="s">
        <v>495</v>
      </c>
      <c r="C287" s="85">
        <f>SUM(C278:C286)</f>
        <v>9241017.9930000007</v>
      </c>
      <c r="D287" s="85">
        <f>SUM(D278:D286)</f>
        <v>46788.993000000031</v>
      </c>
      <c r="E287" s="85">
        <f>SUM(E278:E286)</f>
        <v>9194229</v>
      </c>
      <c r="F287" s="85">
        <f>SUM(F278:F286)</f>
        <v>283945</v>
      </c>
      <c r="G287" s="85">
        <f>SUM(G278:G286)</f>
        <v>9478174</v>
      </c>
      <c r="H287" s="85"/>
      <c r="I287" s="147"/>
      <c r="J287" s="38"/>
    </row>
    <row r="288" spans="1:12" s="21" customFormat="1" ht="14.1" customHeight="1">
      <c r="A288" s="379">
        <f t="shared" si="19"/>
        <v>272</v>
      </c>
      <c r="B288" s="129"/>
      <c r="C288" s="16"/>
      <c r="D288" s="16"/>
      <c r="E288" s="130"/>
      <c r="F288" s="16"/>
      <c r="G288" s="16"/>
      <c r="H288" s="16"/>
      <c r="I288" s="25"/>
      <c r="J288" s="38"/>
    </row>
    <row r="289" spans="1:15" s="21" customFormat="1" ht="14.1" customHeight="1">
      <c r="A289" s="379">
        <f t="shared" si="19"/>
        <v>273</v>
      </c>
      <c r="B289" s="13" t="s">
        <v>185</v>
      </c>
      <c r="C289" s="10"/>
      <c r="D289" s="19"/>
      <c r="E289" s="10"/>
      <c r="F289" s="10"/>
      <c r="G289" s="19"/>
      <c r="H289" s="19"/>
      <c r="I289" s="25"/>
      <c r="J289" s="38"/>
    </row>
    <row r="290" spans="1:15" s="21" customFormat="1" ht="14.1" customHeight="1">
      <c r="A290" s="379">
        <f t="shared" si="19"/>
        <v>274</v>
      </c>
      <c r="B290" s="22" t="s">
        <v>186</v>
      </c>
      <c r="C290" s="10">
        <v>71925.999999991094</v>
      </c>
      <c r="D290" s="10">
        <f t="shared" ref="D290:D298" si="24">C290-E290</f>
        <v>1006.9999999910942</v>
      </c>
      <c r="E290" s="10">
        <f>ROUND(C290*'Allocation Factors'!$G$14,0)</f>
        <v>70919</v>
      </c>
      <c r="F290" s="10">
        <f>'Sch 5'!C277</f>
        <v>0</v>
      </c>
      <c r="G290" s="10">
        <f>E290+F290</f>
        <v>70919</v>
      </c>
      <c r="H290" s="10"/>
      <c r="I290" s="25" t="s">
        <v>344</v>
      </c>
      <c r="J290" s="38"/>
      <c r="K290" s="88"/>
      <c r="L290" s="88"/>
      <c r="M290" s="88"/>
      <c r="N290" s="88"/>
      <c r="O290" s="88"/>
    </row>
    <row r="291" spans="1:15" ht="14.1" customHeight="1">
      <c r="A291" s="379">
        <f t="shared" si="19"/>
        <v>275</v>
      </c>
      <c r="B291" s="22" t="s">
        <v>822</v>
      </c>
      <c r="C291" s="10">
        <v>-196262.61</v>
      </c>
      <c r="D291" s="10">
        <f t="shared" si="24"/>
        <v>0</v>
      </c>
      <c r="E291" s="10">
        <f>C291</f>
        <v>-196262.61</v>
      </c>
      <c r="F291" s="10">
        <f>'Sch 5'!C278</f>
        <v>196263</v>
      </c>
      <c r="G291" s="10">
        <f>E291+F291</f>
        <v>0.39000000001396984</v>
      </c>
      <c r="H291" s="10"/>
      <c r="I291" s="15" t="s">
        <v>54</v>
      </c>
      <c r="J291" s="38"/>
    </row>
    <row r="292" spans="1:15" ht="14.1" customHeight="1">
      <c r="A292" s="379">
        <f t="shared" si="19"/>
        <v>276</v>
      </c>
      <c r="B292" s="22" t="s">
        <v>819</v>
      </c>
      <c r="C292" s="10">
        <v>54517.5</v>
      </c>
      <c r="D292" s="10">
        <f t="shared" si="24"/>
        <v>54517.5</v>
      </c>
      <c r="E292" s="16">
        <v>0</v>
      </c>
      <c r="F292" s="10">
        <f>'Sch 5'!C279</f>
        <v>0</v>
      </c>
      <c r="G292" s="10">
        <f t="shared" ref="G292:G298" si="25">E292+F292</f>
        <v>0</v>
      </c>
      <c r="H292" s="10"/>
      <c r="I292" s="15" t="s">
        <v>54</v>
      </c>
      <c r="J292" s="38"/>
    </row>
    <row r="293" spans="1:15" ht="14.1" customHeight="1">
      <c r="A293" s="379">
        <f t="shared" si="19"/>
        <v>277</v>
      </c>
      <c r="B293" s="22" t="s">
        <v>815</v>
      </c>
      <c r="C293" s="10">
        <v>-39964924</v>
      </c>
      <c r="D293" s="10">
        <f t="shared" si="24"/>
        <v>0</v>
      </c>
      <c r="E293" s="10">
        <f>C293</f>
        <v>-39964924</v>
      </c>
      <c r="F293" s="10">
        <f>'Sch 5'!C280</f>
        <v>-2049774</v>
      </c>
      <c r="G293" s="10">
        <f>E293+F293</f>
        <v>-42014698</v>
      </c>
      <c r="H293" s="10"/>
      <c r="I293" s="25" t="s">
        <v>54</v>
      </c>
      <c r="J293" s="38"/>
    </row>
    <row r="294" spans="1:15" ht="14.1" customHeight="1">
      <c r="A294" s="379">
        <f t="shared" si="19"/>
        <v>278</v>
      </c>
      <c r="B294" s="22" t="s">
        <v>816</v>
      </c>
      <c r="C294" s="10">
        <v>-166622.85</v>
      </c>
      <c r="D294" s="10">
        <f t="shared" si="24"/>
        <v>0</v>
      </c>
      <c r="E294" s="10">
        <f>C294</f>
        <v>-166622.85</v>
      </c>
      <c r="F294" s="10">
        <f>'Sch 5'!C281</f>
        <v>-8413</v>
      </c>
      <c r="G294" s="10">
        <f t="shared" si="25"/>
        <v>-175035.85</v>
      </c>
      <c r="H294" s="10"/>
      <c r="I294" s="25" t="s">
        <v>54</v>
      </c>
      <c r="J294" s="38"/>
    </row>
    <row r="295" spans="1:15" ht="14.1" customHeight="1">
      <c r="A295" s="379">
        <f t="shared" si="19"/>
        <v>279</v>
      </c>
      <c r="B295" s="22" t="s">
        <v>820</v>
      </c>
      <c r="C295" s="10">
        <v>60397759.630000003</v>
      </c>
      <c r="D295" s="10">
        <f t="shared" si="24"/>
        <v>905966.63000000268</v>
      </c>
      <c r="E295" s="10">
        <f>ROUND(C295*'Allocation Factors'!$G$16,0)</f>
        <v>59491793</v>
      </c>
      <c r="F295" s="10">
        <f>'Sch 5'!C282</f>
        <v>0</v>
      </c>
      <c r="G295" s="10">
        <f t="shared" si="25"/>
        <v>59491793</v>
      </c>
      <c r="H295" s="10"/>
      <c r="I295" s="15" t="s">
        <v>346</v>
      </c>
      <c r="J295" s="38"/>
    </row>
    <row r="296" spans="1:15" ht="14.1" customHeight="1">
      <c r="A296" s="379">
        <f t="shared" si="19"/>
        <v>280</v>
      </c>
      <c r="B296" s="22" t="s">
        <v>817</v>
      </c>
      <c r="C296" s="10">
        <v>3825397.34</v>
      </c>
      <c r="D296" s="10">
        <f t="shared" si="24"/>
        <v>3825397.34</v>
      </c>
      <c r="E296" s="10">
        <v>0</v>
      </c>
      <c r="F296" s="10">
        <f>'Sch 5'!C283</f>
        <v>0</v>
      </c>
      <c r="G296" s="10">
        <f t="shared" si="25"/>
        <v>0</v>
      </c>
      <c r="H296" s="10"/>
      <c r="I296" s="25" t="s">
        <v>54</v>
      </c>
      <c r="J296" s="38"/>
    </row>
    <row r="297" spans="1:15" ht="14.1" customHeight="1">
      <c r="A297" s="379">
        <f t="shared" si="19"/>
        <v>281</v>
      </c>
      <c r="B297" s="22" t="s">
        <v>818</v>
      </c>
      <c r="C297" s="10">
        <v>0</v>
      </c>
      <c r="D297" s="10">
        <f t="shared" si="24"/>
        <v>0</v>
      </c>
      <c r="E297" s="16">
        <f>ROUND(C297*'Allocation Factors'!$G$16,0)</f>
        <v>0</v>
      </c>
      <c r="F297" s="10">
        <f>'Sch 5'!C284</f>
        <v>0</v>
      </c>
      <c r="G297" s="10">
        <f t="shared" si="25"/>
        <v>0</v>
      </c>
      <c r="H297" s="10"/>
      <c r="I297" s="15" t="s">
        <v>346</v>
      </c>
      <c r="J297" s="38"/>
    </row>
    <row r="298" spans="1:15" ht="14.1" customHeight="1">
      <c r="A298" s="379">
        <f t="shared" si="19"/>
        <v>282</v>
      </c>
      <c r="B298" s="22" t="s">
        <v>821</v>
      </c>
      <c r="C298" s="10">
        <v>243039.05</v>
      </c>
      <c r="D298" s="10">
        <f t="shared" si="24"/>
        <v>243.04999999998836</v>
      </c>
      <c r="E298" s="16">
        <f>ROUND(C298*'Allocation Factors'!$G$18,0)</f>
        <v>242796</v>
      </c>
      <c r="F298" s="10">
        <f>'Sch 5'!C285</f>
        <v>0</v>
      </c>
      <c r="G298" s="10">
        <f t="shared" si="25"/>
        <v>242796</v>
      </c>
      <c r="H298" s="10"/>
      <c r="I298" s="15" t="s">
        <v>348</v>
      </c>
      <c r="J298" s="38"/>
    </row>
    <row r="299" spans="1:15" ht="14.1" customHeight="1">
      <c r="A299" s="379">
        <f t="shared" si="19"/>
        <v>283</v>
      </c>
      <c r="B299" s="20" t="s">
        <v>496</v>
      </c>
      <c r="C299" s="85">
        <f>SUM(C290:C298)</f>
        <v>24264830.059999995</v>
      </c>
      <c r="D299" s="85">
        <f>SUM(D290:D298)</f>
        <v>4787131.519999993</v>
      </c>
      <c r="E299" s="85">
        <f>SUM(E290:E298)</f>
        <v>19477698.539999999</v>
      </c>
      <c r="F299" s="85">
        <f>SUM(F290:F298)</f>
        <v>-1861924</v>
      </c>
      <c r="G299" s="85">
        <f>SUM(G290:G298)</f>
        <v>17615774.539999999</v>
      </c>
      <c r="H299" s="85"/>
      <c r="I299" s="147"/>
      <c r="J299" s="38"/>
    </row>
    <row r="300" spans="1:15" ht="14.1" customHeight="1">
      <c r="A300" s="379">
        <f t="shared" si="19"/>
        <v>284</v>
      </c>
      <c r="B300" s="57"/>
      <c r="C300" s="151"/>
      <c r="D300" s="151"/>
      <c r="E300" s="58"/>
      <c r="F300" s="151"/>
      <c r="G300" s="64"/>
      <c r="H300" s="64"/>
      <c r="I300" s="135"/>
      <c r="J300" s="38"/>
    </row>
    <row r="301" spans="1:15" ht="14.1" customHeight="1">
      <c r="A301" s="379">
        <f t="shared" si="19"/>
        <v>285</v>
      </c>
      <c r="B301" s="20" t="s">
        <v>497</v>
      </c>
      <c r="C301" s="16">
        <f>SUM(C275:C276,C287,C299)</f>
        <v>38194168.552999996</v>
      </c>
      <c r="D301" s="16">
        <f>SUM(D275:D276,D287,D299)</f>
        <v>4833920.5129999928</v>
      </c>
      <c r="E301" s="16">
        <f>SUM(E275:E276,E287,E299)</f>
        <v>33360248.539999999</v>
      </c>
      <c r="F301" s="16">
        <f>SUM(F275:F276,F287,F299)</f>
        <v>-1577979</v>
      </c>
      <c r="G301" s="16">
        <f>G299+G287+G276+G275</f>
        <v>31782269.539999999</v>
      </c>
      <c r="H301" s="16"/>
      <c r="I301" s="17"/>
      <c r="J301" s="38"/>
    </row>
    <row r="302" spans="1:15" ht="14.1" customHeight="1">
      <c r="A302" s="379">
        <f t="shared" si="19"/>
        <v>286</v>
      </c>
      <c r="B302" s="57"/>
      <c r="C302" s="151"/>
      <c r="D302" s="151"/>
      <c r="E302" s="58"/>
      <c r="F302" s="151"/>
      <c r="G302" s="151"/>
      <c r="H302" s="151"/>
      <c r="I302" s="152"/>
      <c r="J302" s="38"/>
    </row>
    <row r="303" spans="1:15" ht="14.1" customHeight="1">
      <c r="A303" s="379">
        <f t="shared" si="19"/>
        <v>287</v>
      </c>
      <c r="B303" s="20" t="s">
        <v>498</v>
      </c>
      <c r="C303" s="50">
        <f>+C264+C265+C266+C272+C301</f>
        <v>602134472.04299986</v>
      </c>
      <c r="D303" s="50">
        <f>+D264+D265+D266+D272+D301</f>
        <v>10339020.884059992</v>
      </c>
      <c r="E303" s="50">
        <f>+E264+E265+E266+E272+E301</f>
        <v>591795451.65893996</v>
      </c>
      <c r="F303" s="50">
        <f>+F264+F265+F266+F272+F301</f>
        <v>-57413104.472561792</v>
      </c>
      <c r="G303" s="50">
        <f>+G264+G265+G266+G272+G301</f>
        <v>534382347.18637818</v>
      </c>
      <c r="H303" s="99">
        <f>ROUND(E303/C303,3)</f>
        <v>0.98299999999999998</v>
      </c>
      <c r="I303" s="51"/>
      <c r="J303" s="38"/>
    </row>
    <row r="304" spans="1:15" ht="14.1" customHeight="1">
      <c r="A304" s="379">
        <f t="shared" si="19"/>
        <v>288</v>
      </c>
      <c r="B304" s="22"/>
      <c r="C304" s="10"/>
      <c r="D304" s="10"/>
      <c r="E304" s="11"/>
      <c r="F304" s="10"/>
      <c r="G304" s="10"/>
      <c r="H304" s="10"/>
      <c r="I304" s="15"/>
      <c r="J304" s="38"/>
    </row>
    <row r="305" spans="1:15" ht="14.1" customHeight="1">
      <c r="A305" s="379">
        <f t="shared" si="19"/>
        <v>289</v>
      </c>
      <c r="B305" s="42" t="s">
        <v>187</v>
      </c>
      <c r="C305" s="10"/>
      <c r="D305" s="10"/>
      <c r="E305" s="10"/>
      <c r="F305" s="10"/>
      <c r="G305" s="10"/>
      <c r="H305" s="10"/>
      <c r="I305" s="15"/>
      <c r="J305" s="38"/>
    </row>
    <row r="306" spans="1:15" ht="14.1" customHeight="1">
      <c r="A306" s="379">
        <f t="shared" si="19"/>
        <v>290</v>
      </c>
      <c r="B306" s="13" t="s">
        <v>188</v>
      </c>
      <c r="C306" s="10"/>
      <c r="D306" s="10"/>
      <c r="E306" s="10"/>
      <c r="F306" s="10"/>
      <c r="G306" s="10"/>
      <c r="H306" s="10"/>
      <c r="I306" s="15"/>
      <c r="J306" s="38"/>
    </row>
    <row r="307" spans="1:15" ht="14.1" customHeight="1">
      <c r="A307" s="379">
        <f t="shared" si="19"/>
        <v>291</v>
      </c>
      <c r="B307" s="22" t="s">
        <v>189</v>
      </c>
      <c r="C307" s="10">
        <f>4305756.63+63086.35</f>
        <v>4368842.9799999995</v>
      </c>
      <c r="D307" s="10">
        <f t="shared" ref="D307:D319" si="26">C307-E307</f>
        <v>65532.979999999516</v>
      </c>
      <c r="E307" s="10">
        <f>ROUND(J307+(C307-J307)*'Allocation Factors'!$G$10,0)</f>
        <v>4303310</v>
      </c>
      <c r="F307" s="10">
        <f>'Sch 5'!C294</f>
        <v>-22038.03</v>
      </c>
      <c r="G307" s="10">
        <f>E307+F307</f>
        <v>4281271.97</v>
      </c>
      <c r="H307" s="10"/>
      <c r="I307" s="15" t="s">
        <v>341</v>
      </c>
      <c r="J307" s="10"/>
    </row>
    <row r="308" spans="1:15" ht="14.1" customHeight="1">
      <c r="A308" s="379">
        <f t="shared" si="19"/>
        <v>292</v>
      </c>
      <c r="B308" s="22" t="s">
        <v>383</v>
      </c>
      <c r="C308" s="10">
        <f>5357817.48+53538422.98+2777089.64+20151198.76+1162.3</f>
        <v>81825691.159999996</v>
      </c>
      <c r="D308" s="10">
        <f t="shared" si="26"/>
        <v>1145560.1599999964</v>
      </c>
      <c r="E308" s="10">
        <f>ROUND(J308+(C308-J308)*'Allocation Factors'!$G$14,0)</f>
        <v>80680131</v>
      </c>
      <c r="F308" s="10">
        <f>'Sch 5'!C295</f>
        <v>5260993.6399999997</v>
      </c>
      <c r="G308" s="10">
        <f>E308+F308</f>
        <v>85941124.640000001</v>
      </c>
      <c r="H308" s="10"/>
      <c r="I308" s="15" t="s">
        <v>344</v>
      </c>
      <c r="J308" s="38"/>
    </row>
    <row r="309" spans="1:15" ht="14.1" customHeight="1">
      <c r="A309" s="379">
        <f t="shared" si="19"/>
        <v>293</v>
      </c>
      <c r="B309" s="22" t="s">
        <v>884</v>
      </c>
      <c r="C309" s="10">
        <f>6075143.98+1772.7</f>
        <v>6076916.6800000006</v>
      </c>
      <c r="D309" s="10">
        <f t="shared" si="26"/>
        <v>91153.680000000633</v>
      </c>
      <c r="E309" s="10">
        <f>ROUND(C309*'Allocation Factors'!$G$10,0)</f>
        <v>5985763</v>
      </c>
      <c r="F309" s="10">
        <f>'Sch 5'!C296</f>
        <v>0</v>
      </c>
      <c r="G309" s="10">
        <f>E309+F309</f>
        <v>5985763</v>
      </c>
      <c r="H309" s="10"/>
      <c r="I309" s="15" t="s">
        <v>341</v>
      </c>
      <c r="J309" s="38"/>
    </row>
    <row r="310" spans="1:15" ht="14.1" customHeight="1">
      <c r="A310" s="379">
        <f t="shared" si="19"/>
        <v>294</v>
      </c>
      <c r="B310" s="22" t="s">
        <v>384</v>
      </c>
      <c r="C310" s="10">
        <f>2202038.35-31408.29-1711458.11+378543.7-573604.65+37450.58</f>
        <v>301561.5799999999</v>
      </c>
      <c r="D310" s="10">
        <f t="shared" si="26"/>
        <v>4221.5799999998999</v>
      </c>
      <c r="E310" s="10">
        <f>ROUND(C310*'Allocation Factors'!$G$14,0)</f>
        <v>297340</v>
      </c>
      <c r="F310" s="10">
        <f>'Sch 5'!C297</f>
        <v>427325</v>
      </c>
      <c r="G310" s="10">
        <f>E310+F310</f>
        <v>724665</v>
      </c>
      <c r="H310" s="10"/>
      <c r="I310" s="15" t="s">
        <v>344</v>
      </c>
      <c r="J310" s="38"/>
    </row>
    <row r="311" spans="1:15" s="21" customFormat="1" ht="14.1" customHeight="1">
      <c r="A311" s="379">
        <f t="shared" ref="A311:A374" si="27">+A310+1</f>
        <v>295</v>
      </c>
      <c r="B311" s="22" t="s">
        <v>320</v>
      </c>
      <c r="C311" s="10">
        <v>2988120.6500000004</v>
      </c>
      <c r="D311" s="10">
        <f t="shared" si="26"/>
        <v>-0.34999999962747097</v>
      </c>
      <c r="E311" s="10">
        <f>ROUND(C311*'Allocation Factors'!$G$34,0)</f>
        <v>2988121</v>
      </c>
      <c r="F311" s="10">
        <f>'Sch 5'!C298</f>
        <v>2822903</v>
      </c>
      <c r="G311" s="10">
        <f t="shared" ref="G311:G319" si="28">E311+F311</f>
        <v>5811024</v>
      </c>
      <c r="H311" s="10"/>
      <c r="I311" s="15" t="s">
        <v>362</v>
      </c>
      <c r="J311" s="38"/>
      <c r="K311" s="88"/>
      <c r="L311" s="88"/>
    </row>
    <row r="312" spans="1:15" ht="14.1" customHeight="1">
      <c r="A312" s="379">
        <f t="shared" si="27"/>
        <v>296</v>
      </c>
      <c r="B312" s="22" t="s">
        <v>700</v>
      </c>
      <c r="C312" s="10">
        <f>1036946.14+692915.25+278494.51+3030069.62+261324.14+235496.42</f>
        <v>5535246.0800000001</v>
      </c>
      <c r="D312" s="10">
        <f t="shared" si="26"/>
        <v>79375.080000000075</v>
      </c>
      <c r="E312" s="10">
        <f>ROUND(((((C312)*0.34)*'Allocation Factors'!$G$10)+(((C312)*0.66)*'Allocation Factors'!$G$14)),0)</f>
        <v>5455871</v>
      </c>
      <c r="F312" s="10">
        <f>'Sch 5'!C299</f>
        <v>-3392229.92</v>
      </c>
      <c r="G312" s="10">
        <f t="shared" si="28"/>
        <v>2063641.08</v>
      </c>
      <c r="H312" s="10"/>
      <c r="I312" s="15" t="s">
        <v>367</v>
      </c>
      <c r="J312" s="38"/>
    </row>
    <row r="313" spans="1:15" ht="14.1" customHeight="1">
      <c r="A313" s="379">
        <f t="shared" si="27"/>
        <v>297</v>
      </c>
      <c r="B313" s="22" t="s">
        <v>190</v>
      </c>
      <c r="C313" s="10">
        <v>0</v>
      </c>
      <c r="D313" s="10">
        <f t="shared" si="26"/>
        <v>0</v>
      </c>
      <c r="E313" s="10">
        <f>ROUND(C313*'Allocation Factors'!$G$10,0)</f>
        <v>0</v>
      </c>
      <c r="F313" s="10">
        <f>'Sch 5'!C300</f>
        <v>0</v>
      </c>
      <c r="G313" s="10">
        <f t="shared" si="28"/>
        <v>0</v>
      </c>
      <c r="H313" s="10"/>
      <c r="I313" s="15" t="s">
        <v>341</v>
      </c>
      <c r="J313" s="38"/>
    </row>
    <row r="314" spans="1:15" ht="14.1" customHeight="1">
      <c r="A314" s="379">
        <f t="shared" si="27"/>
        <v>298</v>
      </c>
      <c r="B314" s="22" t="s">
        <v>191</v>
      </c>
      <c r="C314" s="10">
        <v>0</v>
      </c>
      <c r="D314" s="10">
        <f t="shared" si="26"/>
        <v>0</v>
      </c>
      <c r="E314" s="10">
        <f>ROUND(C314*'Allocation Factors'!$G$10,0)</f>
        <v>0</v>
      </c>
      <c r="F314" s="10">
        <f>'Sch 5'!C301</f>
        <v>0</v>
      </c>
      <c r="G314" s="10">
        <f t="shared" si="28"/>
        <v>0</v>
      </c>
      <c r="H314" s="10"/>
      <c r="I314" s="15" t="s">
        <v>341</v>
      </c>
      <c r="J314" s="38"/>
    </row>
    <row r="315" spans="1:15" ht="14.1" customHeight="1">
      <c r="A315" s="379">
        <f t="shared" si="27"/>
        <v>299</v>
      </c>
      <c r="B315" s="22" t="s">
        <v>192</v>
      </c>
      <c r="C315" s="10">
        <v>3169.7700000000004</v>
      </c>
      <c r="D315" s="10">
        <f t="shared" si="26"/>
        <v>45.770000000000437</v>
      </c>
      <c r="E315" s="10">
        <f>ROUND(((((C315)*0.34)*'Allocation Factors'!$G$10)+(((C315)*0.66)*'Allocation Factors'!$G$14)),0)</f>
        <v>3124</v>
      </c>
      <c r="F315" s="10">
        <f>'Sch 5'!C302</f>
        <v>-7</v>
      </c>
      <c r="G315" s="10">
        <f t="shared" si="28"/>
        <v>3117</v>
      </c>
      <c r="H315" s="10"/>
      <c r="I315" s="15" t="s">
        <v>367</v>
      </c>
      <c r="J315" s="38"/>
    </row>
    <row r="316" spans="1:15" s="21" customFormat="1" ht="14.1" customHeight="1">
      <c r="A316" s="379">
        <f t="shared" si="27"/>
        <v>300</v>
      </c>
      <c r="B316" s="22" t="s">
        <v>193</v>
      </c>
      <c r="C316" s="10">
        <f>7418875.54+51788.06+768.7</f>
        <v>7471432.2999999998</v>
      </c>
      <c r="D316" s="10">
        <f t="shared" si="26"/>
        <v>112071.29999999981</v>
      </c>
      <c r="E316" s="10">
        <f>ROUND(J316+(C316-J316)*'Allocation Factors'!$G$10,0)</f>
        <v>7359361</v>
      </c>
      <c r="F316" s="10">
        <f>'Sch 5'!C303</f>
        <v>-1497622.17</v>
      </c>
      <c r="G316" s="10">
        <f t="shared" si="28"/>
        <v>5861738.8300000001</v>
      </c>
      <c r="H316" s="10"/>
      <c r="I316" s="15" t="s">
        <v>341</v>
      </c>
      <c r="J316" s="10"/>
      <c r="K316" s="88"/>
    </row>
    <row r="317" spans="1:15" s="21" customFormat="1" ht="14.1" customHeight="1">
      <c r="A317" s="379">
        <f t="shared" si="27"/>
        <v>301</v>
      </c>
      <c r="B317" s="22" t="s">
        <v>194</v>
      </c>
      <c r="C317" s="10">
        <v>0</v>
      </c>
      <c r="D317" s="10">
        <f>C317-E317</f>
        <v>0</v>
      </c>
      <c r="E317" s="10">
        <f>ROUND(C317*'Allocation Factors'!$G$10,0)</f>
        <v>0</v>
      </c>
      <c r="F317" s="10">
        <f>'Sch 5'!C304</f>
        <v>0</v>
      </c>
      <c r="G317" s="10">
        <f t="shared" si="28"/>
        <v>0</v>
      </c>
      <c r="H317" s="10"/>
      <c r="I317" s="15" t="s">
        <v>341</v>
      </c>
      <c r="J317" s="38"/>
      <c r="K317" s="88"/>
      <c r="L317" s="88"/>
      <c r="M317" s="88"/>
      <c r="N317" s="88"/>
      <c r="O317" s="88"/>
    </row>
    <row r="318" spans="1:15" ht="14.1" customHeight="1">
      <c r="A318" s="379">
        <f t="shared" si="27"/>
        <v>302</v>
      </c>
      <c r="B318" s="22" t="s">
        <v>881</v>
      </c>
      <c r="C318" s="10">
        <v>0</v>
      </c>
      <c r="D318" s="10">
        <f t="shared" si="26"/>
        <v>0</v>
      </c>
      <c r="E318" s="10">
        <f>ROUND(C318*'Allocation Factors'!$G$10,0)</f>
        <v>0</v>
      </c>
      <c r="F318" s="10">
        <f>'Sch 5'!C305</f>
        <v>0</v>
      </c>
      <c r="G318" s="10">
        <f t="shared" si="28"/>
        <v>0</v>
      </c>
      <c r="H318" s="10"/>
      <c r="I318" s="15" t="s">
        <v>341</v>
      </c>
      <c r="J318" s="38"/>
    </row>
    <row r="319" spans="1:15" ht="14.1" customHeight="1">
      <c r="A319" s="379">
        <f t="shared" si="27"/>
        <v>303</v>
      </c>
      <c r="B319" s="56" t="s">
        <v>195</v>
      </c>
      <c r="C319" s="10">
        <f>136003.8+1399.18+36802.55</f>
        <v>174205.52999999997</v>
      </c>
      <c r="D319" s="10">
        <f t="shared" si="26"/>
        <v>2438.5299999999697</v>
      </c>
      <c r="E319" s="10">
        <f>ROUND(C319*'Allocation Factors'!$G$14,0)</f>
        <v>171767</v>
      </c>
      <c r="F319" s="10">
        <f>'Sch 5'!C306</f>
        <v>0</v>
      </c>
      <c r="G319" s="10">
        <f t="shared" si="28"/>
        <v>171767</v>
      </c>
      <c r="H319" s="10"/>
      <c r="I319" s="15" t="s">
        <v>344</v>
      </c>
      <c r="J319" s="38"/>
    </row>
    <row r="320" spans="1:15" ht="14.1" customHeight="1">
      <c r="A320" s="379">
        <f t="shared" si="27"/>
        <v>304</v>
      </c>
      <c r="B320" s="20" t="s">
        <v>499</v>
      </c>
      <c r="C320" s="85">
        <f>SUM(C307:C319)</f>
        <v>108745186.73</v>
      </c>
      <c r="D320" s="85">
        <f>SUM(D307:D319)</f>
        <v>1500398.7299999967</v>
      </c>
      <c r="E320" s="85">
        <f>SUM(E307:E319)</f>
        <v>107244788</v>
      </c>
      <c r="F320" s="85">
        <f>SUM(F307:F319)</f>
        <v>3599324.5199999996</v>
      </c>
      <c r="G320" s="85">
        <f>SUM(G307:G319)</f>
        <v>110844112.52</v>
      </c>
      <c r="H320" s="85"/>
      <c r="I320" s="147"/>
      <c r="J320" s="38"/>
    </row>
    <row r="321" spans="1:11" ht="14.1" customHeight="1">
      <c r="A321" s="379">
        <f t="shared" si="27"/>
        <v>305</v>
      </c>
      <c r="B321" s="23"/>
      <c r="C321" s="16"/>
      <c r="D321" s="142"/>
      <c r="E321" s="130"/>
      <c r="F321" s="16"/>
      <c r="G321" s="43"/>
      <c r="H321" s="43"/>
      <c r="I321" s="15"/>
      <c r="J321" s="38"/>
    </row>
    <row r="322" spans="1:11" ht="14.1" customHeight="1">
      <c r="A322" s="379">
        <f t="shared" si="27"/>
        <v>306</v>
      </c>
      <c r="B322" s="22" t="s">
        <v>197</v>
      </c>
      <c r="C322" s="10">
        <v>2067297.41</v>
      </c>
      <c r="D322" s="10">
        <f>C322-E322</f>
        <v>31009.409999999916</v>
      </c>
      <c r="E322" s="10">
        <f>ROUND(C322*'Allocation Factors'!$G$10,0)</f>
        <v>2036288</v>
      </c>
      <c r="F322" s="10">
        <f>'Sch 5'!C309</f>
        <v>-138481.42000000001</v>
      </c>
      <c r="G322" s="10">
        <f>E322+F322</f>
        <v>1897806.58</v>
      </c>
      <c r="H322" s="10"/>
      <c r="I322" s="15" t="s">
        <v>341</v>
      </c>
      <c r="J322" s="38"/>
    </row>
    <row r="323" spans="1:11" ht="14.1" customHeight="1">
      <c r="A323" s="379">
        <f t="shared" si="27"/>
        <v>307</v>
      </c>
      <c r="B323" s="22" t="s">
        <v>198</v>
      </c>
      <c r="C323" s="10">
        <v>1555134.22</v>
      </c>
      <c r="D323" s="10">
        <f>C323-E323</f>
        <v>23327.219999999972</v>
      </c>
      <c r="E323" s="10">
        <f>ROUND(J323+(C323-J323)*'Allocation Factors'!$G$10,0)</f>
        <v>1531807</v>
      </c>
      <c r="F323" s="10">
        <f>'Sch 5'!C310</f>
        <v>-8349.67</v>
      </c>
      <c r="G323" s="10">
        <f>E323+F323</f>
        <v>1523457.33</v>
      </c>
      <c r="H323" s="10"/>
      <c r="I323" s="15" t="s">
        <v>341</v>
      </c>
      <c r="J323" s="10"/>
    </row>
    <row r="324" spans="1:11" ht="13.5" customHeight="1">
      <c r="A324" s="379">
        <f t="shared" si="27"/>
        <v>308</v>
      </c>
      <c r="B324" s="22" t="s">
        <v>199</v>
      </c>
      <c r="C324" s="10">
        <f>11650569.73-28.64-260030.7</f>
        <v>11390510.390000001</v>
      </c>
      <c r="D324" s="10">
        <f>C324-E324</f>
        <v>163340.3900000006</v>
      </c>
      <c r="E324" s="10">
        <f>ROUND(((((C324-J324)*0.34)*'Allocation Factors'!$G$10)+(((C324-J324)*0.66)*'Allocation Factors'!$G$14)),0)+J324</f>
        <v>11227170</v>
      </c>
      <c r="F324" s="10">
        <f>'Sch 5'!C311</f>
        <v>-640608.1</v>
      </c>
      <c r="G324" s="10">
        <f>E324+F324</f>
        <v>10586561.9</v>
      </c>
      <c r="H324" s="10"/>
      <c r="I324" s="15" t="s">
        <v>367</v>
      </c>
      <c r="J324" s="10"/>
    </row>
    <row r="325" spans="1:11" ht="14.1" customHeight="1">
      <c r="A325" s="379">
        <f t="shared" si="27"/>
        <v>309</v>
      </c>
      <c r="B325" s="22" t="s">
        <v>200</v>
      </c>
      <c r="C325" s="10">
        <v>4058356.42</v>
      </c>
      <c r="D325" s="10">
        <f>C325-E325</f>
        <v>60875.419999999925</v>
      </c>
      <c r="E325" s="10">
        <f>ROUND(J325+(C325-J325)*'Allocation Factors'!$G$10,0)</f>
        <v>3997481</v>
      </c>
      <c r="F325" s="10">
        <f>'Sch 5'!C312</f>
        <v>-100369.44</v>
      </c>
      <c r="G325" s="10">
        <f>E325+F325</f>
        <v>3897111.56</v>
      </c>
      <c r="H325" s="10"/>
      <c r="I325" s="15" t="s">
        <v>341</v>
      </c>
      <c r="J325" s="10"/>
    </row>
    <row r="326" spans="1:11" ht="14.1" customHeight="1">
      <c r="A326" s="379">
        <f t="shared" si="27"/>
        <v>310</v>
      </c>
      <c r="B326" s="56" t="s">
        <v>201</v>
      </c>
      <c r="C326" s="10">
        <v>1682242.75</v>
      </c>
      <c r="D326" s="10">
        <f>C326-E326</f>
        <v>25233.75</v>
      </c>
      <c r="E326" s="10">
        <f>ROUND(J326+(C326-J326)*'Allocation Factors'!$G$10,0)</f>
        <v>1657009</v>
      </c>
      <c r="F326" s="10">
        <f>'Sch 5'!C313</f>
        <v>-55942.22</v>
      </c>
      <c r="G326" s="10">
        <f>E326+F326</f>
        <v>1601066.78</v>
      </c>
      <c r="H326" s="10"/>
      <c r="I326" s="15" t="s">
        <v>341</v>
      </c>
      <c r="J326" s="38"/>
    </row>
    <row r="327" spans="1:11" ht="14.1" customHeight="1">
      <c r="A327" s="379">
        <f t="shared" si="27"/>
        <v>311</v>
      </c>
      <c r="B327" s="20" t="s">
        <v>500</v>
      </c>
      <c r="C327" s="85">
        <f>SUM(C322:C326)</f>
        <v>20753541.189999998</v>
      </c>
      <c r="D327" s="85">
        <f>SUM(D322:D326)</f>
        <v>303786.19000000041</v>
      </c>
      <c r="E327" s="85">
        <f>SUM(E322:E326)</f>
        <v>20449755</v>
      </c>
      <c r="F327" s="85">
        <f>SUM(F322:F326)</f>
        <v>-943750.84999999986</v>
      </c>
      <c r="G327" s="85">
        <f>SUM(G322:G326)</f>
        <v>19506004.150000002</v>
      </c>
      <c r="H327" s="85"/>
      <c r="I327" s="147"/>
      <c r="J327" s="38"/>
    </row>
    <row r="328" spans="1:11" ht="14.1" customHeight="1">
      <c r="A328" s="379">
        <f t="shared" si="27"/>
        <v>312</v>
      </c>
      <c r="B328" s="57"/>
      <c r="C328" s="151"/>
      <c r="D328" s="151"/>
      <c r="E328" s="58"/>
      <c r="F328" s="151"/>
      <c r="G328" s="64"/>
      <c r="H328" s="64"/>
      <c r="I328" s="135"/>
      <c r="J328" s="38"/>
    </row>
    <row r="329" spans="1:11" ht="14.1" customHeight="1">
      <c r="A329" s="379">
        <f t="shared" si="27"/>
        <v>313</v>
      </c>
      <c r="B329" s="20" t="s">
        <v>202</v>
      </c>
      <c r="C329" s="16">
        <f>+C327+C320</f>
        <v>129498727.92</v>
      </c>
      <c r="D329" s="16">
        <f>+D327+D320</f>
        <v>1804184.9199999971</v>
      </c>
      <c r="E329" s="16">
        <f>+E327+E320</f>
        <v>127694543</v>
      </c>
      <c r="F329" s="16">
        <f>+F327+F320</f>
        <v>2655573.67</v>
      </c>
      <c r="G329" s="16">
        <f>+G327+G320</f>
        <v>130350116.67</v>
      </c>
      <c r="H329" s="16"/>
      <c r="I329" s="17"/>
      <c r="J329" s="38"/>
    </row>
    <row r="330" spans="1:11" ht="14.1" customHeight="1">
      <c r="A330" s="379">
        <f t="shared" si="27"/>
        <v>314</v>
      </c>
      <c r="B330" s="129"/>
      <c r="C330" s="16"/>
      <c r="D330" s="16"/>
      <c r="E330" s="12"/>
      <c r="F330" s="16"/>
      <c r="G330" s="43"/>
      <c r="H330" s="43"/>
      <c r="I330" s="15"/>
      <c r="J330" s="38"/>
    </row>
    <row r="331" spans="1:11" ht="14.1" customHeight="1">
      <c r="A331" s="379">
        <f t="shared" si="27"/>
        <v>315</v>
      </c>
      <c r="B331" s="13" t="s">
        <v>203</v>
      </c>
      <c r="C331" s="43"/>
      <c r="D331" s="43"/>
      <c r="E331" s="43"/>
      <c r="F331" s="43"/>
      <c r="G331" s="43"/>
      <c r="H331" s="43"/>
      <c r="I331" s="15"/>
      <c r="J331" s="38"/>
    </row>
    <row r="332" spans="1:11" ht="14.1" customHeight="1">
      <c r="A332" s="379">
        <f t="shared" si="27"/>
        <v>316</v>
      </c>
      <c r="B332" s="22" t="s">
        <v>204</v>
      </c>
      <c r="C332" s="10">
        <f>'Sch 7'!D12</f>
        <v>58395172.629999995</v>
      </c>
      <c r="D332" s="10">
        <f>C332-E332</f>
        <v>875927.62999999523</v>
      </c>
      <c r="E332" s="10">
        <f>ROUND(C332*'Allocation Factors'!$G$10,0)</f>
        <v>57519245</v>
      </c>
      <c r="F332" s="10">
        <f>'Sch 5'!C319</f>
        <v>-10741422</v>
      </c>
      <c r="G332" s="10">
        <f>E332+F332</f>
        <v>46777823</v>
      </c>
      <c r="H332" s="10"/>
      <c r="I332" s="15" t="s">
        <v>341</v>
      </c>
      <c r="J332" s="10"/>
    </row>
    <row r="333" spans="1:11" ht="14.1" customHeight="1">
      <c r="A333" s="379">
        <f t="shared" si="27"/>
        <v>317</v>
      </c>
      <c r="B333" s="22" t="s">
        <v>205</v>
      </c>
      <c r="C333" s="10">
        <f>'Sch 7'!B12</f>
        <v>69825822.620000005</v>
      </c>
      <c r="D333" s="10">
        <f>C333-E333</f>
        <v>965596.62000000477</v>
      </c>
      <c r="E333" s="10">
        <f>ROUND(J333+(C333-J333)*'Allocation Factors'!$G$14,0)</f>
        <v>68860226</v>
      </c>
      <c r="F333" s="10">
        <f>'Sch 5'!C320</f>
        <v>-854641</v>
      </c>
      <c r="G333" s="10">
        <f>E333+F333</f>
        <v>68005585</v>
      </c>
      <c r="H333" s="10"/>
      <c r="I333" s="15" t="s">
        <v>344</v>
      </c>
      <c r="J333" s="10">
        <f>854641</f>
        <v>854641</v>
      </c>
      <c r="K333" s="88" t="s">
        <v>1066</v>
      </c>
    </row>
    <row r="334" spans="1:11" ht="14.1" customHeight="1">
      <c r="A334" s="379">
        <f t="shared" si="27"/>
        <v>318</v>
      </c>
      <c r="B334" s="22" t="s">
        <v>206</v>
      </c>
      <c r="C334" s="10">
        <v>528483.9</v>
      </c>
      <c r="D334" s="10">
        <f>C334-E334</f>
        <v>7926.9000000000233</v>
      </c>
      <c r="E334" s="10">
        <f>ROUND(C334*'Allocation Factors'!$G$10,0)</f>
        <v>520557</v>
      </c>
      <c r="F334" s="10">
        <f>'Sch 5'!C321</f>
        <v>0</v>
      </c>
      <c r="G334" s="10">
        <f>E334+F334</f>
        <v>520557</v>
      </c>
      <c r="H334" s="10"/>
      <c r="I334" s="15" t="s">
        <v>341</v>
      </c>
      <c r="J334" s="38"/>
    </row>
    <row r="335" spans="1:11" ht="14.1" customHeight="1">
      <c r="A335" s="379">
        <f t="shared" si="27"/>
        <v>319</v>
      </c>
      <c r="B335" s="56" t="s">
        <v>207</v>
      </c>
      <c r="C335" s="43">
        <f>581321.67+88116.61</f>
        <v>669438.28</v>
      </c>
      <c r="D335" s="10">
        <f>C335-E335</f>
        <v>10041.280000000028</v>
      </c>
      <c r="E335" s="10">
        <f>ROUND(C335*'Allocation Factors'!$G$10,0)</f>
        <v>659397</v>
      </c>
      <c r="F335" s="10">
        <f>'Sch 5'!C322</f>
        <v>0</v>
      </c>
      <c r="G335" s="10">
        <f>E335+F335</f>
        <v>659397</v>
      </c>
      <c r="H335" s="10"/>
      <c r="I335" s="15" t="s">
        <v>341</v>
      </c>
      <c r="J335" s="38"/>
    </row>
    <row r="336" spans="1:11" s="21" customFormat="1" ht="14.1" customHeight="1">
      <c r="A336" s="379">
        <f t="shared" si="27"/>
        <v>320</v>
      </c>
      <c r="B336" s="20" t="s">
        <v>501</v>
      </c>
      <c r="C336" s="85">
        <f>SUM(C332:C335)</f>
        <v>129418917.43000001</v>
      </c>
      <c r="D336" s="85">
        <f>SUM(D332:D335)</f>
        <v>1859492.43</v>
      </c>
      <c r="E336" s="85">
        <f>SUM(E332:E335)</f>
        <v>127559425</v>
      </c>
      <c r="F336" s="85">
        <f>SUM(F332:F335)</f>
        <v>-11596063</v>
      </c>
      <c r="G336" s="85">
        <f>SUM(G332:G335)</f>
        <v>115963362</v>
      </c>
      <c r="H336" s="85"/>
      <c r="I336" s="147"/>
      <c r="J336" s="38"/>
    </row>
    <row r="337" spans="1:11" s="21" customFormat="1" ht="14.1" customHeight="1">
      <c r="A337" s="379">
        <f t="shared" si="27"/>
        <v>321</v>
      </c>
      <c r="B337" s="57"/>
      <c r="C337" s="151"/>
      <c r="D337" s="151"/>
      <c r="E337" s="58"/>
      <c r="F337" s="151"/>
      <c r="G337" s="64"/>
      <c r="H337" s="64"/>
      <c r="I337" s="52"/>
      <c r="J337" s="38"/>
    </row>
    <row r="338" spans="1:11" ht="14.1" customHeight="1">
      <c r="A338" s="379">
        <f t="shared" si="27"/>
        <v>322</v>
      </c>
      <c r="B338" s="20" t="s">
        <v>502</v>
      </c>
      <c r="C338" s="16">
        <f>C336+C329</f>
        <v>258917645.35000002</v>
      </c>
      <c r="D338" s="16">
        <f>D336+D329</f>
        <v>3663677.3499999968</v>
      </c>
      <c r="E338" s="16">
        <f>E336+E329</f>
        <v>255253968</v>
      </c>
      <c r="F338" s="16">
        <f>F336+F329</f>
        <v>-8940489.3300000001</v>
      </c>
      <c r="G338" s="16">
        <f>G336+G329</f>
        <v>246313478.67000002</v>
      </c>
      <c r="H338" s="16"/>
      <c r="I338" s="155"/>
      <c r="J338" s="38"/>
    </row>
    <row r="339" spans="1:11" ht="14.1" customHeight="1">
      <c r="A339" s="379">
        <f t="shared" si="27"/>
        <v>323</v>
      </c>
      <c r="B339" s="129"/>
      <c r="C339" s="12"/>
      <c r="D339" s="16"/>
      <c r="E339" s="12"/>
      <c r="F339" s="16"/>
      <c r="G339" s="10"/>
      <c r="H339" s="10"/>
      <c r="I339" s="15"/>
      <c r="J339" s="38"/>
    </row>
    <row r="340" spans="1:11" ht="14.1" customHeight="1">
      <c r="A340" s="379">
        <f t="shared" si="27"/>
        <v>324</v>
      </c>
      <c r="B340" s="13" t="s">
        <v>210</v>
      </c>
      <c r="C340" s="10"/>
      <c r="D340" s="10"/>
      <c r="E340" s="10"/>
      <c r="F340" s="10"/>
      <c r="G340" s="10"/>
      <c r="H340" s="10"/>
      <c r="I340" s="15"/>
      <c r="J340" s="38"/>
    </row>
    <row r="341" spans="1:11" ht="14.1" customHeight="1">
      <c r="A341" s="379">
        <f t="shared" si="27"/>
        <v>325</v>
      </c>
      <c r="B341" s="22" t="s">
        <v>211</v>
      </c>
      <c r="C341" s="10">
        <v>3062549.64</v>
      </c>
      <c r="D341" s="10">
        <f t="shared" ref="D341:D352" si="29">C341-E341</f>
        <v>45938.64000000013</v>
      </c>
      <c r="E341" s="10">
        <f>ROUND(C341*'Allocation Factors'!$G$16,0)</f>
        <v>3016611</v>
      </c>
      <c r="F341" s="10">
        <f>'Sch 5'!C328</f>
        <v>-8</v>
      </c>
      <c r="G341" s="10">
        <f t="shared" ref="G341:G346" si="30">E341+F341</f>
        <v>3016603</v>
      </c>
      <c r="H341" s="10"/>
      <c r="I341" s="15" t="s">
        <v>346</v>
      </c>
      <c r="J341" s="38"/>
    </row>
    <row r="342" spans="1:11" ht="14.1" customHeight="1">
      <c r="A342" s="379">
        <f t="shared" si="27"/>
        <v>326</v>
      </c>
      <c r="B342" s="22" t="s">
        <v>835</v>
      </c>
      <c r="C342" s="10">
        <f>384577.53+109473.82</f>
        <v>494051.35000000003</v>
      </c>
      <c r="D342" s="10">
        <f t="shared" si="29"/>
        <v>7410.3500000000349</v>
      </c>
      <c r="E342" s="10">
        <f>ROUND(C342*'Allocation Factors'!$G$16,0)</f>
        <v>486641</v>
      </c>
      <c r="F342" s="10">
        <f>'Sch 5'!C329</f>
        <v>136124</v>
      </c>
      <c r="G342" s="10">
        <f t="shared" si="30"/>
        <v>622765</v>
      </c>
      <c r="H342" s="10"/>
      <c r="I342" s="15" t="s">
        <v>346</v>
      </c>
      <c r="J342" s="38"/>
    </row>
    <row r="343" spans="1:11" ht="14.1" customHeight="1">
      <c r="A343" s="379">
        <f t="shared" si="27"/>
        <v>327</v>
      </c>
      <c r="B343" s="22" t="s">
        <v>834</v>
      </c>
      <c r="C343" s="10">
        <f>108480.49+979743.08+130187.97+22755.82-95769.81+29387.59+290487.07</f>
        <v>1465272.2100000002</v>
      </c>
      <c r="D343" s="10">
        <f t="shared" si="29"/>
        <v>21979.210000000196</v>
      </c>
      <c r="E343" s="10">
        <f>ROUND(C343*'Allocation Factors'!$G$16,0)</f>
        <v>1443293</v>
      </c>
      <c r="F343" s="10">
        <f>'Sch 5'!C330</f>
        <v>0</v>
      </c>
      <c r="G343" s="10">
        <f t="shared" si="30"/>
        <v>1443293</v>
      </c>
      <c r="H343" s="10"/>
      <c r="I343" s="15" t="s">
        <v>346</v>
      </c>
      <c r="J343" s="38"/>
    </row>
    <row r="344" spans="1:11" ht="14.1" customHeight="1">
      <c r="A344" s="379">
        <f t="shared" si="27"/>
        <v>328</v>
      </c>
      <c r="B344" s="22" t="s">
        <v>212</v>
      </c>
      <c r="C344" s="10">
        <v>238303.005</v>
      </c>
      <c r="D344" s="10">
        <f t="shared" si="29"/>
        <v>3575.0050000000047</v>
      </c>
      <c r="E344" s="10">
        <f>ROUND(C344*'Allocation Factors'!$G$16,0)</f>
        <v>234728</v>
      </c>
      <c r="F344" s="10">
        <f>'Sch 5'!C331</f>
        <v>-221</v>
      </c>
      <c r="G344" s="10">
        <f t="shared" si="30"/>
        <v>234507</v>
      </c>
      <c r="H344" s="10"/>
      <c r="I344" s="15" t="s">
        <v>346</v>
      </c>
      <c r="J344" s="38"/>
    </row>
    <row r="345" spans="1:11" s="21" customFormat="1" ht="14.1" customHeight="1">
      <c r="A345" s="379">
        <f t="shared" si="27"/>
        <v>329</v>
      </c>
      <c r="B345" s="22" t="s">
        <v>213</v>
      </c>
      <c r="C345" s="10">
        <v>17504.580000000002</v>
      </c>
      <c r="D345" s="10">
        <f t="shared" si="29"/>
        <v>262.58000000000175</v>
      </c>
      <c r="E345" s="10">
        <f>ROUND(C345*'Allocation Factors'!$G$16,0)</f>
        <v>17242</v>
      </c>
      <c r="F345" s="10">
        <f>'Sch 5'!C332</f>
        <v>0</v>
      </c>
      <c r="G345" s="10">
        <f t="shared" si="30"/>
        <v>17242</v>
      </c>
      <c r="H345" s="10"/>
      <c r="I345" s="15" t="s">
        <v>346</v>
      </c>
      <c r="J345" s="38"/>
      <c r="K345" s="88"/>
    </row>
    <row r="346" spans="1:11" s="21" customFormat="1" ht="14.1" customHeight="1">
      <c r="A346" s="379">
        <f t="shared" si="27"/>
        <v>330</v>
      </c>
      <c r="B346" s="22" t="s">
        <v>214</v>
      </c>
      <c r="C346" s="10">
        <v>-6.03</v>
      </c>
      <c r="D346" s="10">
        <f t="shared" si="29"/>
        <v>-3.0000000000000249E-2</v>
      </c>
      <c r="E346" s="10">
        <f>ROUND(C346*'Allocation Factors'!$G$16,0)</f>
        <v>-6</v>
      </c>
      <c r="F346" s="10">
        <f>'Sch 5'!C333</f>
        <v>0</v>
      </c>
      <c r="G346" s="10">
        <f t="shared" si="30"/>
        <v>-6</v>
      </c>
      <c r="H346" s="10"/>
      <c r="I346" s="15" t="s">
        <v>346</v>
      </c>
      <c r="J346" s="38"/>
      <c r="K346" s="88"/>
    </row>
    <row r="347" spans="1:11" s="21" customFormat="1" ht="14.1" customHeight="1">
      <c r="A347" s="379">
        <f t="shared" si="27"/>
        <v>331</v>
      </c>
      <c r="B347" s="22" t="s">
        <v>921</v>
      </c>
      <c r="C347" s="10">
        <v>41982449.890000008</v>
      </c>
      <c r="D347" s="10">
        <f t="shared" si="29"/>
        <v>-0.10999999195337296</v>
      </c>
      <c r="E347" s="10">
        <f>ROUND((C347-J347)*'Allocation Factors'!$G$34,0)</f>
        <v>41982450</v>
      </c>
      <c r="F347" s="10">
        <f>'Sch 5'!C334</f>
        <v>12216452</v>
      </c>
      <c r="G347" s="10">
        <f>E347+F347</f>
        <v>54198902</v>
      </c>
      <c r="H347" s="10"/>
      <c r="I347" s="25" t="s">
        <v>362</v>
      </c>
      <c r="J347" s="38"/>
      <c r="K347" s="88"/>
    </row>
    <row r="348" spans="1:11" s="21" customFormat="1" ht="14.1" customHeight="1">
      <c r="A348" s="379">
        <f t="shared" si="27"/>
        <v>332</v>
      </c>
      <c r="B348" s="22" t="s">
        <v>877</v>
      </c>
      <c r="C348" s="10">
        <v>195641.35</v>
      </c>
      <c r="D348" s="10">
        <f t="shared" si="29"/>
        <v>0.35000000000582077</v>
      </c>
      <c r="E348" s="10">
        <f>ROUND((C348-J348)*'Allocation Factors'!$G$34,0)</f>
        <v>195641</v>
      </c>
      <c r="F348" s="10">
        <f>'Sch 5'!C335</f>
        <v>9878</v>
      </c>
      <c r="G348" s="10">
        <f>E348+F348</f>
        <v>205519</v>
      </c>
      <c r="H348" s="10"/>
      <c r="I348" s="25" t="s">
        <v>362</v>
      </c>
      <c r="J348" s="38"/>
      <c r="K348" s="88"/>
    </row>
    <row r="349" spans="1:11" s="21" customFormat="1" ht="14.1" customHeight="1">
      <c r="A349" s="379">
        <f t="shared" si="27"/>
        <v>333</v>
      </c>
      <c r="B349" s="22" t="s">
        <v>823</v>
      </c>
      <c r="C349" s="10">
        <v>105756</v>
      </c>
      <c r="D349" s="10">
        <f t="shared" si="29"/>
        <v>1586</v>
      </c>
      <c r="E349" s="10">
        <f>ROUND(C349*'Allocation Factors'!$G$16,0)</f>
        <v>104170</v>
      </c>
      <c r="F349" s="10">
        <f>'Sch 5'!C336</f>
        <v>0</v>
      </c>
      <c r="G349" s="10">
        <f>E349+F349</f>
        <v>104170</v>
      </c>
      <c r="H349" s="10"/>
      <c r="I349" s="25" t="s">
        <v>346</v>
      </c>
      <c r="J349" s="38"/>
      <c r="K349" s="38"/>
    </row>
    <row r="350" spans="1:11" s="21" customFormat="1" ht="14.1" customHeight="1">
      <c r="A350" s="379">
        <f t="shared" si="27"/>
        <v>334</v>
      </c>
      <c r="B350" s="22" t="s">
        <v>878</v>
      </c>
      <c r="C350" s="10">
        <v>3526337.9799999995</v>
      </c>
      <c r="D350" s="10">
        <f t="shared" si="29"/>
        <v>3526337.9799999995</v>
      </c>
      <c r="E350" s="10">
        <v>0</v>
      </c>
      <c r="F350" s="10">
        <f>'Sch 5'!C337</f>
        <v>14532</v>
      </c>
      <c r="G350" s="10"/>
      <c r="H350" s="10"/>
      <c r="I350" s="25" t="s">
        <v>54</v>
      </c>
      <c r="J350" s="38"/>
      <c r="K350" s="38"/>
    </row>
    <row r="351" spans="1:11" s="21" customFormat="1" ht="14.1" customHeight="1">
      <c r="A351" s="379">
        <f t="shared" si="27"/>
        <v>335</v>
      </c>
      <c r="B351" s="22" t="s">
        <v>215</v>
      </c>
      <c r="C351" s="10">
        <f>839236.83-9382250.84-24973.73+648.96</f>
        <v>-8567338.7799999993</v>
      </c>
      <c r="D351" s="10">
        <f>C351-E351</f>
        <v>12223.220000000671</v>
      </c>
      <c r="E351" s="10">
        <f>ROUND(J351+(C351-J351)*'Allocation Factors'!$G$16,0)</f>
        <v>-8579562</v>
      </c>
      <c r="F351" s="10">
        <f>'Sch 5'!C338</f>
        <v>2953276.29</v>
      </c>
      <c r="G351" s="10">
        <f>E351+F351</f>
        <v>-5626285.71</v>
      </c>
      <c r="H351" s="10"/>
      <c r="I351" s="15" t="s">
        <v>346</v>
      </c>
      <c r="J351" s="38">
        <f>-9382251</f>
        <v>-9382251</v>
      </c>
      <c r="K351" s="88" t="s">
        <v>1066</v>
      </c>
    </row>
    <row r="352" spans="1:11" ht="14.1" customHeight="1">
      <c r="A352" s="379">
        <f t="shared" si="27"/>
        <v>336</v>
      </c>
      <c r="B352" s="56" t="s">
        <v>216</v>
      </c>
      <c r="C352" s="43">
        <f>304.7+5163</f>
        <v>5467.7</v>
      </c>
      <c r="D352" s="10">
        <f t="shared" si="29"/>
        <v>81.699999999999818</v>
      </c>
      <c r="E352" s="10">
        <f>ROUND(C352*'Allocation Factors'!$G$16,0)</f>
        <v>5386</v>
      </c>
      <c r="F352" s="10">
        <f>'Sch 5'!C339</f>
        <v>0</v>
      </c>
      <c r="G352" s="10">
        <f>E352+F352</f>
        <v>5386</v>
      </c>
      <c r="H352" s="10"/>
      <c r="I352" s="15" t="s">
        <v>346</v>
      </c>
      <c r="J352" s="38"/>
    </row>
    <row r="353" spans="1:17" ht="14.1" customHeight="1">
      <c r="A353" s="379">
        <f t="shared" si="27"/>
        <v>337</v>
      </c>
      <c r="B353" s="20" t="s">
        <v>503</v>
      </c>
      <c r="C353" s="85">
        <f>SUM(C341:C352)</f>
        <v>42525988.895000011</v>
      </c>
      <c r="D353" s="85">
        <f>SUM(D341:D352)</f>
        <v>3619394.8950000089</v>
      </c>
      <c r="E353" s="85">
        <f>SUM(E341:E352)</f>
        <v>38906594</v>
      </c>
      <c r="F353" s="85">
        <f>SUM(F341:F352)</f>
        <v>15330033.289999999</v>
      </c>
      <c r="G353" s="85">
        <f>SUM(G341:G352)</f>
        <v>54222095.289999999</v>
      </c>
      <c r="H353" s="85"/>
      <c r="I353" s="147"/>
      <c r="J353" s="38"/>
    </row>
    <row r="354" spans="1:17" ht="14.1" customHeight="1">
      <c r="A354" s="379">
        <f t="shared" si="27"/>
        <v>338</v>
      </c>
      <c r="B354" s="129"/>
      <c r="C354" s="16"/>
      <c r="D354" s="16"/>
      <c r="E354" s="16"/>
      <c r="F354" s="16"/>
      <c r="G354" s="43"/>
      <c r="H354" s="43"/>
      <c r="I354" s="15"/>
      <c r="J354" s="38"/>
    </row>
    <row r="355" spans="1:17" ht="14.1" customHeight="1">
      <c r="A355" s="379">
        <f t="shared" si="27"/>
        <v>339</v>
      </c>
      <c r="B355" s="20" t="s">
        <v>218</v>
      </c>
      <c r="C355" s="16"/>
      <c r="D355" s="16"/>
      <c r="E355" s="16"/>
      <c r="F355" s="16"/>
      <c r="G355" s="10"/>
      <c r="H355" s="10"/>
      <c r="I355" s="15"/>
      <c r="J355" s="38"/>
    </row>
    <row r="356" spans="1:17" ht="14.1" customHeight="1">
      <c r="A356" s="379">
        <f t="shared" si="27"/>
        <v>340</v>
      </c>
      <c r="B356" s="22" t="s">
        <v>219</v>
      </c>
      <c r="C356" s="10">
        <v>34483.919999999998</v>
      </c>
      <c r="D356" s="10">
        <f t="shared" ref="D356:D362" si="31">C356-E356</f>
        <v>516.91999999999825</v>
      </c>
      <c r="E356" s="10">
        <f>ROUND(C356*'Allocation Factors'!$G$16,0)</f>
        <v>33967</v>
      </c>
      <c r="F356" s="10">
        <f>'Sch 5'!C343</f>
        <v>0</v>
      </c>
      <c r="G356" s="10">
        <f t="shared" ref="G356:G362" si="32">E356+F356</f>
        <v>33967</v>
      </c>
      <c r="H356" s="10"/>
      <c r="I356" s="15" t="s">
        <v>346</v>
      </c>
      <c r="J356" s="38"/>
    </row>
    <row r="357" spans="1:17" ht="14.1" customHeight="1">
      <c r="A357" s="379">
        <f t="shared" si="27"/>
        <v>341</v>
      </c>
      <c r="B357" s="22" t="s">
        <v>220</v>
      </c>
      <c r="C357" s="10">
        <f>6119.03+6305.11+221005.77+8382.06</f>
        <v>241811.96999999997</v>
      </c>
      <c r="D357" s="10">
        <f t="shared" si="31"/>
        <v>3626.9699999999721</v>
      </c>
      <c r="E357" s="10">
        <f>ROUND(C357*'Allocation Factors'!$G$16,0)</f>
        <v>238185</v>
      </c>
      <c r="F357" s="10">
        <f>'Sch 5'!C344</f>
        <v>0</v>
      </c>
      <c r="G357" s="10">
        <f t="shared" si="32"/>
        <v>238185</v>
      </c>
      <c r="H357" s="10"/>
      <c r="I357" s="15" t="s">
        <v>346</v>
      </c>
      <c r="J357" s="38"/>
    </row>
    <row r="358" spans="1:17" ht="14.1" customHeight="1">
      <c r="A358" s="379">
        <f t="shared" si="27"/>
        <v>342</v>
      </c>
      <c r="B358" s="22" t="s">
        <v>221</v>
      </c>
      <c r="C358" s="10">
        <v>604071.63</v>
      </c>
      <c r="D358" s="10">
        <f t="shared" si="31"/>
        <v>9060.6300000000047</v>
      </c>
      <c r="E358" s="10">
        <f>ROUND(C358*'Allocation Factors'!$G$16,0)</f>
        <v>595011</v>
      </c>
      <c r="F358" s="10">
        <f>'Sch 5'!C345</f>
        <v>-228.47</v>
      </c>
      <c r="G358" s="10">
        <f t="shared" si="32"/>
        <v>594782.53</v>
      </c>
      <c r="H358" s="10"/>
      <c r="I358" s="15" t="s">
        <v>346</v>
      </c>
      <c r="J358" s="38"/>
    </row>
    <row r="359" spans="1:17" ht="14.1" customHeight="1">
      <c r="A359" s="379">
        <f t="shared" si="27"/>
        <v>343</v>
      </c>
      <c r="B359" s="22" t="s">
        <v>222</v>
      </c>
      <c r="C359" s="10">
        <v>6070453.3700000001</v>
      </c>
      <c r="D359" s="10">
        <f t="shared" si="31"/>
        <v>91056.370000000112</v>
      </c>
      <c r="E359" s="10">
        <f>ROUND(C359*'Allocation Factors'!$G$16,0)</f>
        <v>5979397</v>
      </c>
      <c r="F359" s="10">
        <f>'Sch 5'!C346</f>
        <v>0</v>
      </c>
      <c r="G359" s="10">
        <f t="shared" si="32"/>
        <v>5979397</v>
      </c>
      <c r="H359" s="10"/>
      <c r="I359" s="15" t="s">
        <v>346</v>
      </c>
      <c r="J359" s="38"/>
    </row>
    <row r="360" spans="1:17" ht="14.1" customHeight="1">
      <c r="A360" s="379">
        <f t="shared" si="27"/>
        <v>344</v>
      </c>
      <c r="B360" s="22" t="s">
        <v>223</v>
      </c>
      <c r="C360" s="10">
        <v>229.22</v>
      </c>
      <c r="D360" s="10">
        <f t="shared" si="31"/>
        <v>3.2199999999999989</v>
      </c>
      <c r="E360" s="10">
        <f>ROUND(C360*'Allocation Factors'!$G$16,0)</f>
        <v>226</v>
      </c>
      <c r="F360" s="10">
        <f>'Sch 5'!C347</f>
        <v>0</v>
      </c>
      <c r="G360" s="10">
        <f t="shared" si="32"/>
        <v>226</v>
      </c>
      <c r="H360" s="10"/>
      <c r="I360" s="15" t="s">
        <v>346</v>
      </c>
      <c r="J360" s="38"/>
    </row>
    <row r="361" spans="1:17" ht="14.1" customHeight="1">
      <c r="A361" s="379">
        <f t="shared" si="27"/>
        <v>345</v>
      </c>
      <c r="B361" s="22" t="s">
        <v>224</v>
      </c>
      <c r="C361" s="43">
        <v>97043.41</v>
      </c>
      <c r="D361" s="10">
        <f t="shared" si="31"/>
        <v>1455.4100000000035</v>
      </c>
      <c r="E361" s="10">
        <f>ROUND(C361*'Allocation Factors'!$G$16,0)</f>
        <v>95588</v>
      </c>
      <c r="F361" s="10">
        <f>'Sch 5'!C348</f>
        <v>0</v>
      </c>
      <c r="G361" s="10">
        <f t="shared" si="32"/>
        <v>95588</v>
      </c>
      <c r="H361" s="10"/>
      <c r="I361" s="15" t="s">
        <v>346</v>
      </c>
      <c r="J361" s="38"/>
    </row>
    <row r="362" spans="1:17" ht="14.1" customHeight="1">
      <c r="A362" s="379">
        <f t="shared" si="27"/>
        <v>346</v>
      </c>
      <c r="B362" s="56" t="s">
        <v>225</v>
      </c>
      <c r="C362" s="43">
        <f>108162.41+937019.04</f>
        <v>1045181.4500000001</v>
      </c>
      <c r="D362" s="10">
        <f t="shared" si="31"/>
        <v>15677.45000000007</v>
      </c>
      <c r="E362" s="10">
        <f>ROUND(C362*'Allocation Factors'!$G$16,0)</f>
        <v>1029504</v>
      </c>
      <c r="F362" s="64">
        <f>'Sch 5'!C349</f>
        <v>39149</v>
      </c>
      <c r="G362" s="10">
        <f t="shared" si="32"/>
        <v>1068653</v>
      </c>
      <c r="H362" s="10"/>
      <c r="I362" s="15" t="s">
        <v>346</v>
      </c>
      <c r="J362" s="38"/>
    </row>
    <row r="363" spans="1:17" ht="14.1" customHeight="1">
      <c r="A363" s="379">
        <f t="shared" si="27"/>
        <v>347</v>
      </c>
      <c r="B363" s="20" t="s">
        <v>504</v>
      </c>
      <c r="C363" s="160">
        <f>SUM(C356:C362)</f>
        <v>8093274.9700000007</v>
      </c>
      <c r="D363" s="160">
        <f>SUM(D356:D362)</f>
        <v>121396.97000000016</v>
      </c>
      <c r="E363" s="160">
        <f>SUM(E356:E362)</f>
        <v>7971878</v>
      </c>
      <c r="F363" s="10">
        <f>SUM(F356:F362)</f>
        <v>38920.53</v>
      </c>
      <c r="G363" s="161">
        <f>SUM(G356:G362)</f>
        <v>8010798.5300000003</v>
      </c>
      <c r="H363" s="161"/>
      <c r="I363" s="147"/>
      <c r="J363" s="38"/>
    </row>
    <row r="364" spans="1:17" ht="14.1" customHeight="1">
      <c r="A364" s="379">
        <f t="shared" si="27"/>
        <v>348</v>
      </c>
      <c r="B364" s="57"/>
      <c r="C364" s="151"/>
      <c r="D364" s="151"/>
      <c r="E364" s="151"/>
      <c r="F364" s="151"/>
      <c r="G364" s="64"/>
      <c r="H364" s="64"/>
      <c r="I364" s="135"/>
      <c r="J364" s="38"/>
    </row>
    <row r="365" spans="1:17" ht="14.1" customHeight="1">
      <c r="A365" s="379">
        <f t="shared" si="27"/>
        <v>349</v>
      </c>
      <c r="B365" s="20" t="s">
        <v>505</v>
      </c>
      <c r="C365" s="162">
        <f>C353+C363</f>
        <v>50619263.86500001</v>
      </c>
      <c r="D365" s="162">
        <f>D353+D363</f>
        <v>3740791.8650000091</v>
      </c>
      <c r="E365" s="162">
        <f>E353+E363</f>
        <v>46878472</v>
      </c>
      <c r="F365" s="10">
        <f>F353+F363</f>
        <v>15368953.819999998</v>
      </c>
      <c r="G365" s="162">
        <f>G353+G363</f>
        <v>62232893.82</v>
      </c>
      <c r="H365" s="12"/>
      <c r="I365" s="17"/>
      <c r="J365" s="38"/>
    </row>
    <row r="366" spans="1:17" ht="14.1" customHeight="1">
      <c r="A366" s="379">
        <f t="shared" si="27"/>
        <v>350</v>
      </c>
      <c r="B366" s="129"/>
      <c r="C366" s="16"/>
      <c r="D366" s="16"/>
      <c r="E366" s="12"/>
      <c r="F366" s="16"/>
      <c r="G366" s="43"/>
      <c r="H366" s="43"/>
      <c r="I366" s="15"/>
      <c r="J366" s="38"/>
      <c r="P366" s="21"/>
      <c r="Q366" s="21"/>
    </row>
    <row r="367" spans="1:17" ht="14.1" customHeight="1">
      <c r="A367" s="379">
        <f t="shared" si="27"/>
        <v>351</v>
      </c>
      <c r="B367" s="13" t="s">
        <v>228</v>
      </c>
      <c r="C367" s="43"/>
      <c r="D367" s="43"/>
      <c r="E367" s="43"/>
      <c r="F367" s="10"/>
      <c r="G367" s="10"/>
      <c r="H367" s="10"/>
      <c r="I367" s="15"/>
      <c r="J367" s="38"/>
      <c r="P367" s="21"/>
      <c r="Q367" s="21"/>
    </row>
    <row r="368" spans="1:17" ht="14.1" customHeight="1">
      <c r="A368" s="379">
        <f t="shared" si="27"/>
        <v>352</v>
      </c>
      <c r="B368" s="22" t="s">
        <v>229</v>
      </c>
      <c r="C368" s="10">
        <v>1101195.4449999998</v>
      </c>
      <c r="D368" s="43">
        <f t="shared" ref="D368:D377" si="33">C368-E368</f>
        <v>1101.4449999998324</v>
      </c>
      <c r="E368" s="43">
        <f>ROUND(C368*'Allocation Factors'!$G$18,0)</f>
        <v>1100094</v>
      </c>
      <c r="F368" s="10">
        <f>'Sch 5'!C355</f>
        <v>-15257.46</v>
      </c>
      <c r="G368" s="10">
        <f t="shared" ref="G368:G377" si="34">E368+F368</f>
        <v>1084836.54</v>
      </c>
      <c r="H368" s="10"/>
      <c r="I368" s="199" t="s">
        <v>348</v>
      </c>
      <c r="J368" s="38"/>
      <c r="P368" s="21"/>
      <c r="Q368" s="21"/>
    </row>
    <row r="369" spans="1:17" ht="14.1" customHeight="1">
      <c r="A369" s="379">
        <f t="shared" si="27"/>
        <v>353</v>
      </c>
      <c r="B369" s="22" t="s">
        <v>230</v>
      </c>
      <c r="C369" s="10">
        <v>8951.33</v>
      </c>
      <c r="D369" s="43">
        <f t="shared" si="33"/>
        <v>9.3299999999999272</v>
      </c>
      <c r="E369" s="43">
        <f>ROUND(C369*'Allocation Factors'!$G$18,0)</f>
        <v>8942</v>
      </c>
      <c r="F369" s="10">
        <f>'Sch 5'!C356</f>
        <v>0</v>
      </c>
      <c r="G369" s="10">
        <f t="shared" si="34"/>
        <v>8942</v>
      </c>
      <c r="H369" s="10"/>
      <c r="I369" s="199" t="s">
        <v>348</v>
      </c>
      <c r="J369" s="38"/>
      <c r="P369" s="21"/>
      <c r="Q369" s="21"/>
    </row>
    <row r="370" spans="1:17" ht="14.1" customHeight="1">
      <c r="A370" s="379">
        <f t="shared" si="27"/>
        <v>354</v>
      </c>
      <c r="B370" s="22" t="s">
        <v>231</v>
      </c>
      <c r="C370" s="10">
        <v>214928.59</v>
      </c>
      <c r="D370" s="43">
        <f t="shared" si="33"/>
        <v>214.58999999999651</v>
      </c>
      <c r="E370" s="43">
        <f>ROUND(C370*'Allocation Factors'!$G$18,0)</f>
        <v>214714</v>
      </c>
      <c r="F370" s="10">
        <f>'Sch 5'!C357</f>
        <v>0</v>
      </c>
      <c r="G370" s="10">
        <f t="shared" si="34"/>
        <v>214714</v>
      </c>
      <c r="H370" s="10"/>
      <c r="I370" s="199" t="s">
        <v>348</v>
      </c>
      <c r="J370" s="38"/>
      <c r="P370" s="21"/>
      <c r="Q370" s="21"/>
    </row>
    <row r="371" spans="1:17" ht="14.1" customHeight="1">
      <c r="A371" s="379">
        <f t="shared" si="27"/>
        <v>355</v>
      </c>
      <c r="B371" s="22" t="s">
        <v>232</v>
      </c>
      <c r="C371" s="10">
        <v>1131697.1499999999</v>
      </c>
      <c r="D371" s="43">
        <f t="shared" si="33"/>
        <v>1132.1499999999069</v>
      </c>
      <c r="E371" s="43">
        <f>ROUND(C371*'Allocation Factors'!$G$18,0)</f>
        <v>1130565</v>
      </c>
      <c r="F371" s="10">
        <f>'Sch 5'!C358</f>
        <v>5208.9700000000012</v>
      </c>
      <c r="G371" s="10">
        <f t="shared" si="34"/>
        <v>1135773.97</v>
      </c>
      <c r="H371" s="10"/>
      <c r="I371" s="199" t="s">
        <v>348</v>
      </c>
      <c r="J371" s="38"/>
      <c r="P371" s="21"/>
      <c r="Q371" s="21"/>
    </row>
    <row r="372" spans="1:17" ht="14.1" customHeight="1">
      <c r="A372" s="379">
        <f t="shared" si="27"/>
        <v>356</v>
      </c>
      <c r="B372" s="22" t="s">
        <v>233</v>
      </c>
      <c r="C372" s="10">
        <v>129937.01000000001</v>
      </c>
      <c r="D372" s="43">
        <f t="shared" si="33"/>
        <v>130.01000000000931</v>
      </c>
      <c r="E372" s="43">
        <f>ROUND(C372*'Allocation Factors'!$G$18,0)</f>
        <v>129807</v>
      </c>
      <c r="F372" s="10">
        <f>'Sch 5'!C359</f>
        <v>-102.34</v>
      </c>
      <c r="G372" s="10">
        <f t="shared" si="34"/>
        <v>129704.66</v>
      </c>
      <c r="H372" s="10"/>
      <c r="I372" s="199" t="s">
        <v>348</v>
      </c>
      <c r="J372" s="38"/>
      <c r="P372" s="21"/>
      <c r="Q372" s="21"/>
    </row>
    <row r="373" spans="1:17" ht="14.1" customHeight="1">
      <c r="A373" s="379">
        <f t="shared" si="27"/>
        <v>357</v>
      </c>
      <c r="B373" s="22" t="s">
        <v>234</v>
      </c>
      <c r="C373" s="10">
        <v>86050.623999999996</v>
      </c>
      <c r="D373" s="43">
        <f t="shared" si="33"/>
        <v>85.623999999996158</v>
      </c>
      <c r="E373" s="43">
        <f>ROUND(C373*'Allocation Factors'!$G$18,0)</f>
        <v>85965</v>
      </c>
      <c r="F373" s="10">
        <f>'Sch 5'!C360</f>
        <v>-974.67</v>
      </c>
      <c r="G373" s="10">
        <f t="shared" si="34"/>
        <v>84990.33</v>
      </c>
      <c r="H373" s="10"/>
      <c r="I373" s="199" t="s">
        <v>348</v>
      </c>
      <c r="J373" s="38"/>
      <c r="P373" s="21"/>
      <c r="Q373" s="21"/>
    </row>
    <row r="374" spans="1:17" ht="14.1" customHeight="1">
      <c r="A374" s="379">
        <f t="shared" si="27"/>
        <v>358</v>
      </c>
      <c r="B374" s="22" t="s">
        <v>235</v>
      </c>
      <c r="C374" s="10">
        <v>1259918.061</v>
      </c>
      <c r="D374" s="43">
        <f t="shared" si="33"/>
        <v>1260.060999999987</v>
      </c>
      <c r="E374" s="43">
        <f>ROUND(C374*'Allocation Factors'!$G$18,0)</f>
        <v>1258658</v>
      </c>
      <c r="F374" s="10">
        <f>'Sch 5'!C361</f>
        <v>-16622.98</v>
      </c>
      <c r="G374" s="10">
        <f t="shared" si="34"/>
        <v>1242035.02</v>
      </c>
      <c r="H374" s="10"/>
      <c r="I374" s="199" t="s">
        <v>348</v>
      </c>
      <c r="J374" s="38"/>
      <c r="P374" s="21"/>
      <c r="Q374" s="21"/>
    </row>
    <row r="375" spans="1:17" ht="14.1" customHeight="1">
      <c r="A375" s="379">
        <f t="shared" ref="A375:A438" si="35">+A374+1</f>
        <v>359</v>
      </c>
      <c r="B375" s="22" t="s">
        <v>236</v>
      </c>
      <c r="C375" s="10">
        <v>142579.95299999998</v>
      </c>
      <c r="D375" s="43">
        <f t="shared" si="33"/>
        <v>142.95299999997951</v>
      </c>
      <c r="E375" s="43">
        <f>ROUND(C375*'Allocation Factors'!$G$18,0)</f>
        <v>142437</v>
      </c>
      <c r="F375" s="10">
        <f>'Sch 5'!C362</f>
        <v>-4585.88</v>
      </c>
      <c r="G375" s="10">
        <f t="shared" si="34"/>
        <v>137851.12</v>
      </c>
      <c r="H375" s="10"/>
      <c r="I375" s="199" t="s">
        <v>348</v>
      </c>
      <c r="J375" s="38"/>
      <c r="P375" s="21"/>
      <c r="Q375" s="21"/>
    </row>
    <row r="376" spans="1:17" s="21" customFormat="1" ht="14.1" customHeight="1">
      <c r="A376" s="379">
        <f t="shared" si="35"/>
        <v>360</v>
      </c>
      <c r="B376" s="22" t="s">
        <v>237</v>
      </c>
      <c r="C376" s="10">
        <v>4482139.8099999996</v>
      </c>
      <c r="D376" s="43">
        <f t="shared" si="33"/>
        <v>4481.8099999995902</v>
      </c>
      <c r="E376" s="43">
        <f>ROUND(C376*'Allocation Factors'!$G$18,0)</f>
        <v>4477658</v>
      </c>
      <c r="F376" s="10">
        <f>'Sch 5'!C363</f>
        <v>-169974.97999999998</v>
      </c>
      <c r="G376" s="10">
        <f t="shared" si="34"/>
        <v>4307683.0199999996</v>
      </c>
      <c r="H376" s="10"/>
      <c r="I376" s="199" t="s">
        <v>348</v>
      </c>
      <c r="J376" s="38"/>
      <c r="K376" s="88"/>
      <c r="L376" s="88"/>
      <c r="M376" s="88"/>
      <c r="N376" s="88"/>
      <c r="O376" s="88"/>
    </row>
    <row r="377" spans="1:17" s="21" customFormat="1" ht="14.1" customHeight="1">
      <c r="A377" s="379">
        <f t="shared" si="35"/>
        <v>361</v>
      </c>
      <c r="B377" s="56" t="s">
        <v>238</v>
      </c>
      <c r="C377" s="43">
        <f>1343245.06+4223.1</f>
        <v>1347468.1600000001</v>
      </c>
      <c r="D377" s="43">
        <f t="shared" si="33"/>
        <v>1347.160000000149</v>
      </c>
      <c r="E377" s="43">
        <f>ROUND(C377*'Allocation Factors'!$G$18,0)</f>
        <v>1346121</v>
      </c>
      <c r="F377" s="10">
        <f>'Sch 5'!C364</f>
        <v>226538</v>
      </c>
      <c r="G377" s="10">
        <f t="shared" si="34"/>
        <v>1572659</v>
      </c>
      <c r="H377" s="10"/>
      <c r="I377" s="199" t="s">
        <v>348</v>
      </c>
      <c r="J377" s="38"/>
      <c r="K377" s="88"/>
      <c r="L377" s="88"/>
      <c r="M377" s="88"/>
      <c r="N377" s="88"/>
      <c r="O377" s="88"/>
    </row>
    <row r="378" spans="1:17" ht="14.1" customHeight="1">
      <c r="A378" s="379">
        <f t="shared" si="35"/>
        <v>362</v>
      </c>
      <c r="B378" s="20" t="s">
        <v>506</v>
      </c>
      <c r="C378" s="85">
        <f>SUM(C368:C377)</f>
        <v>9904866.1329999976</v>
      </c>
      <c r="D378" s="85">
        <f>SUM(D368:D377)</f>
        <v>9905.1329999994468</v>
      </c>
      <c r="E378" s="85">
        <f>SUM(E368:E377)</f>
        <v>9894961</v>
      </c>
      <c r="F378" s="85">
        <f>SUM(F368:F377)</f>
        <v>24228.660000000033</v>
      </c>
      <c r="G378" s="47">
        <f>SUM(G368:G377)</f>
        <v>9919189.6600000001</v>
      </c>
      <c r="H378" s="47"/>
      <c r="I378" s="159"/>
      <c r="J378" s="38"/>
    </row>
    <row r="379" spans="1:17" ht="14.1" customHeight="1">
      <c r="A379" s="379">
        <f t="shared" si="35"/>
        <v>363</v>
      </c>
      <c r="B379" s="163"/>
      <c r="C379" s="16"/>
      <c r="D379" s="16"/>
      <c r="E379" s="130"/>
      <c r="F379" s="16"/>
      <c r="G379" s="43"/>
      <c r="H379" s="43"/>
      <c r="I379" s="15"/>
      <c r="J379" s="38"/>
    </row>
    <row r="380" spans="1:17" ht="14.1" customHeight="1">
      <c r="A380" s="379">
        <f t="shared" si="35"/>
        <v>364</v>
      </c>
      <c r="B380" s="22" t="s">
        <v>239</v>
      </c>
      <c r="C380" s="10">
        <v>3943.3700000000003</v>
      </c>
      <c r="D380" s="43">
        <f t="shared" ref="D380:D390" si="36">C380-E380</f>
        <v>4.3700000000003456</v>
      </c>
      <c r="E380" s="43">
        <f>ROUND(C380*'Allocation Factors'!$G$18,0)</f>
        <v>3939</v>
      </c>
      <c r="F380" s="10">
        <f>'Sch 5'!C367</f>
        <v>0</v>
      </c>
      <c r="G380" s="10">
        <f t="shared" ref="G380:G390" si="37">E380+F380</f>
        <v>3939</v>
      </c>
      <c r="H380" s="10"/>
      <c r="I380" s="199" t="s">
        <v>348</v>
      </c>
      <c r="J380" s="38"/>
    </row>
    <row r="381" spans="1:17" ht="14.1" customHeight="1">
      <c r="A381" s="379">
        <f t="shared" si="35"/>
        <v>365</v>
      </c>
      <c r="B381" s="22" t="s">
        <v>240</v>
      </c>
      <c r="C381" s="10">
        <v>67380.430000000008</v>
      </c>
      <c r="D381" s="43">
        <f t="shared" si="36"/>
        <v>67.430000000007567</v>
      </c>
      <c r="E381" s="43">
        <f>ROUND(C381*'Allocation Factors'!$G$18,0)</f>
        <v>67313</v>
      </c>
      <c r="F381" s="10">
        <f>'Sch 5'!C368</f>
        <v>-5</v>
      </c>
      <c r="G381" s="10">
        <f t="shared" si="37"/>
        <v>67308</v>
      </c>
      <c r="H381" s="10"/>
      <c r="I381" s="199" t="s">
        <v>348</v>
      </c>
      <c r="J381" s="38"/>
    </row>
    <row r="382" spans="1:17" ht="13.15" customHeight="1">
      <c r="A382" s="379">
        <f t="shared" si="35"/>
        <v>366</v>
      </c>
      <c r="B382" s="22" t="s">
        <v>241</v>
      </c>
      <c r="C382" s="10">
        <v>609779.61</v>
      </c>
      <c r="D382" s="43">
        <f t="shared" si="36"/>
        <v>609.60999999998603</v>
      </c>
      <c r="E382" s="43">
        <f>ROUND(C382*'Allocation Factors'!$G$18,0)</f>
        <v>609170</v>
      </c>
      <c r="F382" s="10">
        <f>'Sch 5'!C369</f>
        <v>-604.74</v>
      </c>
      <c r="G382" s="10">
        <f t="shared" si="37"/>
        <v>608565.26</v>
      </c>
      <c r="H382" s="10"/>
      <c r="I382" s="199" t="s">
        <v>348</v>
      </c>
      <c r="J382" s="38"/>
    </row>
    <row r="383" spans="1:17" ht="14.1" customHeight="1">
      <c r="A383" s="379">
        <f t="shared" si="35"/>
        <v>367</v>
      </c>
      <c r="B383" s="22" t="s">
        <v>242</v>
      </c>
      <c r="C383" s="10">
        <f>29331402.64</f>
        <v>29331402.640000001</v>
      </c>
      <c r="D383" s="43">
        <f t="shared" si="36"/>
        <v>29331.640000000596</v>
      </c>
      <c r="E383" s="43">
        <f>ROUND(C383*'Allocation Factors'!$G$18,0)</f>
        <v>29302071</v>
      </c>
      <c r="F383" s="10">
        <f>'Sch 5'!C370</f>
        <v>-240089.12</v>
      </c>
      <c r="G383" s="10">
        <f t="shared" si="37"/>
        <v>29061981.879999999</v>
      </c>
      <c r="H383" s="10"/>
      <c r="I383" s="199" t="s">
        <v>348</v>
      </c>
      <c r="J383" s="38"/>
    </row>
    <row r="384" spans="1:17" ht="12.75" customHeight="1">
      <c r="A384" s="379">
        <f t="shared" si="35"/>
        <v>368</v>
      </c>
      <c r="B384" s="22" t="s">
        <v>322</v>
      </c>
      <c r="C384" s="10">
        <v>2066558.8800000001</v>
      </c>
      <c r="D384" s="43">
        <f t="shared" si="36"/>
        <v>2066.8800000001211</v>
      </c>
      <c r="E384" s="43">
        <f>ROUND(C384*'Allocation Factors'!$G$18,0)</f>
        <v>2064492</v>
      </c>
      <c r="F384" s="10">
        <f>'Sch 5'!C371</f>
        <v>511729</v>
      </c>
      <c r="G384" s="10">
        <f t="shared" si="37"/>
        <v>2576221</v>
      </c>
      <c r="H384" s="10"/>
      <c r="I384" s="199" t="s">
        <v>348</v>
      </c>
      <c r="J384" s="38"/>
    </row>
    <row r="385" spans="1:14" ht="14.1" customHeight="1">
      <c r="A385" s="379">
        <f t="shared" si="35"/>
        <v>369</v>
      </c>
      <c r="B385" s="22" t="s">
        <v>243</v>
      </c>
      <c r="C385" s="10">
        <v>408336.75300000003</v>
      </c>
      <c r="D385" s="43">
        <f t="shared" si="36"/>
        <v>408.75300000002608</v>
      </c>
      <c r="E385" s="43">
        <f>ROUND(C385*'Allocation Factors'!$G$18,0)</f>
        <v>407928</v>
      </c>
      <c r="F385" s="10">
        <f>'Sch 5'!C372</f>
        <v>-263353</v>
      </c>
      <c r="G385" s="10">
        <f t="shared" si="37"/>
        <v>144575</v>
      </c>
      <c r="H385" s="10"/>
      <c r="I385" s="199" t="s">
        <v>348</v>
      </c>
      <c r="J385" s="38"/>
    </row>
    <row r="386" spans="1:14" ht="14.1" customHeight="1">
      <c r="A386" s="379">
        <f t="shared" si="35"/>
        <v>370</v>
      </c>
      <c r="B386" s="22" t="s">
        <v>244</v>
      </c>
      <c r="C386" s="10">
        <v>71783.801000000007</v>
      </c>
      <c r="D386" s="43">
        <f t="shared" si="36"/>
        <v>71.801000000006752</v>
      </c>
      <c r="E386" s="43">
        <f>ROUND(C386*'Allocation Factors'!$G$18,0)</f>
        <v>71712</v>
      </c>
      <c r="F386" s="10">
        <f>'Sch 5'!C373</f>
        <v>-1417.6599999999999</v>
      </c>
      <c r="G386" s="10">
        <f t="shared" si="37"/>
        <v>70294.34</v>
      </c>
      <c r="H386" s="10"/>
      <c r="I386" s="199" t="s">
        <v>348</v>
      </c>
      <c r="J386" s="38"/>
    </row>
    <row r="387" spans="1:14" ht="14.1" customHeight="1">
      <c r="A387" s="379">
        <f t="shared" si="35"/>
        <v>371</v>
      </c>
      <c r="B387" s="22" t="s">
        <v>245</v>
      </c>
      <c r="C387" s="10">
        <v>70093.241000000009</v>
      </c>
      <c r="D387" s="43">
        <f t="shared" si="36"/>
        <v>70.24100000000908</v>
      </c>
      <c r="E387" s="43">
        <f>ROUND(C387*'Allocation Factors'!$G$18,0)</f>
        <v>70023</v>
      </c>
      <c r="F387" s="10">
        <f>'Sch 5'!C374</f>
        <v>-2677.09</v>
      </c>
      <c r="G387" s="10">
        <f t="shared" si="37"/>
        <v>67345.91</v>
      </c>
      <c r="H387" s="10"/>
      <c r="I387" s="199" t="s">
        <v>348</v>
      </c>
      <c r="J387" s="38"/>
    </row>
    <row r="388" spans="1:14" s="21" customFormat="1" ht="14.1" customHeight="1">
      <c r="A388" s="379">
        <f t="shared" si="35"/>
        <v>372</v>
      </c>
      <c r="B388" s="22" t="s">
        <v>246</v>
      </c>
      <c r="C388" s="10">
        <v>61410.578000000009</v>
      </c>
      <c r="D388" s="43">
        <f t="shared" si="36"/>
        <v>61.578000000008615</v>
      </c>
      <c r="E388" s="43">
        <f>ROUND(C388*'Allocation Factors'!$G$18,0)</f>
        <v>61349</v>
      </c>
      <c r="F388" s="10">
        <f>'Sch 5'!C375</f>
        <v>1294.6300000000001</v>
      </c>
      <c r="G388" s="10">
        <f t="shared" si="37"/>
        <v>62643.63</v>
      </c>
      <c r="H388" s="10"/>
      <c r="I388" s="199" t="s">
        <v>348</v>
      </c>
      <c r="J388" s="38"/>
      <c r="K388" s="88"/>
      <c r="L388" s="88"/>
      <c r="M388" s="88"/>
      <c r="N388" s="88"/>
    </row>
    <row r="389" spans="1:14" ht="14.1" customHeight="1">
      <c r="A389" s="379">
        <f t="shared" si="35"/>
        <v>373</v>
      </c>
      <c r="B389" s="22" t="s">
        <v>247</v>
      </c>
      <c r="C389" s="10">
        <v>41581.063999999998</v>
      </c>
      <c r="D389" s="43">
        <f t="shared" si="36"/>
        <v>42.063999999998487</v>
      </c>
      <c r="E389" s="43">
        <f>ROUND(C389*'Allocation Factors'!$G$18,0)</f>
        <v>41539</v>
      </c>
      <c r="F389" s="10">
        <f>'Sch 5'!C376</f>
        <v>-1620.9</v>
      </c>
      <c r="G389" s="10">
        <f t="shared" si="37"/>
        <v>39918.1</v>
      </c>
      <c r="H389" s="10"/>
      <c r="I389" s="199" t="s">
        <v>348</v>
      </c>
      <c r="J389" s="38"/>
    </row>
    <row r="390" spans="1:14" ht="14.1" customHeight="1">
      <c r="A390" s="379">
        <f t="shared" si="35"/>
        <v>374</v>
      </c>
      <c r="B390" s="56" t="s">
        <v>248</v>
      </c>
      <c r="C390" s="43">
        <v>53483.23</v>
      </c>
      <c r="D390" s="43">
        <f t="shared" si="36"/>
        <v>53.230000000003201</v>
      </c>
      <c r="E390" s="43">
        <f>ROUND(C390*'Allocation Factors'!$G$18,0)</f>
        <v>53430</v>
      </c>
      <c r="F390" s="10">
        <f>'Sch 5'!C377</f>
        <v>1021.54</v>
      </c>
      <c r="G390" s="10">
        <f t="shared" si="37"/>
        <v>54451.54</v>
      </c>
      <c r="H390" s="10"/>
      <c r="I390" s="199" t="s">
        <v>348</v>
      </c>
      <c r="J390" s="38"/>
    </row>
    <row r="391" spans="1:14" ht="14.1" customHeight="1">
      <c r="A391" s="379">
        <f t="shared" si="35"/>
        <v>375</v>
      </c>
      <c r="B391" s="20" t="s">
        <v>507</v>
      </c>
      <c r="C391" s="47">
        <f>SUM(C380:C390)</f>
        <v>32785753.596999999</v>
      </c>
      <c r="D391" s="85">
        <f>SUM(D380:D390)</f>
        <v>32787.597000000766</v>
      </c>
      <c r="E391" s="85">
        <f>SUM(E380:E390)</f>
        <v>32752966</v>
      </c>
      <c r="F391" s="85">
        <f>SUM(F380:F390)</f>
        <v>4277.6600000000144</v>
      </c>
      <c r="G391" s="85">
        <f>SUM(G380:G390)</f>
        <v>32757243.66</v>
      </c>
      <c r="H391" s="85"/>
      <c r="I391" s="147"/>
      <c r="J391" s="38"/>
    </row>
    <row r="392" spans="1:14" ht="14.1" customHeight="1">
      <c r="A392" s="379">
        <f t="shared" si="35"/>
        <v>376</v>
      </c>
      <c r="B392" s="164"/>
      <c r="C392" s="64"/>
      <c r="D392" s="151"/>
      <c r="E392" s="58"/>
      <c r="F392" s="151"/>
      <c r="G392" s="64"/>
      <c r="H392" s="64"/>
      <c r="I392" s="135"/>
      <c r="J392" s="38"/>
    </row>
    <row r="393" spans="1:14" ht="14.1" customHeight="1">
      <c r="A393" s="379">
        <f t="shared" si="35"/>
        <v>377</v>
      </c>
      <c r="B393" s="20" t="s">
        <v>249</v>
      </c>
      <c r="C393" s="16">
        <f>C378+C391</f>
        <v>42690619.729999997</v>
      </c>
      <c r="D393" s="16">
        <f>D378+D391</f>
        <v>42692.730000000214</v>
      </c>
      <c r="E393" s="16">
        <f>E378+E391</f>
        <v>42647927</v>
      </c>
      <c r="F393" s="16">
        <f>F378+F391</f>
        <v>28506.320000000047</v>
      </c>
      <c r="G393" s="16">
        <f>G378+G391</f>
        <v>42676433.32</v>
      </c>
      <c r="H393" s="16"/>
      <c r="I393" s="17"/>
      <c r="J393" s="38"/>
    </row>
    <row r="394" spans="1:14" ht="14.1" customHeight="1">
      <c r="A394" s="379">
        <f t="shared" si="35"/>
        <v>378</v>
      </c>
      <c r="B394" s="129"/>
      <c r="C394" s="16">
        <f>C327+C363+C391+C435+C436-C362</f>
        <v>63676333.876999989</v>
      </c>
      <c r="D394" s="16">
        <f>D327+D363+D391+D435+D436-D362</f>
        <v>488627.49055000144</v>
      </c>
      <c r="E394" s="16">
        <f>E327+E363+E391+E435+E436-E362</f>
        <v>63187706.386449993</v>
      </c>
      <c r="F394" s="16">
        <f>F327+F363+F391+F435+F436-F362</f>
        <v>-935043.7899999998</v>
      </c>
      <c r="G394" s="16">
        <f>G327+G363+G391+G435+G436-G362</f>
        <v>62252662.596450001</v>
      </c>
      <c r="H394" s="16"/>
      <c r="I394" s="17"/>
      <c r="J394" s="38"/>
    </row>
    <row r="395" spans="1:14" ht="14.1" customHeight="1">
      <c r="A395" s="379">
        <f t="shared" si="35"/>
        <v>379</v>
      </c>
      <c r="B395" s="13" t="s">
        <v>250</v>
      </c>
      <c r="C395" s="43"/>
      <c r="D395" s="43"/>
      <c r="E395" s="43"/>
      <c r="F395" s="43"/>
      <c r="G395" s="10"/>
      <c r="H395" s="10"/>
      <c r="I395" s="15"/>
      <c r="J395" s="38"/>
    </row>
    <row r="396" spans="1:14" ht="14.1" customHeight="1">
      <c r="A396" s="379">
        <f t="shared" si="35"/>
        <v>380</v>
      </c>
      <c r="B396" s="22" t="s">
        <v>251</v>
      </c>
      <c r="C396" s="10">
        <v>37113.800000000003</v>
      </c>
      <c r="D396" s="43">
        <f t="shared" ref="D396:D401" si="38">C396-E396</f>
        <v>0.80000000000291038</v>
      </c>
      <c r="E396" s="10">
        <f>ROUND(C396*'Allocation Factors'!$G$36,0)</f>
        <v>37113</v>
      </c>
      <c r="F396" s="10">
        <f>'Sch 5'!C383</f>
        <v>-670.17000000000007</v>
      </c>
      <c r="G396" s="10">
        <f t="shared" ref="G396:G401" si="39">E396+F396</f>
        <v>36442.83</v>
      </c>
      <c r="H396" s="10"/>
      <c r="I396" s="15" t="s">
        <v>809</v>
      </c>
      <c r="J396" s="38"/>
    </row>
    <row r="397" spans="1:14" ht="14.1" customHeight="1">
      <c r="A397" s="379">
        <f t="shared" si="35"/>
        <v>381</v>
      </c>
      <c r="B397" s="22" t="s">
        <v>252</v>
      </c>
      <c r="C397" s="10">
        <f>48271.93+415130.32+58323.42</f>
        <v>521725.67</v>
      </c>
      <c r="D397" s="43">
        <f t="shared" si="38"/>
        <v>6.6699999999837019</v>
      </c>
      <c r="E397" s="10">
        <f>ROUND(C397*'Allocation Factors'!$G$36,0)</f>
        <v>521719</v>
      </c>
      <c r="F397" s="10">
        <f>'Sch 5'!C384</f>
        <v>-16946.7</v>
      </c>
      <c r="G397" s="10">
        <f t="shared" si="39"/>
        <v>504772.3</v>
      </c>
      <c r="H397" s="10"/>
      <c r="I397" s="15" t="s">
        <v>809</v>
      </c>
      <c r="J397" s="65"/>
      <c r="K397" s="200"/>
    </row>
    <row r="398" spans="1:14" ht="14.1" customHeight="1">
      <c r="A398" s="379">
        <f t="shared" si="35"/>
        <v>382</v>
      </c>
      <c r="B398" s="22" t="s">
        <v>253</v>
      </c>
      <c r="C398" s="10">
        <f>416489.68+2725456.13+18771.31+533447.16+47653.5+52693.28+1149435.42+276114.13+92424.89</f>
        <v>5312485.5</v>
      </c>
      <c r="D398" s="43">
        <f t="shared" si="38"/>
        <v>64.5</v>
      </c>
      <c r="E398" s="10">
        <f>ROUND(C398*'Allocation Factors'!$G$36,0)</f>
        <v>5312421</v>
      </c>
      <c r="F398" s="10">
        <f>'Sch 5'!C385</f>
        <v>-32938.44</v>
      </c>
      <c r="G398" s="10">
        <f t="shared" si="39"/>
        <v>5279482.5599999996</v>
      </c>
      <c r="H398" s="10"/>
      <c r="I398" s="15" t="s">
        <v>809</v>
      </c>
      <c r="J398" s="65"/>
      <c r="K398" s="200"/>
    </row>
    <row r="399" spans="1:14" ht="14.1" customHeight="1">
      <c r="A399" s="379">
        <f t="shared" si="35"/>
        <v>383</v>
      </c>
      <c r="B399" s="22" t="s">
        <v>254</v>
      </c>
      <c r="C399" s="10">
        <v>0</v>
      </c>
      <c r="D399" s="43">
        <f t="shared" si="38"/>
        <v>0</v>
      </c>
      <c r="E399" s="10">
        <f>ROUND(C399*'Allocation Factors'!$G$36,0)</f>
        <v>0</v>
      </c>
      <c r="F399" s="10">
        <f>'Sch 5'!C386</f>
        <v>0</v>
      </c>
      <c r="G399" s="10">
        <f t="shared" si="39"/>
        <v>0</v>
      </c>
      <c r="H399" s="10"/>
      <c r="I399" s="15" t="s">
        <v>809</v>
      </c>
      <c r="J399" s="165"/>
      <c r="K399" s="200"/>
    </row>
    <row r="400" spans="1:14" s="21" customFormat="1" ht="14.1" customHeight="1">
      <c r="A400" s="379">
        <f t="shared" si="35"/>
        <v>384</v>
      </c>
      <c r="B400" s="22" t="s">
        <v>255</v>
      </c>
      <c r="C400" s="10">
        <v>493529.47000000003</v>
      </c>
      <c r="D400" s="43">
        <f t="shared" si="38"/>
        <v>6.470000000030268</v>
      </c>
      <c r="E400" s="10">
        <f>ROUND(C400*'Allocation Factors'!$G$36,0)</f>
        <v>493523</v>
      </c>
      <c r="F400" s="10">
        <f>'Sch 5'!C387</f>
        <v>0</v>
      </c>
      <c r="G400" s="10">
        <f t="shared" si="39"/>
        <v>493523</v>
      </c>
      <c r="H400" s="10"/>
      <c r="I400" s="15" t="s">
        <v>809</v>
      </c>
      <c r="J400" s="66"/>
      <c r="K400" s="201"/>
      <c r="L400" s="88"/>
      <c r="M400" s="88"/>
      <c r="N400" s="88"/>
    </row>
    <row r="401" spans="1:11" ht="14.1" customHeight="1">
      <c r="A401" s="379">
        <f t="shared" si="35"/>
        <v>385</v>
      </c>
      <c r="B401" s="56" t="s">
        <v>256</v>
      </c>
      <c r="C401" s="43">
        <v>25398.04</v>
      </c>
      <c r="D401" s="43">
        <f t="shared" si="38"/>
        <v>4.0000000000873115E-2</v>
      </c>
      <c r="E401" s="10">
        <f>ROUND(C401*'Allocation Factors'!$G$36,0)</f>
        <v>25398</v>
      </c>
      <c r="F401" s="10">
        <f>'Sch 5'!C388</f>
        <v>0</v>
      </c>
      <c r="G401" s="10">
        <f t="shared" si="39"/>
        <v>25398</v>
      </c>
      <c r="H401" s="10"/>
      <c r="I401" s="15" t="s">
        <v>809</v>
      </c>
      <c r="J401" s="65"/>
      <c r="K401" s="202"/>
    </row>
    <row r="402" spans="1:11" ht="14.1" customHeight="1">
      <c r="A402" s="379">
        <f t="shared" si="35"/>
        <v>386</v>
      </c>
      <c r="B402" s="20" t="s">
        <v>508</v>
      </c>
      <c r="C402" s="85">
        <f>SUM(C396:C401)</f>
        <v>6390252.4799999995</v>
      </c>
      <c r="D402" s="85">
        <f>SUM(D396:D401)</f>
        <v>78.480000000017753</v>
      </c>
      <c r="E402" s="85">
        <f>SUM(E396:E401)</f>
        <v>6390174</v>
      </c>
      <c r="F402" s="85">
        <f>SUM(F396:F401)</f>
        <v>-50555.310000000005</v>
      </c>
      <c r="G402" s="85">
        <f>SUM(G396:G401)</f>
        <v>6339618.6899999995</v>
      </c>
      <c r="H402" s="85"/>
      <c r="I402" s="147"/>
      <c r="J402" s="38"/>
    </row>
    <row r="403" spans="1:11" ht="14.1" customHeight="1">
      <c r="A403" s="379">
        <f t="shared" si="35"/>
        <v>387</v>
      </c>
      <c r="B403" s="129"/>
      <c r="C403" s="16"/>
      <c r="D403" s="16"/>
      <c r="E403" s="130"/>
      <c r="F403" s="16"/>
      <c r="G403" s="43"/>
      <c r="H403" s="43"/>
      <c r="I403" s="15"/>
      <c r="J403" s="38"/>
    </row>
    <row r="404" spans="1:11" ht="14.1" customHeight="1">
      <c r="A404" s="379">
        <f t="shared" si="35"/>
        <v>388</v>
      </c>
      <c r="B404" s="13" t="s">
        <v>257</v>
      </c>
      <c r="C404" s="43"/>
      <c r="D404" s="43"/>
      <c r="E404" s="43"/>
      <c r="F404" s="43"/>
      <c r="G404" s="10"/>
      <c r="H404" s="10"/>
      <c r="I404" s="15"/>
      <c r="J404" s="38"/>
    </row>
    <row r="405" spans="1:11" ht="14.1" customHeight="1">
      <c r="A405" s="379">
        <f t="shared" si="35"/>
        <v>389</v>
      </c>
      <c r="B405" s="22" t="s">
        <v>258</v>
      </c>
      <c r="C405" s="10">
        <f>-83939.12+0.61</f>
        <v>-83938.51</v>
      </c>
      <c r="D405" s="43">
        <f>C405-E405</f>
        <v>-1.5099999999947613</v>
      </c>
      <c r="E405" s="10">
        <f>ROUND(C405*'Allocation Factors'!$G$36,0)</f>
        <v>-83937</v>
      </c>
      <c r="F405" s="10">
        <f>'Sch 5'!C392</f>
        <v>-345.65</v>
      </c>
      <c r="G405" s="10">
        <f>E405+F405</f>
        <v>-84282.65</v>
      </c>
      <c r="H405" s="10"/>
      <c r="I405" s="15" t="s">
        <v>809</v>
      </c>
      <c r="J405" s="38"/>
    </row>
    <row r="406" spans="1:11" ht="13.5" customHeight="1">
      <c r="A406" s="379">
        <f t="shared" si="35"/>
        <v>390</v>
      </c>
      <c r="B406" s="22" t="s">
        <v>259</v>
      </c>
      <c r="C406" s="10">
        <f>1089686.06+4.18-498767.27</f>
        <v>590922.97</v>
      </c>
      <c r="D406" s="43">
        <f>C406-E406</f>
        <v>2.9699999999720603</v>
      </c>
      <c r="E406" s="10">
        <f>ROUND((J406)+(C406-J406)*'Allocation Factors'!$G$36,0)</f>
        <v>590920</v>
      </c>
      <c r="F406" s="10">
        <f>'Sch 5'!C393</f>
        <v>-365748.89</v>
      </c>
      <c r="G406" s="10">
        <f>E406+F406</f>
        <v>225171.11</v>
      </c>
      <c r="H406" s="10"/>
      <c r="I406" s="15" t="s">
        <v>809</v>
      </c>
      <c r="J406" s="10">
        <f>-497876+482478+370224</f>
        <v>354826</v>
      </c>
      <c r="K406" s="88" t="s">
        <v>1065</v>
      </c>
    </row>
    <row r="407" spans="1:11" ht="14.1" customHeight="1">
      <c r="A407" s="379">
        <f t="shared" si="35"/>
        <v>391</v>
      </c>
      <c r="B407" s="22" t="s">
        <v>260</v>
      </c>
      <c r="C407" s="10">
        <v>109064.94</v>
      </c>
      <c r="D407" s="43">
        <f>C407-E407</f>
        <v>0.94000000000232831</v>
      </c>
      <c r="E407" s="10">
        <f>ROUND(C407*'Allocation Factors'!$G$36,0)</f>
        <v>109064</v>
      </c>
      <c r="F407" s="10">
        <f>'Sch 5'!C394</f>
        <v>-3009</v>
      </c>
      <c r="G407" s="10">
        <f>E407+F407</f>
        <v>106055</v>
      </c>
      <c r="H407" s="10"/>
      <c r="I407" s="15" t="s">
        <v>809</v>
      </c>
      <c r="J407" s="38"/>
    </row>
    <row r="408" spans="1:11" ht="14.1" customHeight="1">
      <c r="A408" s="379">
        <f t="shared" si="35"/>
        <v>392</v>
      </c>
      <c r="B408" s="56" t="s">
        <v>261</v>
      </c>
      <c r="C408" s="43">
        <f>118528.09+394.12</f>
        <v>118922.20999999999</v>
      </c>
      <c r="D408" s="43">
        <f>C408-E408</f>
        <v>1.2099999999918509</v>
      </c>
      <c r="E408" s="10">
        <f>ROUND(C408*'Allocation Factors'!$G$36,0)</f>
        <v>118921</v>
      </c>
      <c r="F408" s="10">
        <f>'Sch 5'!C395</f>
        <v>-18198.52</v>
      </c>
      <c r="G408" s="10">
        <f>E408+F408</f>
        <v>100722.48</v>
      </c>
      <c r="H408" s="10"/>
      <c r="I408" s="15" t="s">
        <v>809</v>
      </c>
      <c r="J408" s="38"/>
    </row>
    <row r="409" spans="1:11" ht="14.1" customHeight="1">
      <c r="A409" s="379">
        <f t="shared" si="35"/>
        <v>393</v>
      </c>
      <c r="B409" s="20" t="s">
        <v>509</v>
      </c>
      <c r="C409" s="85">
        <f>SUM(C405:C408)</f>
        <v>734971.60999999987</v>
      </c>
      <c r="D409" s="85">
        <f>SUM(D404:D408)</f>
        <v>3.6099999999714782</v>
      </c>
      <c r="E409" s="85">
        <f>SUM(E404:E408)</f>
        <v>734968</v>
      </c>
      <c r="F409" s="85">
        <f>SUM(F404:F408)</f>
        <v>-387302.06000000006</v>
      </c>
      <c r="G409" s="85">
        <f>SUM(G405:G408)</f>
        <v>347665.94</v>
      </c>
      <c r="H409" s="85"/>
      <c r="I409" s="147"/>
      <c r="J409" s="38"/>
    </row>
    <row r="410" spans="1:11" ht="14.1" customHeight="1">
      <c r="A410" s="379">
        <f t="shared" si="35"/>
        <v>394</v>
      </c>
      <c r="B410" s="129"/>
      <c r="C410" s="16"/>
      <c r="D410" s="16"/>
      <c r="E410" s="130"/>
      <c r="F410" s="16"/>
      <c r="G410" s="43"/>
      <c r="H410" s="43"/>
      <c r="I410" s="15"/>
      <c r="J410" s="38"/>
    </row>
    <row r="411" spans="1:11" ht="14.1" customHeight="1">
      <c r="A411" s="379">
        <f t="shared" si="35"/>
        <v>395</v>
      </c>
      <c r="B411" s="13" t="s">
        <v>262</v>
      </c>
      <c r="C411" s="43"/>
      <c r="D411" s="43"/>
      <c r="E411" s="43"/>
      <c r="F411" s="43"/>
      <c r="G411" s="10"/>
      <c r="H411" s="10"/>
      <c r="I411" s="15"/>
      <c r="J411" s="38"/>
    </row>
    <row r="412" spans="1:11" ht="14.1" customHeight="1">
      <c r="A412" s="379">
        <f t="shared" si="35"/>
        <v>396</v>
      </c>
      <c r="B412" s="22" t="s">
        <v>263</v>
      </c>
      <c r="C412" s="10">
        <f>698.18+11.83</f>
        <v>710.01</v>
      </c>
      <c r="D412" s="43">
        <f>C412-E412</f>
        <v>8.5934738931428001E-3</v>
      </c>
      <c r="E412" s="43">
        <f>C412*'Allocation Factors'!$G$36</f>
        <v>710.00140652610685</v>
      </c>
      <c r="F412" s="10">
        <f>'Sch 5'!C399</f>
        <v>0</v>
      </c>
      <c r="G412" s="10">
        <f>E412+F412</f>
        <v>710.00140652610685</v>
      </c>
      <c r="H412" s="10"/>
      <c r="I412" s="15" t="s">
        <v>809</v>
      </c>
      <c r="J412" s="38"/>
    </row>
    <row r="413" spans="1:11" ht="14.1" customHeight="1">
      <c r="A413" s="379">
        <f t="shared" si="35"/>
        <v>397</v>
      </c>
      <c r="B413" s="22" t="s">
        <v>264</v>
      </c>
      <c r="C413" s="10">
        <f>49451.25+39.54+27.31</f>
        <v>49518.1</v>
      </c>
      <c r="D413" s="43">
        <f>C413-E413</f>
        <v>0.59933310740598245</v>
      </c>
      <c r="E413" s="43">
        <f>C413*'Allocation Factors'!$G$36</f>
        <v>49517.500666892593</v>
      </c>
      <c r="F413" s="10">
        <f>'Sch 5'!C400</f>
        <v>0</v>
      </c>
      <c r="G413" s="10">
        <f>E413+F413</f>
        <v>49517.500666892593</v>
      </c>
      <c r="H413" s="10"/>
      <c r="I413" s="15" t="s">
        <v>809</v>
      </c>
      <c r="J413" s="38"/>
    </row>
    <row r="414" spans="1:11" ht="14.1" customHeight="1">
      <c r="A414" s="379">
        <f t="shared" si="35"/>
        <v>398</v>
      </c>
      <c r="B414" s="22" t="s">
        <v>265</v>
      </c>
      <c r="C414" s="10">
        <f>530.01+1522.43</f>
        <v>2052.44</v>
      </c>
      <c r="D414" s="43">
        <f>C414-E414</f>
        <v>2.4841325554916693E-2</v>
      </c>
      <c r="E414" s="43">
        <f>C414*'Allocation Factors'!$G$36</f>
        <v>2052.4151586744451</v>
      </c>
      <c r="F414" s="10">
        <f>'Sch 5'!C401</f>
        <v>0</v>
      </c>
      <c r="G414" s="10">
        <f>E414+F414</f>
        <v>2052.4151586744451</v>
      </c>
      <c r="H414" s="10"/>
      <c r="I414" s="15" t="s">
        <v>809</v>
      </c>
      <c r="J414" s="38"/>
    </row>
    <row r="415" spans="1:11" ht="14.1" customHeight="1">
      <c r="A415" s="379">
        <f t="shared" si="35"/>
        <v>399</v>
      </c>
      <c r="B415" s="56" t="s">
        <v>266</v>
      </c>
      <c r="C415" s="43">
        <v>0</v>
      </c>
      <c r="D415" s="43">
        <f>C415-E415</f>
        <v>0</v>
      </c>
      <c r="E415" s="43">
        <f>C415*'Allocation Factors'!$G$36</f>
        <v>0</v>
      </c>
      <c r="F415" s="10">
        <f>'Sch 5'!C402</f>
        <v>0</v>
      </c>
      <c r="G415" s="10">
        <f>E415+F415</f>
        <v>0</v>
      </c>
      <c r="H415" s="10"/>
      <c r="I415" s="15" t="s">
        <v>809</v>
      </c>
      <c r="J415" s="38"/>
    </row>
    <row r="416" spans="1:11" ht="14.1" customHeight="1">
      <c r="A416" s="379">
        <f t="shared" si="35"/>
        <v>400</v>
      </c>
      <c r="B416" s="20" t="s">
        <v>510</v>
      </c>
      <c r="C416" s="85">
        <f>SUM(C411:C415)</f>
        <v>52280.55</v>
      </c>
      <c r="D416" s="85">
        <f>SUM(D411:D415)</f>
        <v>0.63276790685404194</v>
      </c>
      <c r="E416" s="85">
        <f>SUM(E411:E415)</f>
        <v>52279.917232093147</v>
      </c>
      <c r="F416" s="85">
        <f>SUM(F411:F415)</f>
        <v>0</v>
      </c>
      <c r="G416" s="85">
        <f>SUM(G412:G415)</f>
        <v>52279.917232093147</v>
      </c>
      <c r="H416" s="85"/>
      <c r="I416" s="147"/>
      <c r="J416" s="38"/>
    </row>
    <row r="417" spans="1:11" ht="14.1" customHeight="1">
      <c r="A417" s="379">
        <f t="shared" si="35"/>
        <v>401</v>
      </c>
      <c r="B417" s="129"/>
      <c r="C417" s="16"/>
      <c r="D417" s="16"/>
      <c r="E417" s="16"/>
      <c r="F417" s="16"/>
      <c r="G417" s="43"/>
      <c r="H417" s="43"/>
      <c r="I417" s="15"/>
      <c r="J417" s="38"/>
    </row>
    <row r="418" spans="1:11" ht="14.1" customHeight="1">
      <c r="A418" s="379">
        <f t="shared" si="35"/>
        <v>402</v>
      </c>
      <c r="B418" s="13" t="s">
        <v>267</v>
      </c>
      <c r="C418" s="43"/>
      <c r="D418" s="43"/>
      <c r="E418" s="251"/>
      <c r="F418" s="43"/>
      <c r="G418" s="10"/>
      <c r="H418" s="10"/>
      <c r="I418" s="15"/>
      <c r="J418" s="38"/>
    </row>
    <row r="419" spans="1:11" ht="14.1" customHeight="1">
      <c r="A419" s="379">
        <f t="shared" si="35"/>
        <v>403</v>
      </c>
      <c r="B419" s="22" t="s">
        <v>268</v>
      </c>
      <c r="C419" s="10">
        <f>10517554.8+3395.33</f>
        <v>10520950.130000001</v>
      </c>
      <c r="D419" s="43">
        <f t="shared" ref="D419:D432" si="40">C419-E419</f>
        <v>157814.13000000082</v>
      </c>
      <c r="E419" s="43">
        <f>ROUND(J419+(C419-J419)*'Allocation Factors'!$G$38,0)</f>
        <v>10363136</v>
      </c>
      <c r="F419" s="10">
        <f>'Sch 5'!C406</f>
        <v>-104141.04</v>
      </c>
      <c r="G419" s="10">
        <f t="shared" ref="G419:G432" si="41">E419+F419</f>
        <v>10258994.960000001</v>
      </c>
      <c r="H419" s="10"/>
      <c r="I419" s="15" t="s">
        <v>927</v>
      </c>
      <c r="J419" s="38"/>
    </row>
    <row r="420" spans="1:11" ht="14.1" customHeight="1">
      <c r="A420" s="379">
        <f t="shared" si="35"/>
        <v>404</v>
      </c>
      <c r="B420" s="22" t="s">
        <v>269</v>
      </c>
      <c r="C420" s="10">
        <v>934396.04</v>
      </c>
      <c r="D420" s="43">
        <f t="shared" si="40"/>
        <v>14016.040000000037</v>
      </c>
      <c r="E420" s="43">
        <f>ROUND(J420+(C420-J420)*'Allocation Factors'!$G$38,0)</f>
        <v>920380</v>
      </c>
      <c r="F420" s="10">
        <f>'Sch 5'!C407</f>
        <v>-14309.24</v>
      </c>
      <c r="G420" s="10">
        <f t="shared" si="41"/>
        <v>906070.76</v>
      </c>
      <c r="H420" s="10"/>
      <c r="I420" s="15" t="s">
        <v>927</v>
      </c>
      <c r="J420" s="10"/>
    </row>
    <row r="421" spans="1:11" ht="14.1" customHeight="1">
      <c r="A421" s="379">
        <f t="shared" si="35"/>
        <v>405</v>
      </c>
      <c r="B421" s="22" t="s">
        <v>270</v>
      </c>
      <c r="C421" s="10">
        <f>-575478.63-484193.84-262.4</f>
        <v>-1059934.8699999999</v>
      </c>
      <c r="D421" s="43">
        <f t="shared" si="40"/>
        <v>-15899.02304999996</v>
      </c>
      <c r="E421" s="43">
        <f>C421*'Allocation Factors'!$G$38</f>
        <v>-1044035.8469499999</v>
      </c>
      <c r="F421" s="10">
        <f>'Sch 5'!C408</f>
        <v>14215</v>
      </c>
      <c r="G421" s="10">
        <f t="shared" si="41"/>
        <v>-1029820.8469499999</v>
      </c>
      <c r="H421" s="10"/>
      <c r="I421" s="15" t="s">
        <v>927</v>
      </c>
      <c r="J421" s="38"/>
    </row>
    <row r="422" spans="1:11" s="21" customFormat="1" ht="14.1" customHeight="1">
      <c r="A422" s="379">
        <f t="shared" si="35"/>
        <v>406</v>
      </c>
      <c r="B422" s="22" t="s">
        <v>271</v>
      </c>
      <c r="C422" s="10">
        <v>3362720.9</v>
      </c>
      <c r="D422" s="43">
        <f t="shared" si="40"/>
        <v>50440.813500000164</v>
      </c>
      <c r="E422" s="43">
        <f>C422*'Allocation Factors'!$G$38</f>
        <v>3312280.0864999997</v>
      </c>
      <c r="F422" s="10">
        <f>'Sch 5'!C409</f>
        <v>-6487</v>
      </c>
      <c r="G422" s="10">
        <f t="shared" si="41"/>
        <v>3305793.0864999997</v>
      </c>
      <c r="H422" s="10"/>
      <c r="I422" s="15" t="s">
        <v>927</v>
      </c>
      <c r="J422" s="38"/>
      <c r="K422" s="88"/>
    </row>
    <row r="423" spans="1:11" s="21" customFormat="1" ht="14.1" customHeight="1">
      <c r="A423" s="379">
        <f t="shared" si="35"/>
        <v>407</v>
      </c>
      <c r="B423" s="22" t="s">
        <v>272</v>
      </c>
      <c r="C423" s="10">
        <v>919174.39800000004</v>
      </c>
      <c r="D423" s="43">
        <f t="shared" si="40"/>
        <v>13787.615970000043</v>
      </c>
      <c r="E423" s="43">
        <f>C423*'Allocation Factors'!$G$38</f>
        <v>905386.78203</v>
      </c>
      <c r="F423" s="10">
        <f>'Sch 5'!C410</f>
        <v>51527</v>
      </c>
      <c r="G423" s="10">
        <f t="shared" si="41"/>
        <v>956913.78203</v>
      </c>
      <c r="H423" s="10"/>
      <c r="I423" s="15" t="s">
        <v>927</v>
      </c>
      <c r="J423" s="38"/>
    </row>
    <row r="424" spans="1:11" s="21" customFormat="1" ht="14.1" customHeight="1">
      <c r="A424" s="379">
        <f t="shared" si="35"/>
        <v>408</v>
      </c>
      <c r="B424" s="22" t="s">
        <v>273</v>
      </c>
      <c r="C424" s="10">
        <v>1520950.61</v>
      </c>
      <c r="D424" s="43">
        <f t="shared" si="40"/>
        <v>22814.259150000056</v>
      </c>
      <c r="E424" s="43">
        <f>C424*'Allocation Factors'!$G$38</f>
        <v>1498136.35085</v>
      </c>
      <c r="F424" s="10">
        <f>'Sch 5'!C411</f>
        <v>0</v>
      </c>
      <c r="G424" s="10">
        <f t="shared" si="41"/>
        <v>1498136.35085</v>
      </c>
      <c r="H424" s="10"/>
      <c r="I424" s="15" t="s">
        <v>927</v>
      </c>
      <c r="J424" s="38"/>
    </row>
    <row r="425" spans="1:11" s="21" customFormat="1" ht="14.1" customHeight="1">
      <c r="A425" s="379">
        <f t="shared" si="35"/>
        <v>409</v>
      </c>
      <c r="B425" s="22" t="s">
        <v>274</v>
      </c>
      <c r="C425" s="10">
        <v>1499692.89</v>
      </c>
      <c r="D425" s="43">
        <f t="shared" si="40"/>
        <v>22495.393350000028</v>
      </c>
      <c r="E425" s="43">
        <f>C425*'Allocation Factors'!$G$38</f>
        <v>1477197.4966499999</v>
      </c>
      <c r="F425" s="10">
        <f>'Sch 5'!C412</f>
        <v>-451291.86</v>
      </c>
      <c r="G425" s="10">
        <f t="shared" si="41"/>
        <v>1025905.6366499999</v>
      </c>
      <c r="H425" s="10"/>
      <c r="I425" s="15" t="s">
        <v>927</v>
      </c>
      <c r="J425" s="38"/>
    </row>
    <row r="426" spans="1:11" ht="14.1" customHeight="1">
      <c r="A426" s="379">
        <f t="shared" si="35"/>
        <v>410</v>
      </c>
      <c r="B426" s="88" t="s">
        <v>275</v>
      </c>
      <c r="C426" s="10">
        <v>0</v>
      </c>
      <c r="D426" s="43">
        <f t="shared" si="40"/>
        <v>0</v>
      </c>
      <c r="E426" s="43">
        <f>C426*'Allocation Factors'!$G$38</f>
        <v>0</v>
      </c>
      <c r="F426" s="10">
        <f>'Sch 5'!C413</f>
        <v>0</v>
      </c>
      <c r="G426" s="10">
        <f t="shared" si="41"/>
        <v>0</v>
      </c>
      <c r="H426" s="10"/>
      <c r="I426" s="15" t="s">
        <v>927</v>
      </c>
      <c r="J426" s="38"/>
    </row>
    <row r="427" spans="1:11" ht="13.5" customHeight="1">
      <c r="A427" s="379">
        <f t="shared" si="35"/>
        <v>411</v>
      </c>
      <c r="B427" s="22" t="s">
        <v>276</v>
      </c>
      <c r="C427" s="10">
        <v>125086.86000000002</v>
      </c>
      <c r="D427" s="43">
        <f t="shared" si="40"/>
        <v>1876.3028999999951</v>
      </c>
      <c r="E427" s="43">
        <f>C427*'Allocation Factors'!$G$38</f>
        <v>123210.55710000002</v>
      </c>
      <c r="F427" s="10">
        <f>'Sch 5'!C414</f>
        <v>0</v>
      </c>
      <c r="G427" s="10">
        <f t="shared" si="41"/>
        <v>123210.55710000002</v>
      </c>
      <c r="H427" s="10"/>
      <c r="I427" s="15" t="s">
        <v>927</v>
      </c>
      <c r="J427" s="38"/>
    </row>
    <row r="428" spans="1:11" ht="14.1" customHeight="1">
      <c r="A428" s="379">
        <f t="shared" si="35"/>
        <v>412</v>
      </c>
      <c r="B428" s="22" t="s">
        <v>277</v>
      </c>
      <c r="C428" s="10">
        <f>497.94-0.07</f>
        <v>497.87</v>
      </c>
      <c r="D428" s="43">
        <f t="shared" si="40"/>
        <v>-0.12999999999999545</v>
      </c>
      <c r="E428" s="10">
        <f>ROUND(C428*'Allocation Factors'!$G$34,0)</f>
        <v>498</v>
      </c>
      <c r="F428" s="10">
        <f>'Sch 5'!C415</f>
        <v>0</v>
      </c>
      <c r="G428" s="10">
        <f t="shared" si="41"/>
        <v>498</v>
      </c>
      <c r="H428" s="10"/>
      <c r="I428" s="15" t="s">
        <v>362</v>
      </c>
      <c r="J428" s="38"/>
    </row>
    <row r="429" spans="1:11" ht="14.1" customHeight="1">
      <c r="A429" s="379">
        <f t="shared" si="35"/>
        <v>413</v>
      </c>
      <c r="B429" s="22" t="s">
        <v>323</v>
      </c>
      <c r="C429" s="10">
        <f>1032843.98+16233.41</f>
        <v>1049077.3899999999</v>
      </c>
      <c r="D429" s="43">
        <f t="shared" si="40"/>
        <v>243.50115000014193</v>
      </c>
      <c r="E429" s="10">
        <f>(C429-J429)+(J429*'Allocation Factors'!$G$10)</f>
        <v>1048833.8888499998</v>
      </c>
      <c r="F429" s="10">
        <f>'Sch 5'!C416</f>
        <v>67875.900000000023</v>
      </c>
      <c r="G429" s="10">
        <f t="shared" si="41"/>
        <v>1116709.7888499997</v>
      </c>
      <c r="H429" s="10"/>
      <c r="I429" s="15" t="s">
        <v>880</v>
      </c>
      <c r="J429" s="38">
        <v>16233.41</v>
      </c>
      <c r="K429" s="88" t="s">
        <v>879</v>
      </c>
    </row>
    <row r="430" spans="1:11" ht="14.1" customHeight="1">
      <c r="A430" s="379">
        <f t="shared" si="35"/>
        <v>414</v>
      </c>
      <c r="B430" s="22" t="s">
        <v>278</v>
      </c>
      <c r="C430" s="10">
        <v>196231.93</v>
      </c>
      <c r="D430" s="43">
        <f t="shared" si="40"/>
        <v>2943.4789499999897</v>
      </c>
      <c r="E430" s="43">
        <f>C430*'Allocation Factors'!$G$38</f>
        <v>193288.45105</v>
      </c>
      <c r="F430" s="10">
        <f>'Sch 5'!C417</f>
        <v>-111982</v>
      </c>
      <c r="G430" s="10">
        <f t="shared" si="41"/>
        <v>81306.451050000003</v>
      </c>
      <c r="H430" s="10"/>
      <c r="I430" s="15" t="s">
        <v>927</v>
      </c>
      <c r="J430" s="38"/>
    </row>
    <row r="431" spans="1:11" ht="14.1" customHeight="1">
      <c r="A431" s="379">
        <f t="shared" si="35"/>
        <v>415</v>
      </c>
      <c r="B431" s="22" t="s">
        <v>279</v>
      </c>
      <c r="C431" s="10">
        <v>433840.28</v>
      </c>
      <c r="D431" s="43">
        <f t="shared" si="40"/>
        <v>6507.6042000000016</v>
      </c>
      <c r="E431" s="43">
        <f>C431*'Allocation Factors'!$G$38</f>
        <v>427332.67580000003</v>
      </c>
      <c r="F431" s="10">
        <f>'Sch 5'!C418</f>
        <v>-2563.39</v>
      </c>
      <c r="G431" s="10">
        <f t="shared" si="41"/>
        <v>424769.28580000001</v>
      </c>
      <c r="H431" s="10"/>
      <c r="I431" s="15" t="s">
        <v>927</v>
      </c>
      <c r="J431" s="38"/>
    </row>
    <row r="432" spans="1:11" ht="14.1" customHeight="1">
      <c r="A432" s="379">
        <f t="shared" si="35"/>
        <v>416</v>
      </c>
      <c r="B432" s="56" t="s">
        <v>280</v>
      </c>
      <c r="C432" s="43">
        <f>83380.16+74150.27+59046.28</f>
        <v>216576.71</v>
      </c>
      <c r="D432" s="43">
        <f t="shared" si="40"/>
        <v>3248.7099999999919</v>
      </c>
      <c r="E432" s="43">
        <f>ROUND(J432+(C432-J432)*'Allocation Factors'!$G$38,0)</f>
        <v>213328</v>
      </c>
      <c r="F432" s="10">
        <f>'Sch 5'!C419</f>
        <v>-5288.23</v>
      </c>
      <c r="G432" s="10">
        <f t="shared" si="41"/>
        <v>208039.77</v>
      </c>
      <c r="H432" s="10"/>
      <c r="I432" s="15" t="s">
        <v>927</v>
      </c>
      <c r="J432" s="38"/>
    </row>
    <row r="433" spans="1:14" ht="14.1" customHeight="1">
      <c r="A433" s="379">
        <f t="shared" si="35"/>
        <v>417</v>
      </c>
      <c r="B433" s="20" t="s">
        <v>511</v>
      </c>
      <c r="C433" s="85">
        <f>SUM(C419:C432)</f>
        <v>19719261.138000004</v>
      </c>
      <c r="D433" s="85">
        <f>SUM(D419:D432)</f>
        <v>280288.69612000138</v>
      </c>
      <c r="E433" s="85">
        <f>SUM(E419:E432)</f>
        <v>19438972.441879999</v>
      </c>
      <c r="F433" s="85">
        <f>SUM(F419:F432)</f>
        <v>-562444.86</v>
      </c>
      <c r="G433" s="166">
        <f>SUM(G419:G432)</f>
        <v>18876527.581879996</v>
      </c>
      <c r="H433" s="166"/>
      <c r="I433" s="167"/>
      <c r="J433" s="38"/>
    </row>
    <row r="434" spans="1:14" ht="14.1" customHeight="1">
      <c r="A434" s="379">
        <f t="shared" si="35"/>
        <v>418</v>
      </c>
      <c r="B434" s="22"/>
      <c r="C434" s="16"/>
      <c r="D434" s="16"/>
      <c r="E434" s="16"/>
      <c r="F434" s="16"/>
      <c r="G434" s="43"/>
      <c r="H434" s="43"/>
      <c r="I434" s="15"/>
      <c r="J434" s="38"/>
    </row>
    <row r="435" spans="1:14" ht="14.1" customHeight="1">
      <c r="A435" s="379">
        <f t="shared" si="35"/>
        <v>419</v>
      </c>
      <c r="B435" s="129" t="s">
        <v>281</v>
      </c>
      <c r="C435" s="43">
        <f>3088945.57-C436</f>
        <v>2292978.5199999996</v>
      </c>
      <c r="D435" s="16">
        <f>C435-E435</f>
        <v>34394.67780000018</v>
      </c>
      <c r="E435" s="43">
        <f>C435*'Allocation Factors'!$G$38</f>
        <v>2258583.8421999994</v>
      </c>
      <c r="F435" s="10">
        <f>'Sch 5'!C422</f>
        <v>4657.8699999999953</v>
      </c>
      <c r="G435" s="10">
        <f>E435+F435</f>
        <v>2263241.7121999995</v>
      </c>
      <c r="H435" s="10"/>
      <c r="I435" s="15" t="s">
        <v>927</v>
      </c>
      <c r="J435" s="38"/>
    </row>
    <row r="436" spans="1:14" ht="14.1" customHeight="1">
      <c r="A436" s="379">
        <f t="shared" si="35"/>
        <v>420</v>
      </c>
      <c r="B436" s="57" t="s">
        <v>282</v>
      </c>
      <c r="C436" s="43">
        <v>795967.05</v>
      </c>
      <c r="D436" s="16">
        <f>C436-E436</f>
        <v>11939.505750000011</v>
      </c>
      <c r="E436" s="43">
        <f>C436*'Allocation Factors'!$G$38</f>
        <v>784027.54425000004</v>
      </c>
      <c r="F436" s="10">
        <f>'Sch 5'!C423</f>
        <v>0</v>
      </c>
      <c r="G436" s="10">
        <f>E436+F436</f>
        <v>784027.54425000004</v>
      </c>
      <c r="H436" s="10"/>
      <c r="I436" s="15" t="s">
        <v>927</v>
      </c>
      <c r="J436" s="38"/>
    </row>
    <row r="437" spans="1:14" ht="14.1" customHeight="1">
      <c r="A437" s="379">
        <f t="shared" si="35"/>
        <v>421</v>
      </c>
      <c r="B437" s="20" t="s">
        <v>283</v>
      </c>
      <c r="C437" s="85">
        <f>C433+SUM(C435:C436)</f>
        <v>22808206.708000004</v>
      </c>
      <c r="D437" s="85">
        <f>D433+SUM(D435:D436)</f>
        <v>326622.87967000157</v>
      </c>
      <c r="E437" s="85">
        <f>E433+SUM(E435:E436)</f>
        <v>22481583.828329999</v>
      </c>
      <c r="F437" s="85">
        <f>F433+F435+F436</f>
        <v>-557786.99</v>
      </c>
      <c r="G437" s="166">
        <f>G433+G435+G436</f>
        <v>21923796.838329997</v>
      </c>
      <c r="H437" s="166"/>
      <c r="I437" s="167"/>
      <c r="J437" s="38"/>
    </row>
    <row r="438" spans="1:14" ht="14.1" customHeight="1">
      <c r="A438" s="379">
        <f t="shared" si="35"/>
        <v>422</v>
      </c>
      <c r="B438" s="57"/>
      <c r="C438" s="151"/>
      <c r="D438" s="151"/>
      <c r="E438" s="58"/>
      <c r="F438" s="151"/>
      <c r="G438" s="64"/>
      <c r="H438" s="64"/>
      <c r="I438" s="135"/>
      <c r="J438" s="38"/>
    </row>
    <row r="439" spans="1:14" s="21" customFormat="1" ht="14.1" customHeight="1">
      <c r="A439" s="379">
        <f t="shared" ref="A439:A504" si="42">+A438+1</f>
        <v>423</v>
      </c>
      <c r="B439" s="20" t="s">
        <v>512</v>
      </c>
      <c r="C439" s="168">
        <f>C437+C416+C409+C402+C393+C365+C338</f>
        <v>382213240.29300004</v>
      </c>
      <c r="D439" s="168">
        <f>D437+D416+D409+D402+D393+D365+D338</f>
        <v>7773867.5474379146</v>
      </c>
      <c r="E439" s="168">
        <f>E437+E416+E409+E402+E393+E365+E338</f>
        <v>374439372.74556208</v>
      </c>
      <c r="F439" s="168">
        <f>F437+F416+F409+F402+F393+F365+F338</f>
        <v>5461326.4499999974</v>
      </c>
      <c r="G439" s="168">
        <f>G437+G416+G409+G402+G393+G365+G338</f>
        <v>379886167.19556212</v>
      </c>
      <c r="H439" s="96">
        <f>ROUND(E439/C439,3)</f>
        <v>0.98</v>
      </c>
      <c r="I439" s="169"/>
      <c r="J439" s="38"/>
      <c r="K439" s="88"/>
      <c r="L439" s="88"/>
      <c r="M439" s="88"/>
      <c r="N439" s="88"/>
    </row>
    <row r="440" spans="1:14" s="21" customFormat="1" ht="14.1" customHeight="1">
      <c r="A440" s="379">
        <f t="shared" si="42"/>
        <v>424</v>
      </c>
      <c r="B440" s="129"/>
      <c r="C440" s="162"/>
      <c r="D440" s="162"/>
      <c r="E440" s="170"/>
      <c r="F440" s="162"/>
      <c r="G440" s="171"/>
      <c r="H440" s="171"/>
      <c r="I440" s="169"/>
      <c r="J440" s="38"/>
      <c r="K440" s="88"/>
      <c r="L440" s="88"/>
      <c r="M440" s="88"/>
      <c r="N440" s="88"/>
    </row>
    <row r="441" spans="1:14" s="21" customFormat="1" ht="14.1" customHeight="1">
      <c r="A441" s="379">
        <f t="shared" si="42"/>
        <v>425</v>
      </c>
      <c r="B441" s="90" t="s">
        <v>837</v>
      </c>
      <c r="C441" s="162">
        <f>(C439-(C308+C309+C310+C311+C332+C333))-(C343+C347+C348+C349+C350+C362)</f>
        <v>114479316.09300004</v>
      </c>
      <c r="D441" s="162">
        <f>(D439-(D308+D309+D310+D311+D332+D333))-(D343+D347+D348+D349+D362)</f>
        <v>4652165.3274379084</v>
      </c>
      <c r="E441" s="162">
        <f>(E439-(E308+E309+E310+E311+E332+E333))-(E343+E347+E348+E349+E362)</f>
        <v>113353488.74556208</v>
      </c>
      <c r="F441" s="162">
        <f>(F439-(F308+F332+F333))-(F343+F347+F348+F349+F362)</f>
        <v>-469083.19000000134</v>
      </c>
      <c r="G441" s="162">
        <f>(G439-(G308+G332+G333))-(G343+G347+G348+G349+G362)</f>
        <v>122141097.55556214</v>
      </c>
      <c r="H441" s="96">
        <f>ROUND(E441/C441,3)</f>
        <v>0.99</v>
      </c>
      <c r="J441" s="38"/>
      <c r="K441" s="88"/>
      <c r="L441" s="88"/>
      <c r="M441" s="88"/>
      <c r="N441" s="88"/>
    </row>
    <row r="442" spans="1:14" s="21" customFormat="1" ht="14.1" customHeight="1">
      <c r="A442" s="379">
        <f t="shared" si="42"/>
        <v>426</v>
      </c>
      <c r="B442" s="129"/>
      <c r="C442" s="162"/>
      <c r="D442" s="162"/>
      <c r="E442" s="170"/>
      <c r="F442" s="162"/>
      <c r="G442" s="171"/>
      <c r="H442" s="171"/>
      <c r="I442" s="169"/>
      <c r="J442" s="38"/>
      <c r="K442" s="88"/>
      <c r="L442" s="88"/>
      <c r="M442" s="88"/>
      <c r="N442" s="88"/>
    </row>
    <row r="443" spans="1:14" s="21" customFormat="1" ht="14.1" customHeight="1">
      <c r="A443" s="379">
        <f t="shared" si="42"/>
        <v>427</v>
      </c>
      <c r="B443" s="20" t="s">
        <v>375</v>
      </c>
      <c r="C443" s="162"/>
      <c r="D443" s="162"/>
      <c r="E443" s="170"/>
      <c r="F443" s="162"/>
      <c r="G443" s="172"/>
      <c r="H443" s="172"/>
      <c r="I443" s="169"/>
      <c r="J443" s="38"/>
      <c r="K443" s="88"/>
      <c r="L443" s="88"/>
      <c r="M443" s="88"/>
      <c r="N443" s="88"/>
    </row>
    <row r="444" spans="1:14" s="21" customFormat="1" ht="14.1" customHeight="1">
      <c r="A444" s="379">
        <f t="shared" si="42"/>
        <v>428</v>
      </c>
      <c r="B444" s="22" t="s">
        <v>395</v>
      </c>
      <c r="C444" s="162">
        <f>C307+SUM(C312:C319)+C327+C334+C335</f>
        <v>39504360.029999994</v>
      </c>
      <c r="D444" s="162">
        <f>D307+SUM(D312:D319)+D327+D334+D335</f>
        <v>581218.02999999991</v>
      </c>
      <c r="E444" s="162">
        <f>E307+SUM(E312:E319)+E327+E334+E335</f>
        <v>38923142</v>
      </c>
      <c r="F444" s="162">
        <f>'Sch 5'!C429</f>
        <v>-8940489.3299999982</v>
      </c>
      <c r="G444" s="172">
        <f>E444+F444</f>
        <v>29982652.670000002</v>
      </c>
      <c r="H444" s="172"/>
      <c r="I444" s="169"/>
      <c r="J444" s="38"/>
      <c r="K444" s="88"/>
      <c r="L444" s="88"/>
      <c r="M444" s="88"/>
      <c r="N444" s="88"/>
    </row>
    <row r="445" spans="1:14" s="21" customFormat="1" ht="14.1" customHeight="1">
      <c r="A445" s="379">
        <f t="shared" si="42"/>
        <v>429</v>
      </c>
      <c r="B445" s="22" t="s">
        <v>394</v>
      </c>
      <c r="C445" s="162">
        <f>C353+C363</f>
        <v>50619263.86500001</v>
      </c>
      <c r="D445" s="162">
        <f>D353+D363</f>
        <v>3740791.8650000091</v>
      </c>
      <c r="E445" s="162">
        <f>E353+E363</f>
        <v>46878472</v>
      </c>
      <c r="F445" s="10">
        <f>'Sch 5'!C430</f>
        <v>15368953.82</v>
      </c>
      <c r="G445" s="172">
        <f>E445+F445</f>
        <v>62247425.82</v>
      </c>
      <c r="H445" s="172"/>
      <c r="I445" s="169"/>
      <c r="J445" s="38"/>
      <c r="K445" s="88"/>
      <c r="L445" s="88"/>
      <c r="M445" s="88"/>
      <c r="N445" s="88"/>
    </row>
    <row r="446" spans="1:14" s="21" customFormat="1" ht="14.1" customHeight="1">
      <c r="A446" s="379">
        <f t="shared" si="42"/>
        <v>430</v>
      </c>
      <c r="B446" s="22" t="s">
        <v>249</v>
      </c>
      <c r="C446" s="162">
        <f>C393</f>
        <v>42690619.729999997</v>
      </c>
      <c r="D446" s="162">
        <f>D393</f>
        <v>42692.730000000214</v>
      </c>
      <c r="E446" s="162">
        <f>E393</f>
        <v>42647927</v>
      </c>
      <c r="F446" s="162">
        <f>'Sch 5'!C431</f>
        <v>28506.320000000065</v>
      </c>
      <c r="G446" s="172">
        <f>E446+F446</f>
        <v>42676433.32</v>
      </c>
      <c r="H446" s="172"/>
      <c r="I446" s="169"/>
      <c r="J446" s="38"/>
      <c r="K446" s="88"/>
      <c r="L446" s="88"/>
      <c r="M446" s="88"/>
      <c r="N446" s="88"/>
    </row>
    <row r="447" spans="1:14" s="21" customFormat="1" ht="14.1" customHeight="1">
      <c r="A447" s="379">
        <f t="shared" si="42"/>
        <v>431</v>
      </c>
      <c r="B447" s="22" t="s">
        <v>381</v>
      </c>
      <c r="C447" s="162">
        <f>C402+C409+C416</f>
        <v>7177504.6399999997</v>
      </c>
      <c r="D447" s="162">
        <f>D402+D409+D416</f>
        <v>82.722767906843274</v>
      </c>
      <c r="E447" s="162">
        <f>E402+E409+E416</f>
        <v>7177421.9172320934</v>
      </c>
      <c r="F447" s="162">
        <f>'Sch 5'!C432</f>
        <v>-437857.37</v>
      </c>
      <c r="G447" s="172">
        <f>E447+F447</f>
        <v>6739564.5472320933</v>
      </c>
      <c r="H447" s="172"/>
      <c r="I447" s="169"/>
      <c r="J447" s="38"/>
      <c r="K447" s="88"/>
      <c r="L447" s="88"/>
      <c r="M447" s="88"/>
      <c r="N447" s="88"/>
    </row>
    <row r="448" spans="1:14" s="21" customFormat="1" ht="14.1" customHeight="1">
      <c r="A448" s="379">
        <f t="shared" si="42"/>
        <v>432</v>
      </c>
      <c r="B448" s="56" t="s">
        <v>396</v>
      </c>
      <c r="C448" s="173">
        <f>C437</f>
        <v>22808206.708000004</v>
      </c>
      <c r="D448" s="173">
        <f>D437</f>
        <v>326622.87967000157</v>
      </c>
      <c r="E448" s="173">
        <f>E437</f>
        <v>22481583.828329999</v>
      </c>
      <c r="F448" s="162">
        <f>'Sch 5'!C433</f>
        <v>-557786.99</v>
      </c>
      <c r="G448" s="172">
        <f>E448+F448</f>
        <v>21923796.838330001</v>
      </c>
      <c r="H448" s="174"/>
      <c r="I448" s="175"/>
      <c r="J448" s="38"/>
      <c r="K448" s="88"/>
      <c r="L448" s="88"/>
      <c r="M448" s="88"/>
      <c r="N448" s="88"/>
    </row>
    <row r="449" spans="1:14" s="21" customFormat="1" ht="14.1" customHeight="1">
      <c r="A449" s="379">
        <f t="shared" si="42"/>
        <v>433</v>
      </c>
      <c r="B449" s="62" t="s">
        <v>513</v>
      </c>
      <c r="C449" s="176">
        <f>SUM(C444:C448)</f>
        <v>162799954.97299999</v>
      </c>
      <c r="D449" s="177">
        <f>SUM(D444:D448)</f>
        <v>4691408.2274379181</v>
      </c>
      <c r="E449" s="176">
        <f>SUM(E444:E448)</f>
        <v>158108546.74556211</v>
      </c>
      <c r="F449" s="176">
        <f>SUM(F444:F448)</f>
        <v>5461326.450000002</v>
      </c>
      <c r="G449" s="176">
        <f>SUM(G444:G448)</f>
        <v>163569873.19556209</v>
      </c>
      <c r="H449" s="178"/>
      <c r="I449" s="179"/>
      <c r="J449" s="38"/>
      <c r="K449" s="88"/>
      <c r="L449" s="88"/>
      <c r="M449" s="88"/>
      <c r="N449" s="88"/>
    </row>
    <row r="450" spans="1:14" s="21" customFormat="1" ht="14.1" customHeight="1" thickBot="1">
      <c r="A450" s="379">
        <f t="shared" si="42"/>
        <v>434</v>
      </c>
      <c r="B450" s="59" t="s">
        <v>514</v>
      </c>
      <c r="C450" s="180">
        <f>C449*0.125</f>
        <v>20349994.371624999</v>
      </c>
      <c r="D450" s="136">
        <f>D449*0.125</f>
        <v>586426.02842973976</v>
      </c>
      <c r="E450" s="180">
        <f>E449*0.125</f>
        <v>19763568.343195263</v>
      </c>
      <c r="F450" s="180">
        <f>F449*0.125</f>
        <v>682665.80625000026</v>
      </c>
      <c r="G450" s="180">
        <f>G449*0.125</f>
        <v>20446234.149445262</v>
      </c>
      <c r="H450" s="181"/>
      <c r="I450" s="182"/>
      <c r="J450" s="38"/>
      <c r="K450" s="88"/>
      <c r="L450" s="88"/>
      <c r="M450" s="88"/>
      <c r="N450" s="88"/>
    </row>
    <row r="451" spans="1:14" s="21" customFormat="1" ht="14.1" customHeight="1" thickTop="1">
      <c r="A451" s="379">
        <f t="shared" si="42"/>
        <v>435</v>
      </c>
      <c r="B451" s="129"/>
      <c r="C451" s="162"/>
      <c r="D451" s="162"/>
      <c r="E451" s="170"/>
      <c r="F451" s="162"/>
      <c r="G451" s="172"/>
      <c r="H451" s="172"/>
      <c r="I451" s="169"/>
      <c r="J451" s="38"/>
      <c r="K451" s="88"/>
      <c r="L451" s="88"/>
      <c r="M451" s="88"/>
      <c r="N451" s="88"/>
    </row>
    <row r="452" spans="1:14" ht="14.1" customHeight="1">
      <c r="A452" s="379">
        <f t="shared" si="42"/>
        <v>436</v>
      </c>
      <c r="B452" s="13" t="s">
        <v>284</v>
      </c>
      <c r="C452" s="43"/>
      <c r="D452" s="43"/>
      <c r="E452" s="43"/>
      <c r="F452" s="43"/>
      <c r="G452" s="10"/>
      <c r="H452" s="10"/>
      <c r="I452" s="15"/>
      <c r="J452" s="38"/>
    </row>
    <row r="453" spans="1:14" ht="14.1" customHeight="1">
      <c r="A453" s="379">
        <f t="shared" si="42"/>
        <v>437</v>
      </c>
      <c r="B453" s="22" t="s">
        <v>136</v>
      </c>
      <c r="C453" s="10">
        <f>35722685.75+242412-464470</f>
        <v>35500627.75</v>
      </c>
      <c r="D453" s="43">
        <f>C453-E453</f>
        <v>532509.75</v>
      </c>
      <c r="E453" s="10">
        <f>ROUND(J453+(C453-J453)*'Allocation Factors'!$G$10,0)</f>
        <v>34968118</v>
      </c>
      <c r="F453" s="10">
        <f>'Sch 5'!C438</f>
        <v>-5766062</v>
      </c>
      <c r="G453" s="10">
        <f>E453+F453</f>
        <v>29202056</v>
      </c>
      <c r="H453" s="10"/>
      <c r="I453" s="15" t="s">
        <v>341</v>
      </c>
      <c r="J453" s="38"/>
    </row>
    <row r="454" spans="1:14" ht="14.1" customHeight="1">
      <c r="A454" s="379">
        <f t="shared" si="42"/>
        <v>438</v>
      </c>
      <c r="B454" s="22" t="s">
        <v>286</v>
      </c>
      <c r="C454" s="10">
        <v>16716295.450000003</v>
      </c>
      <c r="D454" s="43">
        <f>C454-E454</f>
        <v>250744.45000000298</v>
      </c>
      <c r="E454" s="43">
        <f>ROUND(C454*'Allocation Factors'!$G$16,0)</f>
        <v>16465551</v>
      </c>
      <c r="F454" s="10">
        <f>'Sch 5'!C439</f>
        <v>836657</v>
      </c>
      <c r="G454" s="10">
        <f>E454+F454</f>
        <v>17302208</v>
      </c>
      <c r="H454" s="10"/>
      <c r="I454" s="15" t="s">
        <v>346</v>
      </c>
      <c r="J454" s="38"/>
    </row>
    <row r="455" spans="1:14" ht="14.1" customHeight="1">
      <c r="A455" s="379">
        <f t="shared" si="42"/>
        <v>439</v>
      </c>
      <c r="B455" s="22" t="s">
        <v>287</v>
      </c>
      <c r="C455" s="10">
        <v>251418.34000000003</v>
      </c>
      <c r="D455" s="43">
        <f>C455-E455</f>
        <v>3771.3400000000256</v>
      </c>
      <c r="E455" s="43">
        <f>ROUND(C455*'Allocation Factors'!$G$10,0)</f>
        <v>247647</v>
      </c>
      <c r="F455" s="10">
        <f>'Sch 5'!C440</f>
        <v>0</v>
      </c>
      <c r="G455" s="10">
        <f>E455+F455</f>
        <v>247647</v>
      </c>
      <c r="H455" s="10"/>
      <c r="I455" s="15" t="s">
        <v>341</v>
      </c>
      <c r="J455" s="38"/>
    </row>
    <row r="456" spans="1:14" ht="14.1" customHeight="1">
      <c r="A456" s="379">
        <f t="shared" si="42"/>
        <v>440</v>
      </c>
      <c r="B456" s="22" t="s">
        <v>138</v>
      </c>
      <c r="C456" s="43">
        <v>30871558.509999998</v>
      </c>
      <c r="D456" s="43">
        <f>C456-E456</f>
        <v>30871.509999997914</v>
      </c>
      <c r="E456" s="43">
        <f>ROUND(C456*'Allocation Factors'!$G$18,0)</f>
        <v>30840687</v>
      </c>
      <c r="F456" s="43">
        <f>'Sch 5'!C441</f>
        <v>1390415</v>
      </c>
      <c r="G456" s="43">
        <f>E456+F456</f>
        <v>32231102</v>
      </c>
      <c r="H456" s="43"/>
      <c r="I456" s="15" t="s">
        <v>348</v>
      </c>
      <c r="J456" s="38"/>
    </row>
    <row r="457" spans="1:14" s="21" customFormat="1" ht="14.1" customHeight="1">
      <c r="A457" s="379">
        <f t="shared" si="42"/>
        <v>441</v>
      </c>
      <c r="B457" s="56" t="s">
        <v>139</v>
      </c>
      <c r="C457" s="64">
        <v>2323972.91</v>
      </c>
      <c r="D457" s="64">
        <f>C457-E457</f>
        <v>34859.910000000149</v>
      </c>
      <c r="E457" s="151">
        <f>ROUND(C457*'Allocation Factors'!$G$22,0)</f>
        <v>2289113</v>
      </c>
      <c r="F457" s="64">
        <f>'Sch 5'!C442</f>
        <v>145029</v>
      </c>
      <c r="G457" s="64">
        <f>E457+F457</f>
        <v>2434142</v>
      </c>
      <c r="H457" s="64"/>
      <c r="I457" s="135" t="s">
        <v>352</v>
      </c>
      <c r="J457" s="38"/>
      <c r="K457" s="88"/>
      <c r="L457" s="88"/>
      <c r="M457" s="88"/>
      <c r="N457" s="88"/>
    </row>
    <row r="458" spans="1:14" ht="14.1" customHeight="1">
      <c r="A458" s="379">
        <f t="shared" si="42"/>
        <v>442</v>
      </c>
      <c r="B458" s="20" t="s">
        <v>515</v>
      </c>
      <c r="C458" s="16">
        <f>SUM(C453:C457)</f>
        <v>85663872.960000008</v>
      </c>
      <c r="D458" s="16">
        <f>SUM(D453:D457)</f>
        <v>852756.96000000113</v>
      </c>
      <c r="E458" s="16">
        <f>SUM(E453:E457)</f>
        <v>84811116</v>
      </c>
      <c r="F458" s="16">
        <f>SUM(F453:F457)</f>
        <v>-3393961</v>
      </c>
      <c r="G458" s="16">
        <f>SUM(G453:G457)</f>
        <v>81417155</v>
      </c>
      <c r="H458" s="16"/>
      <c r="I458" s="17"/>
      <c r="J458" s="38"/>
    </row>
    <row r="459" spans="1:14" ht="14.1" customHeight="1">
      <c r="A459" s="379">
        <f t="shared" si="42"/>
        <v>443</v>
      </c>
      <c r="C459" s="43"/>
      <c r="D459" s="43"/>
      <c r="E459" s="43"/>
      <c r="F459" s="43"/>
      <c r="G459" s="43"/>
      <c r="H459" s="43"/>
      <c r="I459" s="15"/>
      <c r="J459" s="38"/>
    </row>
    <row r="460" spans="1:14" ht="14.1" customHeight="1">
      <c r="A460" s="379">
        <f t="shared" si="42"/>
        <v>444</v>
      </c>
      <c r="B460" s="13" t="s">
        <v>288</v>
      </c>
      <c r="C460" s="43"/>
      <c r="D460" s="43"/>
      <c r="E460" s="43"/>
      <c r="F460" s="43"/>
      <c r="G460" s="10"/>
      <c r="H460" s="10"/>
      <c r="I460" s="15"/>
      <c r="J460" s="38"/>
    </row>
    <row r="461" spans="1:14" ht="14.1" customHeight="1">
      <c r="A461" s="379">
        <f t="shared" si="42"/>
        <v>445</v>
      </c>
      <c r="B461" s="22" t="s">
        <v>289</v>
      </c>
      <c r="C461" s="10">
        <f>6065261.49+2724.34+38616</f>
        <v>6106601.8300000001</v>
      </c>
      <c r="D461" s="43">
        <f>C461-E461</f>
        <v>91598.830000000075</v>
      </c>
      <c r="E461" s="16">
        <f>ROUND(C461*'Allocation Factors'!$G$22,0)</f>
        <v>6015003</v>
      </c>
      <c r="F461" s="10">
        <f>'Sch 5'!C446</f>
        <v>0</v>
      </c>
      <c r="G461" s="10">
        <f>E461+F461</f>
        <v>6015003</v>
      </c>
      <c r="H461" s="10"/>
      <c r="I461" s="15" t="s">
        <v>352</v>
      </c>
      <c r="J461" s="38"/>
    </row>
    <row r="462" spans="1:14" ht="14.1" customHeight="1">
      <c r="A462" s="379">
        <f t="shared" si="42"/>
        <v>446</v>
      </c>
      <c r="B462" s="22" t="s">
        <v>149</v>
      </c>
      <c r="C462" s="43">
        <v>0</v>
      </c>
      <c r="D462" s="43">
        <f>C462-E462</f>
        <v>0</v>
      </c>
      <c r="E462" s="43">
        <f>ROUND(C462*'Allocation Factors'!$G$10,0)</f>
        <v>0</v>
      </c>
      <c r="F462" s="10">
        <f>'Sch 5'!C447</f>
        <v>0</v>
      </c>
      <c r="G462" s="10">
        <f>E462+F462</f>
        <v>0</v>
      </c>
      <c r="H462" s="10"/>
      <c r="I462" s="15" t="s">
        <v>341</v>
      </c>
      <c r="J462" s="38"/>
    </row>
    <row r="463" spans="1:14" ht="14.1" customHeight="1">
      <c r="A463" s="379">
        <f t="shared" si="42"/>
        <v>447</v>
      </c>
      <c r="B463" s="22" t="s">
        <v>137</v>
      </c>
      <c r="C463" s="43">
        <v>0</v>
      </c>
      <c r="D463" s="43">
        <f>C463-E463</f>
        <v>0</v>
      </c>
      <c r="E463" s="43">
        <f>ROUND(C463*'Allocation Factors'!$G$16,0)</f>
        <v>0</v>
      </c>
      <c r="F463" s="10">
        <f>'Sch 5'!C448</f>
        <v>0</v>
      </c>
      <c r="G463" s="10">
        <f>E463+F463</f>
        <v>0</v>
      </c>
      <c r="H463" s="10"/>
      <c r="I463" s="15" t="s">
        <v>346</v>
      </c>
      <c r="J463" s="38"/>
    </row>
    <row r="464" spans="1:14" ht="14.1" customHeight="1">
      <c r="A464" s="379">
        <f t="shared" si="42"/>
        <v>448</v>
      </c>
      <c r="B464" s="22" t="s">
        <v>150</v>
      </c>
      <c r="C464" s="43">
        <v>0</v>
      </c>
      <c r="D464" s="43">
        <f>C464-E464</f>
        <v>0</v>
      </c>
      <c r="E464" s="43">
        <f>ROUND(C464*'Allocation Factors'!$G$18,0)</f>
        <v>0</v>
      </c>
      <c r="F464" s="10">
        <f>'Sch 5'!C449</f>
        <v>0</v>
      </c>
      <c r="G464" s="10">
        <f>E464+F464</f>
        <v>0</v>
      </c>
      <c r="H464" s="10"/>
      <c r="I464" s="15" t="s">
        <v>348</v>
      </c>
      <c r="J464" s="38"/>
    </row>
    <row r="465" spans="1:11" ht="14.1" customHeight="1">
      <c r="A465" s="379">
        <f t="shared" si="42"/>
        <v>449</v>
      </c>
      <c r="B465" s="56" t="s">
        <v>151</v>
      </c>
      <c r="C465" s="64">
        <v>0</v>
      </c>
      <c r="D465" s="64">
        <f>C465-E465</f>
        <v>0</v>
      </c>
      <c r="E465" s="151">
        <f>ROUND(C465*'Allocation Factors'!$G$22,0)</f>
        <v>0</v>
      </c>
      <c r="F465" s="64">
        <f>'Sch 5'!C450</f>
        <v>0</v>
      </c>
      <c r="G465" s="64">
        <f>E465+F465</f>
        <v>0</v>
      </c>
      <c r="H465" s="64"/>
      <c r="I465" s="135" t="s">
        <v>352</v>
      </c>
      <c r="J465" s="38"/>
    </row>
    <row r="466" spans="1:11" ht="14.1" customHeight="1">
      <c r="A466" s="379">
        <f t="shared" si="42"/>
        <v>450</v>
      </c>
      <c r="B466" s="20" t="s">
        <v>516</v>
      </c>
      <c r="C466" s="16">
        <f>SUM(C461:C465)</f>
        <v>6106601.8300000001</v>
      </c>
      <c r="D466" s="16">
        <f>SUM(D461:D465)</f>
        <v>91598.830000000075</v>
      </c>
      <c r="E466" s="16">
        <f>SUM(E461:E465)</f>
        <v>6015003</v>
      </c>
      <c r="F466" s="16">
        <f>SUM(F461:F465)</f>
        <v>0</v>
      </c>
      <c r="G466" s="16">
        <f>SUM(G461:G465)</f>
        <v>6015003</v>
      </c>
      <c r="H466" s="16"/>
      <c r="I466" s="17"/>
      <c r="J466" s="38"/>
    </row>
    <row r="467" spans="1:11" ht="14.1" customHeight="1">
      <c r="A467" s="379">
        <f t="shared" si="42"/>
        <v>451</v>
      </c>
      <c r="B467" s="163"/>
      <c r="C467" s="16"/>
      <c r="D467" s="16"/>
      <c r="E467" s="130"/>
      <c r="F467" s="16"/>
      <c r="G467" s="43"/>
      <c r="H467" s="43"/>
      <c r="I467" s="15"/>
      <c r="J467" s="38"/>
    </row>
    <row r="468" spans="1:11" ht="14.1" customHeight="1">
      <c r="A468" s="379">
        <f t="shared" si="42"/>
        <v>452</v>
      </c>
      <c r="B468" s="20" t="s">
        <v>290</v>
      </c>
      <c r="C468" s="16"/>
      <c r="D468" s="65"/>
      <c r="E468" s="16"/>
      <c r="F468" s="16"/>
      <c r="G468" s="10"/>
      <c r="H468" s="10"/>
      <c r="I468" s="15"/>
      <c r="J468" s="38"/>
    </row>
    <row r="469" spans="1:11" ht="14.1" customHeight="1">
      <c r="A469" s="379">
        <f t="shared" si="42"/>
        <v>453</v>
      </c>
      <c r="B469" s="57" t="s">
        <v>324</v>
      </c>
      <c r="C469" s="43">
        <f>102931.94+6189686.32</f>
        <v>6292618.2600000007</v>
      </c>
      <c r="D469" s="43">
        <f>C469-E469</f>
        <v>188554.26000000071</v>
      </c>
      <c r="E469" s="10">
        <f>ROUND((J469)+(C469-J469-J470)*'Allocation Factors'!$G$16,0)</f>
        <v>6104064</v>
      </c>
      <c r="F469" s="10">
        <f>'Sch 5'!C454</f>
        <v>-6002692</v>
      </c>
      <c r="G469" s="10">
        <f>E469+F469</f>
        <v>101372</v>
      </c>
      <c r="H469" s="10"/>
      <c r="I469" s="15" t="s">
        <v>346</v>
      </c>
      <c r="J469" s="38">
        <v>6002692.1299999999</v>
      </c>
      <c r="K469" s="88" t="s">
        <v>1064</v>
      </c>
    </row>
    <row r="470" spans="1:11" ht="14.1" customHeight="1">
      <c r="A470" s="379">
        <f t="shared" si="42"/>
        <v>454</v>
      </c>
      <c r="B470" s="20" t="s">
        <v>517</v>
      </c>
      <c r="C470" s="47">
        <f>SUM(C469:C469)</f>
        <v>6292618.2600000007</v>
      </c>
      <c r="D470" s="47">
        <f>SUM(D469:D469)</f>
        <v>188554.26000000071</v>
      </c>
      <c r="E470" s="47">
        <f>SUM(E469:E469)</f>
        <v>6104064</v>
      </c>
      <c r="F470" s="47">
        <f>SUM(F469:F469)</f>
        <v>-6002692</v>
      </c>
      <c r="G470" s="47">
        <f>SUM(G469:G469)</f>
        <v>101372</v>
      </c>
      <c r="H470" s="47"/>
      <c r="I470" s="146"/>
      <c r="J470" s="38">
        <v>187010.47</v>
      </c>
      <c r="K470" s="88" t="s">
        <v>1064</v>
      </c>
    </row>
    <row r="471" spans="1:11" ht="14.1" customHeight="1">
      <c r="A471" s="379">
        <f t="shared" si="42"/>
        <v>455</v>
      </c>
      <c r="B471" s="57"/>
      <c r="C471" s="64"/>
      <c r="D471" s="64"/>
      <c r="E471" s="58"/>
      <c r="F471" s="151"/>
      <c r="G471" s="64"/>
      <c r="H471" s="64"/>
      <c r="I471" s="135"/>
      <c r="J471" s="38"/>
    </row>
    <row r="472" spans="1:11" ht="14.1" customHeight="1" thickBot="1">
      <c r="A472" s="379">
        <f t="shared" si="42"/>
        <v>456</v>
      </c>
      <c r="B472" s="59" t="s">
        <v>518</v>
      </c>
      <c r="C472" s="138">
        <f>C458+C466+C470</f>
        <v>98063093.050000012</v>
      </c>
      <c r="D472" s="138">
        <f>D458+D466+D470</f>
        <v>1132910.0500000019</v>
      </c>
      <c r="E472" s="138">
        <f>E458+E466+E470</f>
        <v>96930183</v>
      </c>
      <c r="F472" s="138">
        <f>F458+F466+F470</f>
        <v>-9396653</v>
      </c>
      <c r="G472" s="138">
        <f>G458+G466+G470</f>
        <v>87533530</v>
      </c>
      <c r="H472" s="138"/>
      <c r="I472" s="158"/>
      <c r="J472" s="38"/>
    </row>
    <row r="473" spans="1:11" ht="14.1" customHeight="1" thickTop="1">
      <c r="A473" s="379">
        <f t="shared" si="42"/>
        <v>457</v>
      </c>
      <c r="B473" s="129"/>
      <c r="C473" s="16"/>
      <c r="D473" s="16"/>
      <c r="E473" s="16"/>
      <c r="F473" s="16"/>
      <c r="G473" s="19"/>
      <c r="H473" s="19"/>
      <c r="I473" s="17"/>
      <c r="J473" s="38"/>
    </row>
    <row r="474" spans="1:11" ht="14.1" customHeight="1">
      <c r="A474" s="379">
        <f t="shared" si="42"/>
        <v>458</v>
      </c>
      <c r="B474" s="20" t="s">
        <v>291</v>
      </c>
      <c r="C474" s="43"/>
      <c r="D474" s="16"/>
      <c r="E474" s="48"/>
      <c r="F474" s="43"/>
      <c r="G474" s="10"/>
      <c r="H474" s="10"/>
      <c r="I474" s="15"/>
      <c r="J474" s="38"/>
    </row>
    <row r="475" spans="1:11" ht="14.1" customHeight="1">
      <c r="A475" s="379">
        <f t="shared" si="42"/>
        <v>459</v>
      </c>
      <c r="B475" s="13" t="s">
        <v>292</v>
      </c>
      <c r="C475" s="43"/>
      <c r="D475" s="16"/>
      <c r="E475" s="43"/>
      <c r="F475" s="43"/>
      <c r="G475" s="10"/>
      <c r="H475" s="10"/>
      <c r="I475" s="15"/>
      <c r="J475" s="38"/>
    </row>
    <row r="476" spans="1:11" ht="14.1" customHeight="1">
      <c r="A476" s="379">
        <f t="shared" si="42"/>
        <v>460</v>
      </c>
      <c r="B476" s="22" t="s">
        <v>293</v>
      </c>
      <c r="C476" s="43">
        <f>3263628.87-1282281.34</f>
        <v>1981347.53</v>
      </c>
      <c r="D476" s="43">
        <f>C476-E476</f>
        <v>19813.530000000028</v>
      </c>
      <c r="E476" s="43">
        <f>ROUND(C476*'Allocation Factors'!$G$30,0)</f>
        <v>1961534</v>
      </c>
      <c r="F476" s="10">
        <f>'Sch 5'!C461</f>
        <v>-96919</v>
      </c>
      <c r="G476" s="10">
        <f>E476+F476</f>
        <v>1864615</v>
      </c>
      <c r="H476" s="10"/>
      <c r="I476" s="15" t="s">
        <v>370</v>
      </c>
      <c r="J476" s="38"/>
    </row>
    <row r="477" spans="1:11" ht="14.1" customHeight="1">
      <c r="A477" s="379">
        <f t="shared" si="42"/>
        <v>461</v>
      </c>
      <c r="B477" s="22" t="s">
        <v>294</v>
      </c>
      <c r="C477" s="43">
        <f>18638.83-7472.85</f>
        <v>11165.980000000001</v>
      </c>
      <c r="D477" s="43">
        <f>C477-E477</f>
        <v>111.98000000000138</v>
      </c>
      <c r="E477" s="43">
        <f>ROUND(C477*'Allocation Factors'!$G$30,0)</f>
        <v>11054</v>
      </c>
      <c r="F477" s="10">
        <f>'Sch 5'!C462</f>
        <v>0</v>
      </c>
      <c r="G477" s="10">
        <f>E477+F477</f>
        <v>11054</v>
      </c>
      <c r="H477" s="10"/>
      <c r="I477" s="15" t="s">
        <v>370</v>
      </c>
      <c r="J477" s="38"/>
    </row>
    <row r="478" spans="1:11" ht="14.1" customHeight="1">
      <c r="A478" s="379">
        <f t="shared" si="42"/>
        <v>462</v>
      </c>
      <c r="B478" s="56" t="s">
        <v>295</v>
      </c>
      <c r="C478" s="43">
        <f>30468.27-9741.7</f>
        <v>20726.57</v>
      </c>
      <c r="D478" s="43">
        <f>C478-E478</f>
        <v>207.56999999999971</v>
      </c>
      <c r="E478" s="43">
        <f>ROUND(((C478-J478)*'Allocation Factors'!$G$30),0)</f>
        <v>20519</v>
      </c>
      <c r="F478" s="10">
        <f>'Sch 5'!C463</f>
        <v>0</v>
      </c>
      <c r="G478" s="10">
        <f>E478+F478</f>
        <v>20519</v>
      </c>
      <c r="H478" s="10"/>
      <c r="I478" s="15" t="s">
        <v>399</v>
      </c>
      <c r="J478" s="38"/>
    </row>
    <row r="479" spans="1:11" ht="14.1" customHeight="1">
      <c r="A479" s="379">
        <f t="shared" si="42"/>
        <v>463</v>
      </c>
      <c r="B479" s="20" t="s">
        <v>519</v>
      </c>
      <c r="C479" s="85">
        <f>SUM(C476:C478)</f>
        <v>2013240.08</v>
      </c>
      <c r="D479" s="85">
        <f>SUM(D474:D478)</f>
        <v>20133.080000000031</v>
      </c>
      <c r="E479" s="85">
        <f>SUM(E475:E478)</f>
        <v>1993107</v>
      </c>
      <c r="F479" s="85">
        <f>SUM(F475:F478)</f>
        <v>-96919</v>
      </c>
      <c r="G479" s="85">
        <f>SUM(G476:G478)</f>
        <v>1896188</v>
      </c>
      <c r="H479" s="85"/>
      <c r="I479" s="147"/>
      <c r="J479" s="38"/>
    </row>
    <row r="480" spans="1:11" ht="14.1" customHeight="1">
      <c r="A480" s="379">
        <f t="shared" si="42"/>
        <v>464</v>
      </c>
      <c r="B480" s="129"/>
      <c r="C480" s="16"/>
      <c r="D480" s="16"/>
      <c r="E480" s="16"/>
      <c r="F480" s="16"/>
      <c r="G480" s="43"/>
      <c r="H480" s="43"/>
      <c r="I480" s="15"/>
      <c r="J480" s="38"/>
    </row>
    <row r="481" spans="1:10" ht="14.1" customHeight="1">
      <c r="A481" s="379">
        <f t="shared" si="42"/>
        <v>465</v>
      </c>
      <c r="B481" s="22" t="s">
        <v>296</v>
      </c>
      <c r="C481" s="43">
        <f>17221955.25</f>
        <v>17221955.25</v>
      </c>
      <c r="D481" s="43">
        <f>C481-E481</f>
        <v>258329.25</v>
      </c>
      <c r="E481" s="43">
        <f>ROUND((C481-J481)*'Allocation Factors'!$G$24,0)</f>
        <v>16963626</v>
      </c>
      <c r="F481" s="10">
        <f>'Sch 5'!C466</f>
        <v>1338237</v>
      </c>
      <c r="G481" s="10">
        <f>E481+F481</f>
        <v>18301863</v>
      </c>
      <c r="H481" s="10"/>
      <c r="I481" s="15" t="s">
        <v>354</v>
      </c>
      <c r="J481" s="38"/>
    </row>
    <row r="482" spans="1:10" ht="14.1" customHeight="1">
      <c r="A482" s="379">
        <f t="shared" si="42"/>
        <v>466</v>
      </c>
      <c r="B482" s="22" t="s">
        <v>325</v>
      </c>
      <c r="C482" s="43">
        <v>0</v>
      </c>
      <c r="D482" s="43">
        <f>C482-E482</f>
        <v>0</v>
      </c>
      <c r="E482" s="43">
        <f>ROUND(C482*'Allocation Factors'!$G$24,0)</f>
        <v>0</v>
      </c>
      <c r="F482" s="10">
        <f>'Sch 5'!C467</f>
        <v>0</v>
      </c>
      <c r="G482" s="10">
        <f>E482+F482</f>
        <v>0</v>
      </c>
      <c r="H482" s="10"/>
      <c r="I482" s="15" t="s">
        <v>354</v>
      </c>
      <c r="J482" s="38"/>
    </row>
    <row r="483" spans="1:10" ht="14.1" customHeight="1">
      <c r="A483" s="379">
        <f t="shared" si="42"/>
        <v>467</v>
      </c>
      <c r="B483" s="22" t="s">
        <v>326</v>
      </c>
      <c r="C483" s="43">
        <f>293794.55+897687.72</f>
        <v>1191482.27</v>
      </c>
      <c r="D483" s="43">
        <f t="shared" ref="D483:D490" si="43">C483-E483</f>
        <v>0.27000000001862645</v>
      </c>
      <c r="E483" s="43">
        <f>ROUND(C483*'Allocation Factors'!$G$34,0)</f>
        <v>1191482</v>
      </c>
      <c r="F483" s="10">
        <f>'Sch 5'!C468</f>
        <v>5435</v>
      </c>
      <c r="G483" s="10">
        <f t="shared" ref="G483:G490" si="44">E483+F483</f>
        <v>1196917</v>
      </c>
      <c r="H483" s="10"/>
      <c r="I483" s="15" t="s">
        <v>362</v>
      </c>
      <c r="J483" s="38"/>
    </row>
    <row r="484" spans="1:10" ht="14.1" customHeight="1">
      <c r="A484" s="379">
        <f t="shared" si="42"/>
        <v>468</v>
      </c>
      <c r="B484" s="22" t="s">
        <v>298</v>
      </c>
      <c r="C484" s="43">
        <f>414000+4711.12-30192.92-140934.17</f>
        <v>247584.03</v>
      </c>
      <c r="D484" s="43">
        <f t="shared" si="43"/>
        <v>3714.0299999999988</v>
      </c>
      <c r="E484" s="43">
        <f>ROUND(C484*'Allocation Factors'!$G$24,0)</f>
        <v>243870</v>
      </c>
      <c r="F484" s="10">
        <f>'Sch 5'!C469</f>
        <v>-407790</v>
      </c>
      <c r="G484" s="10">
        <f t="shared" si="44"/>
        <v>-163920</v>
      </c>
      <c r="H484" s="10"/>
      <c r="I484" s="15" t="s">
        <v>354</v>
      </c>
      <c r="J484" s="38"/>
    </row>
    <row r="485" spans="1:10" ht="14.1" customHeight="1">
      <c r="A485" s="379">
        <f t="shared" si="42"/>
        <v>469</v>
      </c>
      <c r="B485" s="22" t="s">
        <v>299</v>
      </c>
      <c r="C485" s="43">
        <v>140</v>
      </c>
      <c r="D485" s="43">
        <f t="shared" si="43"/>
        <v>0</v>
      </c>
      <c r="E485" s="43">
        <f>C485</f>
        <v>140</v>
      </c>
      <c r="F485" s="10">
        <f>'Sch 5'!C470</f>
        <v>0</v>
      </c>
      <c r="G485" s="10">
        <f>E485+F485</f>
        <v>140</v>
      </c>
      <c r="H485" s="10"/>
      <c r="I485" s="15" t="s">
        <v>362</v>
      </c>
      <c r="J485" s="38"/>
    </row>
    <row r="486" spans="1:10" ht="14.1" customHeight="1">
      <c r="A486" s="379">
        <f t="shared" si="42"/>
        <v>470</v>
      </c>
      <c r="B486" s="22" t="s">
        <v>787</v>
      </c>
      <c r="C486" s="43">
        <f>39794.05+4750761.34+1570114.59</f>
        <v>6360669.9799999995</v>
      </c>
      <c r="D486" s="43">
        <f t="shared" si="43"/>
        <v>95409.979999999516</v>
      </c>
      <c r="E486" s="43">
        <f>ROUND(C486*'Allocation Factors'!$G$10,0)</f>
        <v>6265260</v>
      </c>
      <c r="F486" s="10">
        <f>'Sch 5'!C471</f>
        <v>-39197</v>
      </c>
      <c r="G486" s="10">
        <f>E486+F486</f>
        <v>6226063</v>
      </c>
      <c r="H486" s="10"/>
      <c r="I486" s="247" t="s">
        <v>341</v>
      </c>
      <c r="J486" s="38"/>
    </row>
    <row r="487" spans="1:10" ht="13.5" customHeight="1">
      <c r="A487" s="379">
        <f t="shared" si="42"/>
        <v>471</v>
      </c>
      <c r="B487" s="22" t="s">
        <v>327</v>
      </c>
      <c r="C487" s="43">
        <f>-71358.33+68796.7+2355.56+33656.87+8805.57</f>
        <v>42256.369999999995</v>
      </c>
      <c r="D487" s="43">
        <f t="shared" si="43"/>
        <v>0.36999999999534339</v>
      </c>
      <c r="E487" s="43">
        <f>ROUND(C487*'Allocation Factors'!$G$34,0)</f>
        <v>42256</v>
      </c>
      <c r="F487" s="10">
        <f>'Sch 5'!C472</f>
        <v>0</v>
      </c>
      <c r="G487" s="10">
        <f t="shared" si="44"/>
        <v>42256</v>
      </c>
      <c r="H487" s="10"/>
      <c r="I487" s="15" t="s">
        <v>362</v>
      </c>
      <c r="J487" s="38"/>
    </row>
    <row r="488" spans="1:10" ht="13.5" customHeight="1">
      <c r="A488" s="379">
        <f t="shared" si="42"/>
        <v>472</v>
      </c>
      <c r="B488" s="22" t="s">
        <v>300</v>
      </c>
      <c r="C488" s="43">
        <f>-75204+580571+190900</f>
        <v>696267</v>
      </c>
      <c r="D488" s="43">
        <f t="shared" si="43"/>
        <v>0</v>
      </c>
      <c r="E488" s="43">
        <f>ROUND(C488*'Allocation Factors'!$G$34,0)</f>
        <v>696267</v>
      </c>
      <c r="F488" s="10">
        <f>'Sch 5'!C473</f>
        <v>0</v>
      </c>
      <c r="G488" s="10">
        <f t="shared" si="44"/>
        <v>696267</v>
      </c>
      <c r="H488" s="10"/>
      <c r="I488" s="15" t="s">
        <v>362</v>
      </c>
      <c r="J488" s="38"/>
    </row>
    <row r="489" spans="1:10" ht="14.1" customHeight="1">
      <c r="A489" s="379">
        <f t="shared" si="42"/>
        <v>473</v>
      </c>
      <c r="B489" s="22" t="s">
        <v>301</v>
      </c>
      <c r="C489" s="43">
        <v>3639.1</v>
      </c>
      <c r="D489" s="43">
        <f t="shared" si="43"/>
        <v>36.099999999999909</v>
      </c>
      <c r="E489" s="43">
        <f>ROUND(C489*'Allocation Factors'!$G$30,0)</f>
        <v>3603</v>
      </c>
      <c r="F489" s="10">
        <f>'Sch 5'!C474</f>
        <v>0</v>
      </c>
      <c r="G489" s="10">
        <f t="shared" si="44"/>
        <v>3603</v>
      </c>
      <c r="H489" s="10"/>
      <c r="I489" s="15" t="s">
        <v>370</v>
      </c>
      <c r="J489" s="38"/>
    </row>
    <row r="490" spans="1:10" ht="14.1" customHeight="1">
      <c r="A490" s="379">
        <f t="shared" si="42"/>
        <v>474</v>
      </c>
      <c r="B490" s="56" t="s">
        <v>302</v>
      </c>
      <c r="C490" s="43">
        <f>2.25-504.64+308755.54+105823+10070.37+3249</f>
        <v>427395.51999999996</v>
      </c>
      <c r="D490" s="43">
        <f t="shared" si="43"/>
        <v>6410.5199999999604</v>
      </c>
      <c r="E490" s="43">
        <f>ROUND(C490*'Allocation Factors'!$G$22,0)</f>
        <v>420985</v>
      </c>
      <c r="F490" s="10">
        <f>'Sch 5'!C475</f>
        <v>0</v>
      </c>
      <c r="G490" s="10">
        <f t="shared" si="44"/>
        <v>420985</v>
      </c>
      <c r="H490" s="10"/>
      <c r="I490" s="15" t="s">
        <v>352</v>
      </c>
      <c r="J490" s="38"/>
    </row>
    <row r="491" spans="1:10" ht="14.1" customHeight="1">
      <c r="A491" s="379">
        <f t="shared" si="42"/>
        <v>475</v>
      </c>
      <c r="B491" s="20" t="s">
        <v>520</v>
      </c>
      <c r="C491" s="85">
        <f>SUM(C479:C490)</f>
        <v>28204629.600000001</v>
      </c>
      <c r="D491" s="85">
        <f>SUM(D479:D490)</f>
        <v>384033.59999999945</v>
      </c>
      <c r="E491" s="85">
        <f>SUM(E479:E490)</f>
        <v>27820596</v>
      </c>
      <c r="F491" s="85">
        <f>SUM(F479:F490)</f>
        <v>799766</v>
      </c>
      <c r="G491" s="85">
        <f>SUM(G479:G490)</f>
        <v>28620362</v>
      </c>
      <c r="H491" s="85"/>
      <c r="I491" s="147"/>
      <c r="J491" s="38"/>
    </row>
    <row r="492" spans="1:10" ht="14.1" customHeight="1">
      <c r="A492" s="379">
        <f t="shared" si="42"/>
        <v>476</v>
      </c>
      <c r="B492" s="20"/>
      <c r="C492" s="16"/>
      <c r="D492" s="16"/>
      <c r="E492" s="130"/>
      <c r="F492" s="16"/>
      <c r="G492" s="16"/>
      <c r="H492" s="16"/>
      <c r="I492" s="17"/>
      <c r="J492" s="38"/>
    </row>
    <row r="493" spans="1:10" ht="14.1" customHeight="1">
      <c r="A493" s="379">
        <f t="shared" si="42"/>
        <v>477</v>
      </c>
      <c r="B493" s="22" t="s">
        <v>811</v>
      </c>
      <c r="C493" s="43">
        <f>('Sch 8'!E42+'Sch 8'!G42)*-1</f>
        <v>-519848.31999999995</v>
      </c>
      <c r="D493" s="43">
        <f>C493-E493</f>
        <v>-7797.3199999999488</v>
      </c>
      <c r="E493" s="43">
        <f>ROUND(C493*'Allocation Factors'!$G$10,0)</f>
        <v>-512051</v>
      </c>
      <c r="F493" s="10">
        <f>'Sch 5'!C478</f>
        <v>-3091136</v>
      </c>
      <c r="G493" s="10">
        <f>E493+F493</f>
        <v>-3603187</v>
      </c>
      <c r="H493" s="10"/>
      <c r="I493" s="15" t="s">
        <v>341</v>
      </c>
      <c r="J493" s="38"/>
    </row>
    <row r="494" spans="1:10" ht="14.1" customHeight="1">
      <c r="A494" s="379">
        <f t="shared" si="42"/>
        <v>478</v>
      </c>
      <c r="B494" s="22" t="s">
        <v>812</v>
      </c>
      <c r="C494" s="43">
        <f>('Sch 8'!I42+'Sch 8'!K42)*-1</f>
        <v>-1216458.6200000001</v>
      </c>
      <c r="D494" s="43">
        <f>C494-E494</f>
        <v>-18246.620000000112</v>
      </c>
      <c r="E494" s="43">
        <f>ROUND(C494*'Allocation Factors'!$G$16,0)</f>
        <v>-1198212</v>
      </c>
      <c r="F494" s="10">
        <f>'Sch 5'!C479</f>
        <v>0</v>
      </c>
      <c r="G494" s="10">
        <f>E494+F494</f>
        <v>-1198212</v>
      </c>
      <c r="H494" s="10"/>
      <c r="I494" s="15" t="s">
        <v>346</v>
      </c>
      <c r="J494" s="38"/>
    </row>
    <row r="495" spans="1:10" ht="14.1" customHeight="1">
      <c r="A495" s="379">
        <f t="shared" si="42"/>
        <v>479</v>
      </c>
      <c r="B495" s="22" t="s">
        <v>813</v>
      </c>
      <c r="C495" s="43">
        <f>('Sch 8'!M42+'Sch 8'!O42)*-1</f>
        <v>-295003.34999999992</v>
      </c>
      <c r="D495" s="43">
        <f>C495-E495</f>
        <v>-295.34999999991851</v>
      </c>
      <c r="E495" s="43">
        <f>ROUND(C495*'Allocation Factors'!$G$18,0)</f>
        <v>-294708</v>
      </c>
      <c r="F495" s="10">
        <f>'Sch 5'!C480</f>
        <v>0</v>
      </c>
      <c r="G495" s="10">
        <f>E495+F495</f>
        <v>-294708</v>
      </c>
      <c r="H495" s="10"/>
      <c r="I495" s="15" t="s">
        <v>348</v>
      </c>
      <c r="J495" s="38"/>
    </row>
    <row r="496" spans="1:10" ht="14.1" customHeight="1">
      <c r="A496" s="379">
        <f t="shared" si="42"/>
        <v>480</v>
      </c>
      <c r="B496" s="22" t="s">
        <v>814</v>
      </c>
      <c r="C496" s="43">
        <f>('Sch 8'!Q42+'Sch 8'!S42)*-1</f>
        <v>-83746.78</v>
      </c>
      <c r="D496" s="43">
        <f>C496-E496</f>
        <v>-1255.7799999999988</v>
      </c>
      <c r="E496" s="43">
        <f>ROUND(C496*'Allocation Factors'!$G$22,0)</f>
        <v>-82491</v>
      </c>
      <c r="F496" s="10">
        <f>'Sch 5'!C481</f>
        <v>0</v>
      </c>
      <c r="G496" s="10">
        <f>E496+F496</f>
        <v>-82491</v>
      </c>
      <c r="H496" s="10"/>
      <c r="I496" s="15" t="s">
        <v>352</v>
      </c>
      <c r="J496" s="38"/>
    </row>
    <row r="497" spans="1:11" ht="14.1" customHeight="1">
      <c r="A497" s="379">
        <f t="shared" si="42"/>
        <v>481</v>
      </c>
      <c r="B497" s="22" t="s">
        <v>1002</v>
      </c>
      <c r="C497" s="43">
        <f>('Sch 8'!U42+'Sch 8'!W42)*-1</f>
        <v>-268660.47000000003</v>
      </c>
      <c r="D497" s="43">
        <f>C497-E497</f>
        <v>-4029.4700000000303</v>
      </c>
      <c r="E497" s="43">
        <f>ROUND(C497*'Allocation Factors'!$G$22,0)</f>
        <v>-264631</v>
      </c>
      <c r="F497" s="10">
        <f>'Sch 5'!C483</f>
        <v>-220699</v>
      </c>
      <c r="G497" s="10">
        <f>E497+F497</f>
        <v>-485330</v>
      </c>
      <c r="H497" s="10"/>
      <c r="I497" s="15" t="s">
        <v>352</v>
      </c>
      <c r="J497" s="38"/>
    </row>
    <row r="498" spans="1:11" ht="14.1" customHeight="1">
      <c r="A498" s="379">
        <f t="shared" si="42"/>
        <v>482</v>
      </c>
      <c r="B498" s="22"/>
      <c r="C498" s="43"/>
      <c r="D498" s="43"/>
      <c r="E498" s="43"/>
      <c r="F498" s="10"/>
      <c r="G498" s="10"/>
      <c r="H498" s="10"/>
      <c r="I498" s="15"/>
      <c r="J498" s="38"/>
    </row>
    <row r="499" spans="1:11" ht="14.1" customHeight="1">
      <c r="A499" s="379">
        <f t="shared" si="42"/>
        <v>483</v>
      </c>
      <c r="B499" s="22" t="s">
        <v>303</v>
      </c>
      <c r="C499" s="43">
        <v>727940.35</v>
      </c>
      <c r="D499" s="43">
        <f>C499-E499</f>
        <v>0.34999999997671694</v>
      </c>
      <c r="E499" s="89">
        <f>ROUND(C499*'Allocation Factors'!$G$34,0)</f>
        <v>727940</v>
      </c>
      <c r="F499" s="10">
        <f>'Sch 5'!C483</f>
        <v>-220699</v>
      </c>
      <c r="G499" s="10">
        <f>E499+F499</f>
        <v>507241</v>
      </c>
      <c r="H499" s="10"/>
      <c r="I499" s="15" t="s">
        <v>362</v>
      </c>
      <c r="J499" s="38"/>
    </row>
    <row r="500" spans="1:11" ht="14.1" customHeight="1">
      <c r="A500" s="379">
        <f t="shared" si="42"/>
        <v>484</v>
      </c>
      <c r="B500" s="22"/>
      <c r="C500" s="43"/>
      <c r="D500" s="43"/>
      <c r="E500" s="14"/>
      <c r="F500" s="10"/>
      <c r="G500" s="10"/>
      <c r="H500" s="10"/>
      <c r="I500" s="15"/>
      <c r="J500" s="38"/>
    </row>
    <row r="501" spans="1:11" ht="14.1" customHeight="1">
      <c r="A501" s="379">
        <f t="shared" si="42"/>
        <v>485</v>
      </c>
      <c r="B501" s="3" t="s">
        <v>304</v>
      </c>
      <c r="C501" s="43"/>
      <c r="D501" s="24"/>
      <c r="E501" s="11"/>
      <c r="F501" s="43"/>
      <c r="G501" s="10"/>
      <c r="H501" s="10"/>
      <c r="I501" s="15"/>
      <c r="J501" s="38"/>
    </row>
    <row r="502" spans="1:11" ht="13.5" customHeight="1">
      <c r="A502" s="379">
        <f t="shared" si="42"/>
        <v>486</v>
      </c>
      <c r="B502" s="22" t="s">
        <v>305</v>
      </c>
      <c r="C502" s="43">
        <v>-7903</v>
      </c>
      <c r="D502" s="43">
        <f>J502</f>
        <v>0</v>
      </c>
      <c r="E502" s="43">
        <f>C502-D502</f>
        <v>-7903</v>
      </c>
      <c r="F502" s="10">
        <f>'Sch 5'!C486</f>
        <v>0</v>
      </c>
      <c r="G502" s="10">
        <f t="shared" ref="G502:G509" si="45">E502+F502</f>
        <v>-7903</v>
      </c>
      <c r="H502" s="10"/>
      <c r="I502" s="15" t="s">
        <v>362</v>
      </c>
      <c r="J502" s="38"/>
    </row>
    <row r="503" spans="1:11" ht="13.5" customHeight="1">
      <c r="A503" s="379">
        <f t="shared" si="42"/>
        <v>487</v>
      </c>
      <c r="B503" s="22" t="s">
        <v>306</v>
      </c>
      <c r="C503" s="43">
        <v>0</v>
      </c>
      <c r="D503" s="43">
        <f t="shared" ref="D503:D509" si="46">C503-E503</f>
        <v>0</v>
      </c>
      <c r="E503" s="43">
        <v>0</v>
      </c>
      <c r="F503" s="10">
        <f>'Sch 5'!C487</f>
        <v>0</v>
      </c>
      <c r="G503" s="10">
        <f t="shared" si="45"/>
        <v>0</v>
      </c>
      <c r="H503" s="10"/>
      <c r="I503" s="15" t="s">
        <v>54</v>
      </c>
      <c r="J503" s="38"/>
    </row>
    <row r="504" spans="1:11" ht="13.5" customHeight="1">
      <c r="A504" s="379">
        <f t="shared" si="42"/>
        <v>488</v>
      </c>
      <c r="B504" s="22" t="s">
        <v>788</v>
      </c>
      <c r="C504" s="43">
        <v>-128130</v>
      </c>
      <c r="D504" s="43">
        <f t="shared" si="46"/>
        <v>-1794</v>
      </c>
      <c r="E504" s="43">
        <f>ROUND(C504*'Allocation Factors'!$G$14,0)</f>
        <v>-126336</v>
      </c>
      <c r="F504" s="10">
        <f>'Sch 5'!C488</f>
        <v>0</v>
      </c>
      <c r="G504" s="10">
        <f t="shared" si="45"/>
        <v>-126336</v>
      </c>
      <c r="H504" s="10"/>
      <c r="I504" s="15" t="s">
        <v>344</v>
      </c>
      <c r="J504" s="38"/>
    </row>
    <row r="505" spans="1:11" ht="14.1" customHeight="1">
      <c r="A505" s="379">
        <f t="shared" ref="A505:A518" si="47">+A504+1</f>
        <v>489</v>
      </c>
      <c r="B505" s="22" t="s">
        <v>810</v>
      </c>
      <c r="C505" s="43">
        <v>758454.91999999993</v>
      </c>
      <c r="D505" s="43">
        <f t="shared" si="46"/>
        <v>11376.919999999925</v>
      </c>
      <c r="E505" s="43">
        <f>ROUND(C505*'Allocation Factors'!$G$10,0)</f>
        <v>747078</v>
      </c>
      <c r="F505" s="10">
        <f>'Sch 5'!C489</f>
        <v>-150304</v>
      </c>
      <c r="G505" s="10">
        <f t="shared" si="45"/>
        <v>596774</v>
      </c>
      <c r="H505" s="10"/>
      <c r="I505" s="15" t="s">
        <v>341</v>
      </c>
      <c r="J505" s="38"/>
    </row>
    <row r="506" spans="1:11" ht="13.5" customHeight="1">
      <c r="A506" s="379">
        <f t="shared" si="47"/>
        <v>490</v>
      </c>
      <c r="B506" s="22" t="s">
        <v>308</v>
      </c>
      <c r="C506" s="43">
        <f>1490302.94+2310623.68</f>
        <v>3800926.62</v>
      </c>
      <c r="D506" s="43">
        <f>C506-E506</f>
        <v>1490302.94</v>
      </c>
      <c r="E506" s="43">
        <f>J506</f>
        <v>2310623.6800000002</v>
      </c>
      <c r="F506" s="10">
        <f>'Sch 5'!C490</f>
        <v>0</v>
      </c>
      <c r="G506" s="10">
        <f t="shared" si="45"/>
        <v>2310623.6800000002</v>
      </c>
      <c r="H506" s="10"/>
      <c r="I506" s="15" t="s">
        <v>362</v>
      </c>
      <c r="J506" s="38">
        <v>2310623.6800000002</v>
      </c>
      <c r="K506" s="88" t="s">
        <v>925</v>
      </c>
    </row>
    <row r="507" spans="1:11" ht="13.5" customHeight="1">
      <c r="A507" s="379">
        <f t="shared" si="47"/>
        <v>491</v>
      </c>
      <c r="B507" s="22" t="s">
        <v>827</v>
      </c>
      <c r="C507" s="43">
        <v>-47726.46</v>
      </c>
      <c r="D507" s="43">
        <f t="shared" si="46"/>
        <v>-715.45999999999913</v>
      </c>
      <c r="E507" s="43">
        <f>ROUND(C507*'Allocation Factors'!$G$26,0)</f>
        <v>-47011</v>
      </c>
      <c r="F507" s="10">
        <f>'Sch 5'!C491</f>
        <v>0</v>
      </c>
      <c r="G507" s="10">
        <f t="shared" si="45"/>
        <v>-47011</v>
      </c>
      <c r="H507" s="10"/>
      <c r="I507" s="15" t="s">
        <v>355</v>
      </c>
      <c r="J507" s="38"/>
    </row>
    <row r="508" spans="1:11" ht="13.5" customHeight="1">
      <c r="A508" s="379">
        <f t="shared" si="47"/>
        <v>492</v>
      </c>
      <c r="B508" s="22" t="s">
        <v>828</v>
      </c>
      <c r="C508" s="43">
        <v>1797950.56</v>
      </c>
      <c r="D508" s="43">
        <f t="shared" si="46"/>
        <v>26969.560000000056</v>
      </c>
      <c r="E508" s="43">
        <f>ROUND(C508*'Allocation Factors'!$G$26,0)</f>
        <v>1770981</v>
      </c>
      <c r="F508" s="10">
        <f>'Sch 5'!C492</f>
        <v>0</v>
      </c>
      <c r="G508" s="10">
        <f t="shared" si="45"/>
        <v>1770981</v>
      </c>
      <c r="H508" s="10"/>
      <c r="I508" s="15" t="s">
        <v>355</v>
      </c>
      <c r="J508" s="38"/>
    </row>
    <row r="509" spans="1:11" ht="14.1" customHeight="1">
      <c r="A509" s="379">
        <f t="shared" si="47"/>
        <v>493</v>
      </c>
      <c r="B509" s="56" t="s">
        <v>825</v>
      </c>
      <c r="C509" s="64">
        <v>319723.98</v>
      </c>
      <c r="D509" s="43">
        <f t="shared" si="46"/>
        <v>4795.9799999999814</v>
      </c>
      <c r="E509" s="43">
        <f>ROUND((C509-(C509-J509))*'Allocation Factors'!$G$26,0)</f>
        <v>314928</v>
      </c>
      <c r="F509" s="10">
        <f>'Sch 5'!C493</f>
        <v>0</v>
      </c>
      <c r="G509" s="10">
        <f t="shared" si="45"/>
        <v>314928</v>
      </c>
      <c r="H509" s="10"/>
      <c r="I509" s="15" t="s">
        <v>355</v>
      </c>
      <c r="J509" s="43">
        <v>319723.98</v>
      </c>
      <c r="K509" s="88" t="s">
        <v>1063</v>
      </c>
    </row>
    <row r="510" spans="1:11" ht="14.1" customHeight="1">
      <c r="A510" s="379">
        <f t="shared" si="47"/>
        <v>494</v>
      </c>
      <c r="B510" s="13" t="s">
        <v>310</v>
      </c>
      <c r="C510" s="47">
        <f>SUM(C502:C509)</f>
        <v>6493296.620000001</v>
      </c>
      <c r="D510" s="47">
        <f>SUM(D502:D509)</f>
        <v>1530935.94</v>
      </c>
      <c r="E510" s="47">
        <f>SUM(E502:E509)</f>
        <v>4962360.68</v>
      </c>
      <c r="F510" s="47">
        <f>SUM(F502:F509)</f>
        <v>-150304</v>
      </c>
      <c r="G510" s="47">
        <f>SUM(G502:G509)</f>
        <v>4812056.68</v>
      </c>
      <c r="H510" s="47"/>
      <c r="I510" s="159"/>
      <c r="J510" s="38"/>
    </row>
    <row r="511" spans="1:11" ht="14.1" customHeight="1">
      <c r="A511" s="379">
        <f t="shared" si="47"/>
        <v>495</v>
      </c>
      <c r="B511" s="22"/>
      <c r="C511" s="43"/>
      <c r="D511" s="16"/>
      <c r="E511" s="43"/>
      <c r="F511" s="43"/>
      <c r="G511" s="43"/>
      <c r="H511" s="43"/>
      <c r="I511" s="15"/>
      <c r="J511" s="38"/>
    </row>
    <row r="512" spans="1:11" ht="14.1" customHeight="1">
      <c r="A512" s="379">
        <f t="shared" si="47"/>
        <v>496</v>
      </c>
      <c r="B512" s="22"/>
      <c r="C512" s="43"/>
      <c r="D512" s="43"/>
      <c r="E512" s="43"/>
      <c r="F512" s="43"/>
      <c r="G512" s="43"/>
      <c r="H512" s="43"/>
      <c r="I512" s="15"/>
      <c r="J512" s="38"/>
    </row>
    <row r="513" spans="1:11" ht="13.9" customHeight="1">
      <c r="A513" s="379">
        <f t="shared" si="47"/>
        <v>497</v>
      </c>
      <c r="B513" s="13" t="s">
        <v>311</v>
      </c>
      <c r="C513" s="43"/>
      <c r="D513" s="43"/>
      <c r="E513" s="43"/>
      <c r="F513" s="43"/>
      <c r="G513" s="10"/>
      <c r="H513" s="10"/>
      <c r="I513" s="15"/>
      <c r="J513" s="38"/>
    </row>
    <row r="514" spans="1:11" ht="13.9" customHeight="1">
      <c r="A514" s="379">
        <f t="shared" si="47"/>
        <v>498</v>
      </c>
      <c r="B514" s="129" t="s">
        <v>328</v>
      </c>
      <c r="C514" s="43">
        <v>4200</v>
      </c>
      <c r="D514" s="43">
        <f>C514-E514</f>
        <v>1718530</v>
      </c>
      <c r="E514" s="203">
        <v>-1714330</v>
      </c>
      <c r="F514" s="10">
        <f>'Sch 5'!C498</f>
        <v>-2719628</v>
      </c>
      <c r="G514" s="10">
        <f>E514+F514</f>
        <v>-4433958</v>
      </c>
      <c r="H514" s="10"/>
      <c r="I514" s="15" t="s">
        <v>54</v>
      </c>
      <c r="J514" s="38"/>
      <c r="K514" s="38"/>
    </row>
    <row r="515" spans="1:11" ht="14.1" customHeight="1">
      <c r="A515" s="379">
        <f t="shared" si="47"/>
        <v>499</v>
      </c>
      <c r="B515" s="129" t="s">
        <v>312</v>
      </c>
      <c r="C515" s="43">
        <v>-7937454</v>
      </c>
      <c r="D515" s="43">
        <f>C515-E515</f>
        <v>-4798270</v>
      </c>
      <c r="E515" s="203">
        <v>-3139184</v>
      </c>
      <c r="F515" s="10">
        <f>'Sch 5'!C499</f>
        <v>-9184154</v>
      </c>
      <c r="G515" s="10">
        <f>E515+F515</f>
        <v>-12323338</v>
      </c>
      <c r="H515" s="10"/>
      <c r="I515" s="15" t="s">
        <v>54</v>
      </c>
      <c r="J515" s="38"/>
      <c r="K515" s="38"/>
    </row>
    <row r="516" spans="1:11" ht="14.1" customHeight="1">
      <c r="A516" s="379">
        <f t="shared" si="47"/>
        <v>500</v>
      </c>
      <c r="B516" s="129" t="s">
        <v>313</v>
      </c>
      <c r="C516" s="43">
        <v>3460761.7399999988</v>
      </c>
      <c r="D516" s="43">
        <f>C516-E516</f>
        <v>-968317.26000000117</v>
      </c>
      <c r="E516" s="204">
        <v>4429079</v>
      </c>
      <c r="F516" s="10">
        <f>'Sch 5'!C500</f>
        <v>10486154</v>
      </c>
      <c r="G516" s="10">
        <f>E516+F516</f>
        <v>14915233</v>
      </c>
      <c r="H516" s="10"/>
      <c r="I516" s="15" t="s">
        <v>54</v>
      </c>
      <c r="J516" s="38"/>
      <c r="K516" s="38"/>
    </row>
    <row r="517" spans="1:11" ht="14.1" customHeight="1">
      <c r="A517" s="379">
        <f t="shared" si="47"/>
        <v>501</v>
      </c>
      <c r="B517" s="129" t="s">
        <v>314</v>
      </c>
      <c r="C517" s="43">
        <v>-28</v>
      </c>
      <c r="D517" s="43">
        <f>C517-E517</f>
        <v>-1</v>
      </c>
      <c r="E517" s="204">
        <v>-27</v>
      </c>
      <c r="F517" s="10">
        <f>'Sch 5'!C501</f>
        <v>0</v>
      </c>
      <c r="G517" s="10">
        <f>E517+F517</f>
        <v>-27</v>
      </c>
      <c r="H517" s="10"/>
      <c r="I517" s="15" t="s">
        <v>54</v>
      </c>
      <c r="J517" s="38"/>
      <c r="K517" s="38"/>
    </row>
    <row r="518" spans="1:11" ht="14.1" customHeight="1">
      <c r="A518" s="379">
        <f t="shared" si="47"/>
        <v>502</v>
      </c>
      <c r="B518" s="57" t="s">
        <v>329</v>
      </c>
      <c r="C518" s="43">
        <v>0</v>
      </c>
      <c r="D518" s="43">
        <f>C518-E518</f>
        <v>0</v>
      </c>
      <c r="E518" s="412">
        <v>0</v>
      </c>
      <c r="F518" s="10">
        <f>'Sch 5'!C502</f>
        <v>0</v>
      </c>
      <c r="G518" s="10">
        <f>E518+F518</f>
        <v>0</v>
      </c>
      <c r="H518" s="10"/>
      <c r="I518" s="15" t="s">
        <v>54</v>
      </c>
      <c r="J518" s="38"/>
      <c r="K518" s="38"/>
    </row>
    <row r="519" spans="1:11" ht="14.1" customHeight="1">
      <c r="A519" s="379">
        <f>+A518+1</f>
        <v>503</v>
      </c>
      <c r="B519" s="13" t="s">
        <v>315</v>
      </c>
      <c r="C519" s="47">
        <f>SUM(C513:C518)</f>
        <v>-4472520.2600000016</v>
      </c>
      <c r="D519" s="47">
        <f>SUM(D513:D518)</f>
        <v>-4048058.2600000012</v>
      </c>
      <c r="E519" s="47">
        <f>SUM(E513:E518)</f>
        <v>-424462</v>
      </c>
      <c r="F519" s="47">
        <f>SUM(F513:F518)</f>
        <v>-1417628</v>
      </c>
      <c r="G519" s="47">
        <f>SUM(G513:G518)</f>
        <v>-1842090</v>
      </c>
      <c r="H519" s="47"/>
      <c r="I519" s="159"/>
      <c r="J519" s="38"/>
      <c r="K519" s="38"/>
    </row>
    <row r="520" spans="1:11" ht="14.1" customHeight="1">
      <c r="B520" s="22"/>
      <c r="C520" s="128"/>
      <c r="D520" s="128"/>
      <c r="E520" s="128"/>
      <c r="F520" s="128"/>
      <c r="G520" s="43"/>
      <c r="H520" s="43"/>
      <c r="I520" s="15"/>
      <c r="J520" s="38"/>
    </row>
    <row r="521" spans="1:11" s="22" customFormat="1" ht="14.1" customHeight="1">
      <c r="A521" s="380"/>
      <c r="B521" s="13"/>
      <c r="C521" s="128"/>
      <c r="D521" s="183"/>
      <c r="E521" s="184"/>
      <c r="F521" s="184"/>
      <c r="G521" s="43"/>
      <c r="H521" s="43"/>
      <c r="I521" s="15"/>
      <c r="J521" s="65"/>
    </row>
    <row r="522" spans="1:11" s="22" customFormat="1" ht="14.1" customHeight="1">
      <c r="A522" s="380"/>
      <c r="C522" s="185"/>
      <c r="D522" s="183"/>
      <c r="E522" s="184"/>
      <c r="F522" s="184"/>
      <c r="G522" s="43"/>
      <c r="H522" s="254"/>
      <c r="I522" s="15"/>
      <c r="J522" s="65"/>
    </row>
    <row r="523" spans="1:11" s="22" customFormat="1" ht="14.1" customHeight="1">
      <c r="A523" s="380"/>
      <c r="C523" s="43"/>
      <c r="D523" s="184"/>
      <c r="E523" s="184"/>
      <c r="F523" s="184"/>
      <c r="G523" s="43"/>
      <c r="H523" s="254"/>
      <c r="I523" s="15"/>
      <c r="J523" s="65"/>
    </row>
    <row r="524" spans="1:11" s="22" customFormat="1" ht="14.1" customHeight="1">
      <c r="A524" s="380"/>
      <c r="C524" s="43"/>
      <c r="D524" s="184"/>
      <c r="E524" s="184"/>
      <c r="F524" s="184"/>
      <c r="G524" s="43"/>
      <c r="H524" s="43"/>
      <c r="I524" s="15"/>
      <c r="J524" s="65"/>
    </row>
    <row r="525" spans="1:11" s="22" customFormat="1" ht="14.1" customHeight="1">
      <c r="A525" s="380"/>
      <c r="C525" s="43"/>
      <c r="D525" s="184"/>
      <c r="E525" s="184"/>
      <c r="F525" s="184"/>
      <c r="G525" s="43"/>
      <c r="H525" s="43"/>
      <c r="I525" s="15"/>
      <c r="J525" s="65"/>
    </row>
    <row r="526" spans="1:11" s="22" customFormat="1" ht="14.1" customHeight="1">
      <c r="A526" s="380"/>
      <c r="B526" s="13"/>
      <c r="D526" s="128"/>
      <c r="E526" s="128"/>
      <c r="F526" s="184"/>
      <c r="G526" s="43"/>
      <c r="H526" s="43"/>
      <c r="I526" s="15"/>
      <c r="J526" s="65"/>
    </row>
    <row r="527" spans="1:11" s="22" customFormat="1" ht="14.1" customHeight="1">
      <c r="A527" s="380"/>
      <c r="C527" s="184"/>
      <c r="D527" s="183"/>
      <c r="E527" s="184"/>
      <c r="F527" s="184"/>
      <c r="G527" s="43"/>
      <c r="H527" s="43"/>
      <c r="I527" s="15"/>
      <c r="J527" s="65"/>
    </row>
    <row r="528" spans="1:11" s="22" customFormat="1" ht="14.1" customHeight="1">
      <c r="A528" s="380"/>
      <c r="C528" s="43"/>
      <c r="D528" s="184"/>
      <c r="E528" s="184"/>
      <c r="F528" s="184"/>
      <c r="G528" s="43"/>
      <c r="H528" s="43"/>
      <c r="I528" s="15"/>
      <c r="J528" s="65"/>
    </row>
    <row r="529" spans="1:11" s="22" customFormat="1" ht="14.1" customHeight="1">
      <c r="A529" s="380"/>
      <c r="C529" s="43"/>
      <c r="D529" s="184"/>
      <c r="E529" s="184"/>
      <c r="F529" s="184"/>
      <c r="G529" s="43"/>
      <c r="H529" s="43"/>
      <c r="I529" s="15"/>
      <c r="J529" s="65"/>
    </row>
    <row r="530" spans="1:11" s="22" customFormat="1" ht="14.1" customHeight="1">
      <c r="A530" s="380"/>
      <c r="C530" s="43"/>
      <c r="D530" s="184"/>
      <c r="E530" s="184"/>
      <c r="F530" s="184"/>
      <c r="G530" s="43"/>
      <c r="H530" s="43"/>
      <c r="I530" s="15"/>
      <c r="J530" s="65"/>
    </row>
    <row r="531" spans="1:11" s="22" customFormat="1" ht="14.1" customHeight="1">
      <c r="A531" s="380"/>
      <c r="C531" s="43"/>
      <c r="D531" s="184"/>
      <c r="E531" s="184"/>
      <c r="F531" s="184"/>
      <c r="G531" s="43"/>
      <c r="H531" s="43"/>
      <c r="I531" s="15"/>
      <c r="J531" s="186"/>
      <c r="K531" s="380"/>
    </row>
    <row r="532" spans="1:11" s="22" customFormat="1" ht="14.1" customHeight="1">
      <c r="A532" s="380"/>
      <c r="C532" s="43"/>
      <c r="D532" s="184"/>
      <c r="E532" s="184"/>
      <c r="F532" s="184"/>
      <c r="G532" s="43"/>
      <c r="H532" s="43"/>
      <c r="I532" s="15"/>
      <c r="J532" s="65"/>
    </row>
    <row r="533" spans="1:11" s="22" customFormat="1" ht="14.1" customHeight="1">
      <c r="A533" s="380"/>
      <c r="B533" s="13"/>
      <c r="C533" s="184"/>
      <c r="D533" s="184"/>
      <c r="E533" s="184"/>
      <c r="F533" s="184"/>
      <c r="G533" s="43"/>
      <c r="H533" s="43"/>
      <c r="I533" s="187"/>
      <c r="J533" s="65"/>
    </row>
    <row r="534" spans="1:11" s="22" customFormat="1" ht="14.1" customHeight="1">
      <c r="A534" s="380"/>
      <c r="C534" s="43"/>
      <c r="D534" s="184"/>
      <c r="E534" s="184"/>
      <c r="F534" s="184"/>
      <c r="G534" s="43"/>
      <c r="H534" s="43"/>
      <c r="I534" s="15"/>
      <c r="J534" s="188"/>
    </row>
    <row r="535" spans="1:11" s="22" customFormat="1" ht="14.1" customHeight="1">
      <c r="A535" s="380"/>
      <c r="B535" s="13"/>
      <c r="C535" s="184"/>
      <c r="D535" s="184"/>
      <c r="E535" s="184"/>
      <c r="F535" s="184"/>
      <c r="G535" s="43"/>
      <c r="H535" s="43"/>
      <c r="I535" s="15"/>
      <c r="J535" s="184"/>
    </row>
    <row r="536" spans="1:11" s="22" customFormat="1" ht="14.1" customHeight="1">
      <c r="A536" s="380"/>
      <c r="E536" s="189"/>
      <c r="F536" s="189"/>
      <c r="G536" s="43"/>
      <c r="H536" s="43"/>
      <c r="I536" s="15"/>
      <c r="J536" s="188"/>
    </row>
    <row r="537" spans="1:11" s="22" customFormat="1" ht="14.1" customHeight="1">
      <c r="A537" s="380"/>
      <c r="B537" s="13"/>
      <c r="C537" s="83"/>
      <c r="D537" s="84"/>
      <c r="E537" s="84"/>
      <c r="F537" s="190"/>
      <c r="G537" s="43"/>
      <c r="H537" s="43"/>
      <c r="I537" s="15"/>
      <c r="J537" s="188"/>
    </row>
    <row r="538" spans="1:11" ht="14.1" customHeight="1">
      <c r="B538" s="22"/>
      <c r="D538" s="191"/>
      <c r="E538" s="191"/>
      <c r="F538" s="189"/>
      <c r="G538" s="10"/>
      <c r="H538" s="10"/>
      <c r="I538" s="15"/>
      <c r="J538" s="14"/>
    </row>
    <row r="539" spans="1:11" ht="14.1" customHeight="1">
      <c r="B539" s="192"/>
      <c r="C539" s="38"/>
      <c r="D539" s="193"/>
      <c r="E539" s="194"/>
      <c r="F539" s="189"/>
      <c r="G539" s="10"/>
      <c r="H539" s="10"/>
      <c r="I539" s="15"/>
      <c r="J539" s="14"/>
    </row>
    <row r="540" spans="1:11" ht="14.1" customHeight="1">
      <c r="B540" s="22"/>
      <c r="E540" s="195"/>
      <c r="F540" s="195"/>
      <c r="G540" s="10"/>
      <c r="H540" s="10"/>
      <c r="I540" s="187"/>
      <c r="J540" s="14"/>
    </row>
    <row r="541" spans="1:11" ht="14.1" customHeight="1">
      <c r="B541" s="22"/>
      <c r="E541" s="194"/>
      <c r="F541" s="194"/>
      <c r="G541" s="10"/>
      <c r="H541" s="10"/>
      <c r="I541" s="187"/>
      <c r="J541" s="14"/>
    </row>
    <row r="542" spans="1:11" ht="14.1" customHeight="1">
      <c r="B542" s="22"/>
      <c r="E542" s="194"/>
      <c r="F542" s="194"/>
      <c r="G542" s="10"/>
      <c r="H542" s="10"/>
      <c r="I542" s="187"/>
      <c r="J542" s="14"/>
    </row>
    <row r="543" spans="1:11" ht="14.1" customHeight="1">
      <c r="B543" s="22"/>
      <c r="E543" s="196"/>
      <c r="F543" s="196"/>
      <c r="G543" s="10"/>
      <c r="H543" s="10"/>
      <c r="I543" s="187"/>
      <c r="J543" s="14"/>
    </row>
    <row r="544" spans="1:11" ht="14.1" customHeight="1">
      <c r="B544" s="22"/>
      <c r="E544" s="194"/>
      <c r="F544" s="194"/>
      <c r="G544" s="10"/>
      <c r="H544" s="10"/>
      <c r="I544" s="187"/>
      <c r="J544" s="14"/>
    </row>
    <row r="545" spans="2:10" ht="14.1" customHeight="1">
      <c r="B545" s="22"/>
      <c r="E545" s="194"/>
      <c r="F545" s="194"/>
      <c r="G545" s="10"/>
      <c r="H545" s="10"/>
      <c r="I545" s="187"/>
      <c r="J545" s="14"/>
    </row>
    <row r="546" spans="2:10" ht="14.1" customHeight="1">
      <c r="B546" s="22"/>
      <c r="E546" s="194"/>
      <c r="F546" s="194"/>
      <c r="G546" s="10"/>
      <c r="H546" s="10"/>
      <c r="I546" s="187"/>
      <c r="J546" s="14"/>
    </row>
    <row r="547" spans="2:10" ht="14.1" customHeight="1">
      <c r="B547" s="22"/>
      <c r="E547" s="194"/>
      <c r="F547" s="194"/>
      <c r="G547" s="10"/>
      <c r="H547" s="10"/>
      <c r="I547" s="187"/>
      <c r="J547" s="14"/>
    </row>
    <row r="548" spans="2:10" ht="14.1" customHeight="1">
      <c r="B548" s="22"/>
      <c r="E548" s="194"/>
      <c r="F548" s="194"/>
      <c r="G548" s="10"/>
      <c r="H548" s="10"/>
      <c r="I548" s="187"/>
      <c r="J548" s="14"/>
    </row>
    <row r="549" spans="2:10" ht="14.1" customHeight="1">
      <c r="B549" s="22"/>
      <c r="E549" s="194"/>
      <c r="F549" s="194"/>
      <c r="G549" s="10"/>
      <c r="H549" s="10"/>
      <c r="I549" s="187"/>
      <c r="J549" s="14"/>
    </row>
    <row r="550" spans="2:10" ht="14.1" customHeight="1">
      <c r="B550" s="22"/>
      <c r="E550" s="194"/>
      <c r="F550" s="194"/>
      <c r="G550" s="10"/>
      <c r="H550" s="10"/>
      <c r="I550" s="187"/>
      <c r="J550" s="14"/>
    </row>
    <row r="551" spans="2:10" ht="14.1" customHeight="1">
      <c r="B551" s="22"/>
      <c r="E551" s="194"/>
      <c r="F551" s="194"/>
      <c r="G551" s="10"/>
      <c r="H551" s="10"/>
      <c r="I551" s="187"/>
      <c r="J551" s="14"/>
    </row>
    <row r="552" spans="2:10" ht="14.1" customHeight="1">
      <c r="B552" s="22"/>
      <c r="E552" s="194"/>
      <c r="F552" s="194"/>
      <c r="G552" s="10"/>
      <c r="H552" s="10"/>
      <c r="I552" s="187"/>
      <c r="J552" s="14"/>
    </row>
    <row r="553" spans="2:10" ht="14.1" customHeight="1">
      <c r="B553" s="22"/>
      <c r="E553" s="194"/>
      <c r="F553" s="194"/>
      <c r="G553" s="10"/>
      <c r="H553" s="10"/>
      <c r="I553" s="187"/>
      <c r="J553" s="14"/>
    </row>
    <row r="554" spans="2:10" ht="14.1" customHeight="1">
      <c r="B554" s="22"/>
      <c r="E554" s="194"/>
      <c r="F554" s="194"/>
      <c r="G554" s="10"/>
      <c r="H554" s="10"/>
      <c r="I554" s="187"/>
      <c r="J554" s="14"/>
    </row>
    <row r="555" spans="2:10" ht="14.1" customHeight="1">
      <c r="B555" s="22"/>
      <c r="E555" s="194"/>
      <c r="F555" s="194"/>
      <c r="G555" s="10"/>
      <c r="H555" s="10"/>
      <c r="I555" s="187"/>
      <c r="J555" s="14"/>
    </row>
    <row r="556" spans="2:10" ht="14.1" customHeight="1">
      <c r="B556" s="22"/>
      <c r="E556" s="194"/>
      <c r="F556" s="194"/>
      <c r="G556" s="10"/>
      <c r="H556" s="10"/>
      <c r="I556" s="187"/>
      <c r="J556" s="14"/>
    </row>
    <row r="557" spans="2:10" ht="14.1" customHeight="1">
      <c r="B557" s="22"/>
      <c r="E557" s="194"/>
      <c r="F557" s="194"/>
      <c r="G557" s="10"/>
      <c r="H557" s="10"/>
      <c r="I557" s="187"/>
      <c r="J557" s="14"/>
    </row>
    <row r="558" spans="2:10" ht="14.1" customHeight="1">
      <c r="B558" s="22"/>
      <c r="E558" s="194"/>
      <c r="F558" s="194"/>
      <c r="G558" s="10"/>
      <c r="H558" s="10"/>
      <c r="I558" s="187"/>
      <c r="J558" s="14"/>
    </row>
    <row r="559" spans="2:10" ht="14.1" customHeight="1">
      <c r="B559" s="22"/>
      <c r="E559" s="194"/>
      <c r="F559" s="194"/>
      <c r="G559" s="10"/>
      <c r="H559" s="10"/>
      <c r="I559" s="187"/>
      <c r="J559" s="14"/>
    </row>
    <row r="560" spans="2:10" ht="14.1" customHeight="1">
      <c r="B560" s="22"/>
      <c r="E560" s="194"/>
      <c r="F560" s="194"/>
      <c r="G560" s="10"/>
      <c r="H560" s="10"/>
      <c r="I560" s="187"/>
      <c r="J560" s="14"/>
    </row>
    <row r="561" spans="2:10" ht="14.1" customHeight="1">
      <c r="B561" s="22"/>
      <c r="E561" s="194"/>
      <c r="F561" s="194"/>
      <c r="G561" s="10"/>
      <c r="H561" s="10"/>
      <c r="I561" s="187"/>
      <c r="J561" s="14"/>
    </row>
    <row r="562" spans="2:10" ht="14.1" customHeight="1">
      <c r="B562" s="22"/>
      <c r="E562" s="194"/>
      <c r="F562" s="194"/>
      <c r="G562" s="10"/>
      <c r="H562" s="10"/>
      <c r="I562" s="187"/>
      <c r="J562" s="14"/>
    </row>
    <row r="563" spans="2:10" ht="14.1" customHeight="1">
      <c r="B563" s="22"/>
      <c r="E563" s="194"/>
      <c r="F563" s="194"/>
      <c r="G563" s="10"/>
      <c r="H563" s="10"/>
      <c r="I563" s="187"/>
      <c r="J563" s="14"/>
    </row>
    <row r="564" spans="2:10" ht="14.1" customHeight="1">
      <c r="B564" s="22"/>
      <c r="E564" s="194"/>
      <c r="F564" s="194"/>
      <c r="G564" s="10"/>
      <c r="H564" s="10"/>
      <c r="I564" s="187"/>
      <c r="J564" s="14"/>
    </row>
    <row r="565" spans="2:10" ht="14.1" customHeight="1">
      <c r="B565" s="22"/>
      <c r="E565" s="194"/>
      <c r="F565" s="194"/>
      <c r="G565" s="10"/>
      <c r="H565" s="10"/>
      <c r="I565" s="187"/>
      <c r="J565" s="14"/>
    </row>
    <row r="566" spans="2:10" ht="14.1" customHeight="1">
      <c r="B566" s="22"/>
      <c r="E566" s="194"/>
      <c r="F566" s="194"/>
      <c r="G566" s="10"/>
      <c r="H566" s="10"/>
      <c r="I566" s="187"/>
      <c r="J566" s="14"/>
    </row>
    <row r="567" spans="2:10" ht="14.1" customHeight="1">
      <c r="B567" s="22"/>
      <c r="E567" s="194"/>
      <c r="F567" s="194"/>
      <c r="G567" s="10"/>
      <c r="H567" s="10"/>
      <c r="I567" s="187"/>
      <c r="J567" s="14"/>
    </row>
    <row r="568" spans="2:10" ht="14.1" customHeight="1">
      <c r="B568" s="22"/>
      <c r="E568" s="194"/>
      <c r="F568" s="194"/>
      <c r="G568" s="10"/>
      <c r="H568" s="10"/>
      <c r="I568" s="187"/>
      <c r="J568" s="14"/>
    </row>
    <row r="569" spans="2:10" ht="14.1" customHeight="1">
      <c r="B569" s="22"/>
      <c r="E569" s="194"/>
      <c r="F569" s="194"/>
      <c r="G569" s="10"/>
      <c r="H569" s="10"/>
      <c r="I569" s="187"/>
      <c r="J569" s="14"/>
    </row>
    <row r="570" spans="2:10" ht="14.1" customHeight="1">
      <c r="B570" s="22"/>
      <c r="E570" s="194"/>
      <c r="F570" s="194"/>
      <c r="G570" s="10"/>
      <c r="H570" s="10"/>
      <c r="I570" s="187"/>
      <c r="J570" s="14"/>
    </row>
    <row r="571" spans="2:10" ht="14.1" customHeight="1">
      <c r="B571" s="22"/>
      <c r="E571" s="194"/>
      <c r="F571" s="194"/>
      <c r="G571" s="10"/>
      <c r="H571" s="10"/>
      <c r="I571" s="187"/>
      <c r="J571" s="14"/>
    </row>
    <row r="572" spans="2:10" ht="14.1" customHeight="1">
      <c r="B572" s="22"/>
      <c r="E572" s="194"/>
      <c r="F572" s="194"/>
      <c r="G572" s="10"/>
      <c r="H572" s="10"/>
      <c r="I572" s="187"/>
      <c r="J572" s="14"/>
    </row>
    <row r="573" spans="2:10" ht="14.1" customHeight="1">
      <c r="B573" s="22"/>
      <c r="E573" s="194"/>
      <c r="F573" s="194"/>
      <c r="G573" s="10"/>
      <c r="H573" s="10"/>
      <c r="I573" s="187"/>
      <c r="J573" s="14"/>
    </row>
    <row r="574" spans="2:10" ht="14.1" customHeight="1">
      <c r="B574" s="22"/>
      <c r="E574" s="194"/>
      <c r="F574" s="194"/>
      <c r="G574" s="10"/>
      <c r="H574" s="10"/>
      <c r="I574" s="187"/>
      <c r="J574" s="14"/>
    </row>
    <row r="575" spans="2:10" ht="14.1" customHeight="1">
      <c r="B575" s="22"/>
      <c r="E575" s="194"/>
      <c r="F575" s="194"/>
      <c r="G575" s="10"/>
      <c r="H575" s="10"/>
      <c r="I575" s="187"/>
      <c r="J575" s="14"/>
    </row>
    <row r="576" spans="2:10" ht="14.1" customHeight="1">
      <c r="B576" s="22"/>
      <c r="E576" s="194"/>
      <c r="F576" s="194"/>
      <c r="G576" s="10"/>
      <c r="H576" s="10"/>
      <c r="I576" s="187"/>
      <c r="J576" s="14"/>
    </row>
    <row r="577" spans="2:10" ht="14.1" customHeight="1">
      <c r="B577" s="22"/>
      <c r="E577" s="194"/>
      <c r="F577" s="194"/>
      <c r="G577" s="10"/>
      <c r="H577" s="10"/>
      <c r="I577" s="187"/>
      <c r="J577" s="14"/>
    </row>
    <row r="578" spans="2:10" ht="14.1" customHeight="1">
      <c r="B578" s="22"/>
      <c r="E578" s="194"/>
      <c r="F578" s="194"/>
      <c r="G578" s="10"/>
      <c r="H578" s="10"/>
      <c r="I578" s="187"/>
      <c r="J578" s="14"/>
    </row>
    <row r="579" spans="2:10" ht="14.1" customHeight="1">
      <c r="B579" s="22"/>
      <c r="E579" s="194"/>
      <c r="F579" s="194"/>
      <c r="G579" s="10"/>
      <c r="H579" s="10"/>
      <c r="I579" s="187"/>
      <c r="J579" s="14"/>
    </row>
    <row r="580" spans="2:10" ht="14.1" customHeight="1">
      <c r="B580" s="22"/>
      <c r="E580" s="194"/>
      <c r="F580" s="194"/>
      <c r="G580" s="10"/>
      <c r="H580" s="10"/>
      <c r="I580" s="187"/>
      <c r="J580" s="14"/>
    </row>
    <row r="581" spans="2:10" ht="14.1" customHeight="1">
      <c r="B581" s="22"/>
      <c r="E581" s="194"/>
      <c r="F581" s="194"/>
      <c r="G581" s="10"/>
      <c r="H581" s="10"/>
      <c r="I581" s="187"/>
      <c r="J581" s="14"/>
    </row>
    <row r="582" spans="2:10" ht="14.1" customHeight="1">
      <c r="B582" s="22"/>
      <c r="E582" s="194"/>
      <c r="F582" s="194"/>
      <c r="G582" s="10"/>
      <c r="H582" s="10"/>
      <c r="I582" s="187"/>
      <c r="J582" s="14"/>
    </row>
    <row r="583" spans="2:10" ht="14.1" customHeight="1">
      <c r="B583" s="22"/>
      <c r="E583" s="194"/>
      <c r="F583" s="194"/>
      <c r="G583" s="10"/>
      <c r="H583" s="10"/>
      <c r="I583" s="187"/>
      <c r="J583" s="14"/>
    </row>
    <row r="584" spans="2:10" ht="14.1" customHeight="1">
      <c r="B584" s="22"/>
      <c r="E584" s="194"/>
      <c r="F584" s="194"/>
      <c r="G584" s="10"/>
      <c r="H584" s="10"/>
      <c r="I584" s="187"/>
      <c r="J584" s="14"/>
    </row>
    <row r="585" spans="2:10" ht="14.1" customHeight="1">
      <c r="B585" s="22"/>
      <c r="E585" s="194"/>
      <c r="F585" s="194"/>
      <c r="G585" s="10"/>
      <c r="H585" s="10"/>
      <c r="I585" s="187"/>
      <c r="J585" s="14"/>
    </row>
    <row r="586" spans="2:10" ht="14.1" customHeight="1">
      <c r="B586" s="22"/>
      <c r="E586" s="194"/>
      <c r="F586" s="194"/>
      <c r="G586" s="10"/>
      <c r="H586" s="10"/>
      <c r="I586" s="187"/>
      <c r="J586" s="14"/>
    </row>
    <row r="587" spans="2:10" ht="14.1" customHeight="1">
      <c r="B587" s="22"/>
      <c r="E587" s="194"/>
      <c r="F587" s="194"/>
      <c r="G587" s="10"/>
      <c r="H587" s="10"/>
      <c r="I587" s="187"/>
      <c r="J587" s="14"/>
    </row>
    <row r="588" spans="2:10" ht="14.1" customHeight="1">
      <c r="B588" s="22"/>
      <c r="E588" s="194"/>
      <c r="F588" s="194"/>
      <c r="G588" s="10"/>
      <c r="H588" s="10"/>
      <c r="I588" s="187"/>
      <c r="J588" s="14"/>
    </row>
    <row r="589" spans="2:10" ht="14.1" customHeight="1">
      <c r="B589" s="22"/>
      <c r="E589" s="194"/>
      <c r="F589" s="194"/>
      <c r="G589" s="10"/>
      <c r="H589" s="10"/>
      <c r="I589" s="187"/>
      <c r="J589" s="14"/>
    </row>
    <row r="590" spans="2:10" ht="14.1" customHeight="1">
      <c r="B590" s="22"/>
      <c r="E590" s="194"/>
      <c r="F590" s="194"/>
      <c r="G590" s="10"/>
      <c r="H590" s="10"/>
      <c r="I590" s="187"/>
      <c r="J590" s="14"/>
    </row>
    <row r="591" spans="2:10" ht="14.1" customHeight="1">
      <c r="B591" s="22"/>
      <c r="E591" s="194"/>
      <c r="F591" s="194"/>
      <c r="G591" s="10"/>
      <c r="H591" s="10"/>
      <c r="I591" s="187"/>
      <c r="J591" s="14"/>
    </row>
    <row r="592" spans="2:10" ht="14.1" customHeight="1">
      <c r="B592" s="22"/>
      <c r="E592" s="194"/>
      <c r="F592" s="194"/>
      <c r="G592" s="197"/>
      <c r="H592" s="197"/>
      <c r="I592" s="194"/>
      <c r="J592" s="187"/>
    </row>
    <row r="593" spans="2:10" ht="14.1" customHeight="1">
      <c r="B593" s="22"/>
      <c r="E593" s="194"/>
      <c r="F593" s="194"/>
      <c r="G593" s="197"/>
      <c r="H593" s="197"/>
      <c r="I593" s="194"/>
      <c r="J593" s="187"/>
    </row>
    <row r="594" spans="2:10" ht="14.1" customHeight="1">
      <c r="B594" s="22"/>
      <c r="E594" s="194"/>
      <c r="F594" s="194"/>
      <c r="G594" s="197"/>
      <c r="H594" s="197"/>
      <c r="I594" s="194"/>
      <c r="J594" s="187"/>
    </row>
    <row r="595" spans="2:10" ht="14.1" customHeight="1">
      <c r="B595" s="22"/>
      <c r="E595" s="194"/>
      <c r="F595" s="194"/>
      <c r="G595" s="197"/>
      <c r="H595" s="197"/>
      <c r="I595" s="194"/>
      <c r="J595" s="187"/>
    </row>
    <row r="596" spans="2:10" ht="14.1" customHeight="1">
      <c r="B596" s="22"/>
      <c r="E596" s="194"/>
      <c r="F596" s="194"/>
      <c r="G596" s="197"/>
      <c r="H596" s="197"/>
      <c r="I596" s="194"/>
      <c r="J596" s="187"/>
    </row>
    <row r="597" spans="2:10" ht="14.1" customHeight="1">
      <c r="B597" s="22"/>
      <c r="E597" s="194"/>
      <c r="F597" s="194"/>
      <c r="G597" s="197"/>
      <c r="H597" s="197"/>
      <c r="I597" s="194"/>
      <c r="J597" s="187"/>
    </row>
    <row r="598" spans="2:10" ht="14.1" customHeight="1">
      <c r="B598" s="22"/>
      <c r="E598" s="194"/>
      <c r="F598" s="194"/>
      <c r="G598" s="197"/>
      <c r="H598" s="197"/>
      <c r="I598" s="194"/>
      <c r="J598" s="187"/>
    </row>
    <row r="599" spans="2:10" ht="14.1" customHeight="1">
      <c r="B599" s="22"/>
      <c r="E599" s="194"/>
      <c r="F599" s="194"/>
      <c r="G599" s="197"/>
      <c r="H599" s="197"/>
      <c r="I599" s="194"/>
      <c r="J599" s="187"/>
    </row>
    <row r="600" spans="2:10" ht="14.1" customHeight="1">
      <c r="B600" s="22"/>
      <c r="E600" s="194"/>
      <c r="F600" s="194"/>
      <c r="G600" s="197"/>
      <c r="H600" s="197"/>
      <c r="I600" s="194"/>
      <c r="J600" s="187"/>
    </row>
    <row r="601" spans="2:10" ht="14.1" customHeight="1">
      <c r="B601" s="22"/>
      <c r="E601" s="194"/>
      <c r="F601" s="194"/>
      <c r="G601" s="197"/>
      <c r="H601" s="197"/>
      <c r="I601" s="194"/>
      <c r="J601" s="187"/>
    </row>
    <row r="602" spans="2:10" ht="14.1" customHeight="1">
      <c r="B602" s="22"/>
      <c r="E602" s="194"/>
      <c r="F602" s="194"/>
      <c r="G602" s="197"/>
      <c r="H602" s="197"/>
      <c r="I602" s="194"/>
      <c r="J602" s="187"/>
    </row>
    <row r="603" spans="2:10" ht="14.1" customHeight="1">
      <c r="B603" s="22"/>
      <c r="E603" s="194"/>
      <c r="F603" s="194"/>
      <c r="G603" s="197"/>
      <c r="H603" s="197"/>
      <c r="I603" s="194"/>
      <c r="J603" s="187"/>
    </row>
    <row r="604" spans="2:10" ht="14.1" customHeight="1">
      <c r="B604" s="22"/>
      <c r="E604" s="194"/>
      <c r="F604" s="194"/>
      <c r="G604" s="197"/>
      <c r="H604" s="197"/>
      <c r="I604" s="194"/>
      <c r="J604" s="187"/>
    </row>
    <row r="605" spans="2:10" ht="14.1" customHeight="1">
      <c r="B605" s="22"/>
      <c r="E605" s="194"/>
      <c r="F605" s="194"/>
      <c r="G605" s="197"/>
      <c r="H605" s="197"/>
      <c r="I605" s="194"/>
      <c r="J605" s="187"/>
    </row>
    <row r="606" spans="2:10" ht="14.1" customHeight="1">
      <c r="B606" s="22"/>
      <c r="E606" s="194"/>
      <c r="F606" s="194"/>
      <c r="G606" s="197"/>
      <c r="H606" s="197"/>
      <c r="I606" s="194"/>
      <c r="J606" s="187"/>
    </row>
    <row r="607" spans="2:10" ht="14.1" customHeight="1">
      <c r="B607" s="22"/>
      <c r="E607" s="194"/>
      <c r="F607" s="194"/>
      <c r="G607" s="197"/>
      <c r="H607" s="197"/>
      <c r="I607" s="194"/>
      <c r="J607" s="187"/>
    </row>
    <row r="608" spans="2:10" ht="14.1" customHeight="1">
      <c r="B608" s="22"/>
      <c r="E608" s="194"/>
      <c r="F608" s="194"/>
      <c r="G608" s="197"/>
      <c r="H608" s="197"/>
      <c r="I608" s="194"/>
      <c r="J608" s="187"/>
    </row>
    <row r="609" spans="2:10" ht="14.1" customHeight="1">
      <c r="B609" s="22"/>
      <c r="E609" s="194"/>
      <c r="F609" s="194"/>
      <c r="G609" s="197"/>
      <c r="H609" s="197"/>
      <c r="I609" s="194"/>
      <c r="J609" s="187"/>
    </row>
    <row r="610" spans="2:10" ht="14.1" customHeight="1">
      <c r="B610" s="22"/>
      <c r="E610" s="194"/>
      <c r="F610" s="194"/>
      <c r="G610" s="197"/>
      <c r="H610" s="197"/>
      <c r="I610" s="194"/>
      <c r="J610" s="187"/>
    </row>
    <row r="611" spans="2:10" ht="14.1" customHeight="1">
      <c r="B611" s="22"/>
      <c r="E611" s="194"/>
      <c r="F611" s="194"/>
      <c r="G611" s="197"/>
      <c r="H611" s="197"/>
      <c r="I611" s="194"/>
      <c r="J611" s="187"/>
    </row>
    <row r="612" spans="2:10" ht="14.1" customHeight="1">
      <c r="B612" s="22"/>
      <c r="E612" s="194"/>
      <c r="F612" s="194"/>
      <c r="G612" s="197"/>
      <c r="H612" s="197"/>
      <c r="I612" s="194"/>
      <c r="J612" s="187"/>
    </row>
    <row r="613" spans="2:10" ht="14.1" customHeight="1">
      <c r="B613" s="22"/>
      <c r="E613" s="194"/>
      <c r="F613" s="194"/>
      <c r="G613" s="197"/>
      <c r="H613" s="197"/>
      <c r="I613" s="194"/>
      <c r="J613" s="187"/>
    </row>
    <row r="614" spans="2:10" ht="14.1" customHeight="1">
      <c r="B614" s="22"/>
      <c r="E614" s="194"/>
      <c r="F614" s="194"/>
      <c r="G614" s="197"/>
      <c r="H614" s="197"/>
      <c r="I614" s="194"/>
      <c r="J614" s="187"/>
    </row>
    <row r="615" spans="2:10" ht="14.1" customHeight="1">
      <c r="B615" s="22"/>
      <c r="E615" s="194"/>
      <c r="F615" s="194"/>
      <c r="G615" s="197"/>
      <c r="H615" s="197"/>
      <c r="I615" s="194"/>
      <c r="J615" s="187"/>
    </row>
    <row r="616" spans="2:10" ht="14.1" customHeight="1">
      <c r="B616" s="22"/>
      <c r="E616" s="194"/>
      <c r="F616" s="194"/>
      <c r="G616" s="197"/>
      <c r="H616" s="197"/>
      <c r="I616" s="194"/>
      <c r="J616" s="187"/>
    </row>
    <row r="617" spans="2:10" ht="14.1" customHeight="1">
      <c r="B617" s="22"/>
      <c r="E617" s="194"/>
      <c r="F617" s="194"/>
      <c r="G617" s="197"/>
      <c r="H617" s="197"/>
      <c r="I617" s="194"/>
      <c r="J617" s="198"/>
    </row>
    <row r="618" spans="2:10" ht="14.1" customHeight="1">
      <c r="B618" s="22"/>
      <c r="E618" s="194"/>
      <c r="F618" s="194"/>
      <c r="G618" s="197"/>
      <c r="H618" s="197"/>
      <c r="I618" s="194"/>
      <c r="J618" s="198"/>
    </row>
    <row r="619" spans="2:10" ht="14.1" customHeight="1">
      <c r="B619" s="22"/>
      <c r="E619" s="194"/>
      <c r="F619" s="194"/>
      <c r="G619" s="197"/>
      <c r="H619" s="197"/>
      <c r="I619" s="194"/>
      <c r="J619" s="198"/>
    </row>
    <row r="620" spans="2:10" ht="14.1" customHeight="1">
      <c r="B620" s="22"/>
      <c r="E620" s="194"/>
      <c r="F620" s="194"/>
      <c r="G620" s="197"/>
      <c r="H620" s="197"/>
      <c r="I620" s="194"/>
      <c r="J620" s="198"/>
    </row>
    <row r="621" spans="2:10" ht="14.1" customHeight="1">
      <c r="B621" s="22"/>
      <c r="E621" s="194"/>
      <c r="F621" s="194"/>
      <c r="G621" s="197"/>
      <c r="H621" s="197"/>
      <c r="I621" s="194"/>
      <c r="J621" s="198"/>
    </row>
    <row r="622" spans="2:10" ht="14.1" customHeight="1">
      <c r="B622" s="22"/>
      <c r="E622" s="194"/>
      <c r="F622" s="194"/>
      <c r="G622" s="197"/>
      <c r="H622" s="197"/>
      <c r="I622" s="194"/>
      <c r="J622" s="198"/>
    </row>
    <row r="623" spans="2:10" ht="14.1" customHeight="1">
      <c r="B623" s="22"/>
      <c r="E623" s="194"/>
      <c r="F623" s="194"/>
      <c r="G623" s="197"/>
      <c r="H623" s="197"/>
      <c r="I623" s="194"/>
      <c r="J623" s="198"/>
    </row>
    <row r="624" spans="2:10" ht="14.1" customHeight="1">
      <c r="B624" s="22"/>
      <c r="E624" s="194"/>
      <c r="F624" s="194"/>
      <c r="G624" s="197"/>
      <c r="H624" s="197"/>
      <c r="I624" s="194"/>
      <c r="J624" s="198"/>
    </row>
    <row r="625" spans="2:10" ht="14.1" customHeight="1">
      <c r="B625" s="22"/>
      <c r="E625" s="194"/>
      <c r="F625" s="194"/>
      <c r="G625" s="197"/>
      <c r="H625" s="197"/>
      <c r="I625" s="194"/>
      <c r="J625" s="198"/>
    </row>
    <row r="626" spans="2:10" ht="14.1" customHeight="1">
      <c r="B626" s="22"/>
      <c r="E626" s="194"/>
      <c r="F626" s="194"/>
      <c r="G626" s="197"/>
      <c r="H626" s="197"/>
      <c r="I626" s="194"/>
      <c r="J626" s="198"/>
    </row>
    <row r="627" spans="2:10" ht="14.1" customHeight="1">
      <c r="B627" s="22"/>
      <c r="E627" s="194"/>
      <c r="F627" s="194"/>
      <c r="G627" s="197"/>
      <c r="H627" s="197"/>
      <c r="I627" s="194"/>
      <c r="J627" s="198"/>
    </row>
    <row r="628" spans="2:10" ht="14.1" customHeight="1">
      <c r="B628" s="22"/>
      <c r="E628" s="194"/>
      <c r="F628" s="194"/>
      <c r="G628" s="197"/>
      <c r="H628" s="197"/>
      <c r="I628" s="194"/>
      <c r="J628" s="198"/>
    </row>
    <row r="629" spans="2:10" ht="14.1" customHeight="1">
      <c r="B629" s="22"/>
      <c r="E629" s="194"/>
      <c r="F629" s="194"/>
      <c r="G629" s="197"/>
      <c r="H629" s="197"/>
      <c r="I629" s="194"/>
      <c r="J629" s="198"/>
    </row>
    <row r="630" spans="2:10" ht="14.1" customHeight="1">
      <c r="B630" s="22"/>
      <c r="E630" s="194"/>
      <c r="F630" s="194"/>
      <c r="G630" s="197"/>
      <c r="H630" s="197"/>
      <c r="I630" s="194"/>
      <c r="J630" s="198"/>
    </row>
    <row r="631" spans="2:10" ht="14.1" customHeight="1">
      <c r="B631" s="22"/>
      <c r="E631" s="194"/>
      <c r="F631" s="194"/>
      <c r="G631" s="197"/>
      <c r="H631" s="197"/>
      <c r="I631" s="194"/>
      <c r="J631" s="198"/>
    </row>
    <row r="632" spans="2:10" ht="14.1" customHeight="1">
      <c r="B632" s="22"/>
      <c r="E632" s="194"/>
      <c r="F632" s="194"/>
      <c r="G632" s="197"/>
      <c r="H632" s="197"/>
      <c r="I632" s="194"/>
      <c r="J632" s="198"/>
    </row>
    <row r="633" spans="2:10" ht="14.1" customHeight="1">
      <c r="B633" s="22"/>
      <c r="E633" s="194"/>
      <c r="F633" s="194"/>
      <c r="G633" s="197"/>
      <c r="H633" s="197"/>
      <c r="I633" s="194"/>
      <c r="J633" s="198"/>
    </row>
    <row r="634" spans="2:10" ht="14.1" customHeight="1">
      <c r="B634" s="22"/>
      <c r="E634" s="194"/>
      <c r="F634" s="194"/>
      <c r="G634" s="197"/>
      <c r="H634" s="197"/>
      <c r="I634" s="194"/>
      <c r="J634" s="198"/>
    </row>
    <row r="635" spans="2:10" ht="14.1" customHeight="1">
      <c r="B635" s="22"/>
      <c r="E635" s="194"/>
      <c r="F635" s="194"/>
      <c r="G635" s="197"/>
      <c r="H635" s="197"/>
      <c r="I635" s="194"/>
      <c r="J635" s="198"/>
    </row>
    <row r="636" spans="2:10" ht="14.1" customHeight="1">
      <c r="B636" s="22"/>
      <c r="E636" s="194"/>
      <c r="F636" s="194"/>
      <c r="G636" s="197"/>
      <c r="H636" s="197"/>
      <c r="I636" s="194"/>
      <c r="J636" s="198"/>
    </row>
    <row r="637" spans="2:10" ht="14.1" customHeight="1">
      <c r="B637" s="22"/>
      <c r="E637" s="194"/>
      <c r="F637" s="194"/>
      <c r="G637" s="197"/>
      <c r="H637" s="197"/>
      <c r="I637" s="194"/>
      <c r="J637" s="198"/>
    </row>
    <row r="638" spans="2:10" ht="14.1" customHeight="1">
      <c r="B638" s="22"/>
      <c r="E638" s="194"/>
      <c r="F638" s="194"/>
      <c r="G638" s="197"/>
      <c r="H638" s="197"/>
      <c r="I638" s="194"/>
      <c r="J638" s="198"/>
    </row>
    <row r="639" spans="2:10" ht="14.1" customHeight="1">
      <c r="B639" s="22"/>
      <c r="E639" s="194"/>
      <c r="F639" s="194"/>
      <c r="G639" s="197"/>
      <c r="H639" s="197"/>
      <c r="I639" s="194"/>
      <c r="J639" s="198"/>
    </row>
    <row r="640" spans="2:10" ht="14.1" customHeight="1">
      <c r="B640" s="22"/>
      <c r="E640" s="194"/>
      <c r="F640" s="194"/>
      <c r="G640" s="197"/>
      <c r="H640" s="197"/>
      <c r="I640" s="194"/>
      <c r="J640" s="198"/>
    </row>
    <row r="641" spans="2:10" ht="14.1" customHeight="1">
      <c r="B641" s="22"/>
      <c r="E641" s="194"/>
      <c r="F641" s="194"/>
      <c r="G641" s="197"/>
      <c r="H641" s="197"/>
      <c r="I641" s="194"/>
      <c r="J641" s="198"/>
    </row>
    <row r="642" spans="2:10" ht="14.1" customHeight="1">
      <c r="B642" s="22"/>
      <c r="E642" s="194"/>
      <c r="F642" s="194"/>
      <c r="G642" s="197"/>
      <c r="H642" s="197"/>
      <c r="I642" s="194"/>
      <c r="J642" s="198"/>
    </row>
    <row r="643" spans="2:10" ht="14.1" customHeight="1">
      <c r="B643" s="22"/>
      <c r="E643" s="194"/>
      <c r="F643" s="194"/>
      <c r="G643" s="197"/>
      <c r="H643" s="197"/>
      <c r="I643" s="194"/>
      <c r="J643" s="198"/>
    </row>
    <row r="644" spans="2:10" ht="14.1" customHeight="1">
      <c r="B644" s="22"/>
      <c r="E644" s="194"/>
      <c r="F644" s="194"/>
      <c r="G644" s="197"/>
      <c r="H644" s="197"/>
      <c r="I644" s="194"/>
      <c r="J644" s="198"/>
    </row>
    <row r="645" spans="2:10" ht="14.1" customHeight="1">
      <c r="B645" s="22"/>
      <c r="E645" s="194"/>
      <c r="F645" s="194"/>
      <c r="G645" s="197"/>
      <c r="H645" s="197"/>
      <c r="I645" s="194"/>
      <c r="J645" s="198"/>
    </row>
    <row r="646" spans="2:10" ht="14.1" customHeight="1">
      <c r="E646" s="194"/>
      <c r="F646" s="194"/>
      <c r="G646" s="197"/>
      <c r="H646" s="197"/>
      <c r="I646" s="194"/>
      <c r="J646" s="198"/>
    </row>
    <row r="647" spans="2:10" ht="14.1" customHeight="1">
      <c r="E647" s="194"/>
      <c r="F647" s="194"/>
      <c r="G647" s="197"/>
      <c r="H647" s="197"/>
      <c r="I647" s="194"/>
      <c r="J647" s="198"/>
    </row>
    <row r="648" spans="2:10" ht="14.1" customHeight="1">
      <c r="E648" s="194"/>
      <c r="F648" s="194"/>
      <c r="G648" s="197"/>
      <c r="H648" s="197"/>
      <c r="I648" s="194"/>
      <c r="J648" s="198"/>
    </row>
    <row r="649" spans="2:10" ht="14.1" customHeight="1">
      <c r="E649" s="194"/>
      <c r="F649" s="194"/>
      <c r="G649" s="197"/>
      <c r="H649" s="197"/>
      <c r="I649" s="194"/>
      <c r="J649" s="194"/>
    </row>
    <row r="650" spans="2:10" ht="14.1" customHeight="1">
      <c r="E650" s="194"/>
      <c r="F650" s="194"/>
      <c r="G650" s="197"/>
      <c r="H650" s="197"/>
      <c r="I650" s="194"/>
      <c r="J650" s="194"/>
    </row>
    <row r="651" spans="2:10" ht="14.1" customHeight="1">
      <c r="E651" s="194"/>
      <c r="F651" s="194"/>
      <c r="G651" s="197"/>
      <c r="H651" s="197"/>
      <c r="I651" s="194"/>
      <c r="J651" s="194"/>
    </row>
    <row r="652" spans="2:10" ht="14.1" customHeight="1">
      <c r="E652" s="194"/>
      <c r="F652" s="194"/>
      <c r="G652" s="197"/>
      <c r="H652" s="197"/>
      <c r="I652" s="194"/>
      <c r="J652" s="194"/>
    </row>
    <row r="653" spans="2:10" ht="14.1" customHeight="1">
      <c r="E653" s="194"/>
      <c r="F653" s="194"/>
      <c r="G653" s="197"/>
      <c r="H653" s="197"/>
      <c r="I653" s="194"/>
      <c r="J653" s="194"/>
    </row>
    <row r="654" spans="2:10" ht="14.1" customHeight="1">
      <c r="E654" s="194"/>
      <c r="F654" s="194"/>
      <c r="G654" s="197"/>
      <c r="H654" s="197"/>
      <c r="I654" s="194"/>
      <c r="J654" s="194"/>
    </row>
    <row r="655" spans="2:10" ht="14.1" customHeight="1">
      <c r="E655" s="194"/>
      <c r="F655" s="194"/>
      <c r="G655" s="197"/>
      <c r="H655" s="197"/>
      <c r="I655" s="194"/>
      <c r="J655" s="194"/>
    </row>
    <row r="656" spans="2:10" ht="14.1" customHeight="1">
      <c r="E656" s="194"/>
      <c r="F656" s="194"/>
      <c r="G656" s="197"/>
      <c r="H656" s="197"/>
      <c r="I656" s="194"/>
      <c r="J656" s="194"/>
    </row>
    <row r="657" spans="5:10" ht="14.1" customHeight="1">
      <c r="E657" s="194"/>
      <c r="F657" s="194"/>
      <c r="G657" s="197"/>
      <c r="H657" s="197"/>
      <c r="I657" s="194"/>
      <c r="J657" s="194"/>
    </row>
    <row r="658" spans="5:10" ht="14.1" customHeight="1">
      <c r="E658" s="194"/>
      <c r="F658" s="194"/>
      <c r="G658" s="197"/>
      <c r="H658" s="197"/>
      <c r="I658" s="194"/>
      <c r="J658" s="194"/>
    </row>
    <row r="659" spans="5:10" ht="14.1" customHeight="1">
      <c r="E659" s="194"/>
      <c r="F659" s="194"/>
      <c r="G659" s="197"/>
      <c r="H659" s="197"/>
      <c r="I659" s="194"/>
      <c r="J659" s="194"/>
    </row>
    <row r="660" spans="5:10" ht="14.1" customHeight="1">
      <c r="E660" s="194"/>
      <c r="F660" s="194"/>
      <c r="G660" s="197"/>
      <c r="H660" s="197"/>
      <c r="I660" s="194"/>
      <c r="J660" s="194"/>
    </row>
    <row r="661" spans="5:10" ht="14.1" customHeight="1">
      <c r="E661" s="194"/>
      <c r="F661" s="194"/>
      <c r="G661" s="197"/>
      <c r="H661" s="197"/>
      <c r="I661" s="194"/>
      <c r="J661" s="194"/>
    </row>
    <row r="662" spans="5:10" ht="14.1" customHeight="1">
      <c r="E662" s="194"/>
      <c r="F662" s="194"/>
      <c r="G662" s="197"/>
      <c r="H662" s="197"/>
      <c r="I662" s="194"/>
      <c r="J662" s="194"/>
    </row>
    <row r="663" spans="5:10" ht="14.1" customHeight="1">
      <c r="E663" s="194"/>
      <c r="F663" s="194"/>
      <c r="G663" s="197"/>
      <c r="H663" s="197"/>
      <c r="I663" s="194"/>
      <c r="J663" s="194"/>
    </row>
    <row r="664" spans="5:10" ht="14.1" customHeight="1">
      <c r="E664" s="194"/>
      <c r="F664" s="194"/>
      <c r="G664" s="197"/>
      <c r="H664" s="197"/>
      <c r="I664" s="194"/>
      <c r="J664" s="194"/>
    </row>
    <row r="665" spans="5:10" ht="14.1" customHeight="1">
      <c r="E665" s="194"/>
      <c r="F665" s="194"/>
      <c r="G665" s="197"/>
      <c r="H665" s="197"/>
      <c r="I665" s="194"/>
      <c r="J665" s="194"/>
    </row>
    <row r="666" spans="5:10" ht="14.1" customHeight="1">
      <c r="E666" s="194"/>
      <c r="F666" s="194"/>
      <c r="G666" s="197"/>
      <c r="H666" s="197"/>
      <c r="I666" s="194"/>
      <c r="J666" s="194"/>
    </row>
    <row r="667" spans="5:10" ht="14.1" customHeight="1">
      <c r="E667" s="194"/>
      <c r="F667" s="194"/>
      <c r="G667" s="197"/>
      <c r="H667" s="197"/>
      <c r="I667" s="194"/>
      <c r="J667" s="194"/>
    </row>
    <row r="668" spans="5:10" ht="14.1" customHeight="1">
      <c r="E668" s="194"/>
      <c r="F668" s="194"/>
      <c r="G668" s="197"/>
      <c r="H668" s="197"/>
      <c r="I668" s="194"/>
      <c r="J668" s="194"/>
    </row>
    <row r="669" spans="5:10" ht="14.1" customHeight="1">
      <c r="E669" s="194"/>
      <c r="F669" s="194"/>
      <c r="G669" s="197"/>
      <c r="H669" s="197"/>
      <c r="I669" s="194"/>
      <c r="J669" s="194"/>
    </row>
    <row r="670" spans="5:10" ht="14.1" customHeight="1">
      <c r="E670" s="194"/>
      <c r="F670" s="194"/>
      <c r="G670" s="197"/>
      <c r="H670" s="197"/>
      <c r="I670" s="194"/>
      <c r="J670" s="194"/>
    </row>
    <row r="671" spans="5:10" ht="14.1" customHeight="1">
      <c r="E671" s="194"/>
      <c r="F671" s="194"/>
      <c r="G671" s="197"/>
      <c r="H671" s="197"/>
      <c r="I671" s="194"/>
      <c r="J671" s="194"/>
    </row>
    <row r="672" spans="5:10" ht="14.1" customHeight="1">
      <c r="E672" s="194"/>
      <c r="F672" s="194"/>
      <c r="G672" s="197"/>
      <c r="H672" s="197"/>
      <c r="I672" s="194"/>
      <c r="J672" s="194"/>
    </row>
    <row r="673" spans="1:19" ht="14.1" customHeight="1">
      <c r="E673" s="194"/>
      <c r="F673" s="194"/>
      <c r="G673" s="197"/>
      <c r="H673" s="197"/>
      <c r="I673" s="194"/>
      <c r="J673" s="194"/>
    </row>
    <row r="674" spans="1:19" ht="14.1" customHeight="1">
      <c r="E674" s="194"/>
      <c r="F674" s="194"/>
      <c r="G674" s="197"/>
      <c r="H674" s="197"/>
      <c r="I674" s="194"/>
      <c r="J674" s="194"/>
    </row>
    <row r="675" spans="1:19" ht="14.1" customHeight="1">
      <c r="E675" s="194"/>
      <c r="F675" s="194"/>
      <c r="G675" s="197"/>
      <c r="H675" s="197"/>
      <c r="I675" s="194"/>
      <c r="J675" s="194"/>
    </row>
    <row r="676" spans="1:19" ht="14.1" customHeight="1">
      <c r="E676" s="194"/>
      <c r="F676" s="194"/>
      <c r="G676" s="197"/>
      <c r="H676" s="197"/>
      <c r="I676" s="194"/>
      <c r="J676" s="194"/>
    </row>
    <row r="677" spans="1:19" ht="14.1" customHeight="1">
      <c r="E677" s="194"/>
      <c r="F677" s="194"/>
      <c r="G677" s="197"/>
      <c r="H677" s="197"/>
      <c r="I677" s="194"/>
      <c r="J677" s="194"/>
    </row>
    <row r="678" spans="1:19" ht="14.1" customHeight="1">
      <c r="E678" s="194"/>
      <c r="F678" s="194"/>
      <c r="G678" s="197"/>
      <c r="H678" s="197"/>
      <c r="I678" s="194"/>
      <c r="J678" s="194"/>
    </row>
    <row r="679" spans="1:19" ht="14.1" customHeight="1">
      <c r="E679" s="194"/>
      <c r="F679" s="194"/>
      <c r="G679" s="197"/>
      <c r="H679" s="197"/>
      <c r="I679" s="194"/>
      <c r="J679" s="194"/>
    </row>
    <row r="680" spans="1:19" ht="14.1" customHeight="1">
      <c r="E680" s="194"/>
      <c r="F680" s="194"/>
      <c r="G680" s="197"/>
      <c r="H680" s="197"/>
      <c r="I680" s="194"/>
      <c r="J680" s="194"/>
    </row>
    <row r="681" spans="1:19" ht="14.1" customHeight="1">
      <c r="E681" s="194"/>
      <c r="F681" s="194"/>
      <c r="G681" s="197"/>
      <c r="H681" s="197"/>
      <c r="I681" s="194"/>
      <c r="J681" s="194"/>
    </row>
    <row r="682" spans="1:19" s="14" customFormat="1" ht="14.1" customHeight="1">
      <c r="A682" s="379"/>
      <c r="B682" s="88"/>
      <c r="C682" s="88"/>
      <c r="D682" s="88"/>
      <c r="E682" s="194"/>
      <c r="F682" s="194"/>
      <c r="G682" s="197"/>
      <c r="H682" s="197"/>
      <c r="J682" s="88"/>
      <c r="K682" s="88"/>
      <c r="L682" s="88"/>
      <c r="M682" s="88"/>
      <c r="N682" s="88"/>
      <c r="O682" s="88"/>
      <c r="P682" s="88"/>
      <c r="Q682" s="88"/>
      <c r="R682" s="88"/>
      <c r="S682" s="88"/>
    </row>
    <row r="683" spans="1:19" s="14" customFormat="1" ht="14.1" customHeight="1">
      <c r="A683" s="379"/>
      <c r="B683" s="88"/>
      <c r="C683" s="88"/>
      <c r="D683" s="88"/>
      <c r="E683" s="194"/>
      <c r="F683" s="194"/>
      <c r="G683" s="197"/>
      <c r="H683" s="197"/>
      <c r="J683" s="88"/>
      <c r="K683" s="88"/>
      <c r="L683" s="88"/>
      <c r="M683" s="88"/>
      <c r="N683" s="88"/>
      <c r="O683" s="88"/>
      <c r="P683" s="88"/>
      <c r="Q683" s="88"/>
      <c r="R683" s="88"/>
      <c r="S683" s="88"/>
    </row>
    <row r="684" spans="1:19" s="14" customFormat="1" ht="14.1" customHeight="1">
      <c r="A684" s="379"/>
      <c r="B684" s="88"/>
      <c r="C684" s="88"/>
      <c r="D684" s="88"/>
      <c r="E684" s="194"/>
      <c r="F684" s="194"/>
      <c r="G684" s="197"/>
      <c r="H684" s="197"/>
      <c r="J684" s="88"/>
      <c r="K684" s="88"/>
      <c r="L684" s="88"/>
      <c r="M684" s="88"/>
      <c r="N684" s="88"/>
      <c r="O684" s="88"/>
      <c r="P684" s="88"/>
      <c r="Q684" s="88"/>
      <c r="R684" s="88"/>
      <c r="S684" s="88"/>
    </row>
    <row r="685" spans="1:19" s="14" customFormat="1" ht="14.1" customHeight="1">
      <c r="A685" s="379"/>
      <c r="B685" s="88"/>
      <c r="C685" s="88"/>
      <c r="D685" s="88"/>
      <c r="E685" s="194"/>
      <c r="F685" s="194"/>
      <c r="G685" s="197"/>
      <c r="H685" s="197"/>
      <c r="J685" s="88"/>
      <c r="K685" s="88"/>
      <c r="L685" s="88"/>
      <c r="M685" s="88"/>
      <c r="N685" s="88"/>
      <c r="O685" s="88"/>
      <c r="P685" s="88"/>
      <c r="Q685" s="88"/>
      <c r="R685" s="88"/>
      <c r="S685" s="88"/>
    </row>
    <row r="686" spans="1:19" s="14" customFormat="1" ht="14.1" customHeight="1">
      <c r="A686" s="379"/>
      <c r="B686" s="88"/>
      <c r="C686" s="88"/>
      <c r="D686" s="88"/>
      <c r="E686" s="194"/>
      <c r="F686" s="194"/>
      <c r="G686" s="197"/>
      <c r="H686" s="197"/>
      <c r="J686" s="88"/>
      <c r="K686" s="88"/>
      <c r="L686" s="88"/>
      <c r="M686" s="88"/>
      <c r="N686" s="88"/>
      <c r="O686" s="88"/>
      <c r="P686" s="88"/>
      <c r="Q686" s="88"/>
      <c r="R686" s="88"/>
      <c r="S686" s="88"/>
    </row>
    <row r="687" spans="1:19" s="14" customFormat="1" ht="14.1" customHeight="1">
      <c r="A687" s="379"/>
      <c r="B687" s="88"/>
      <c r="C687" s="88"/>
      <c r="D687" s="88"/>
      <c r="E687" s="194"/>
      <c r="F687" s="194"/>
      <c r="G687" s="197"/>
      <c r="H687" s="197"/>
      <c r="J687" s="88"/>
      <c r="K687" s="88"/>
      <c r="L687" s="88"/>
      <c r="M687" s="88"/>
      <c r="N687" s="88"/>
      <c r="O687" s="88"/>
      <c r="P687" s="88"/>
      <c r="Q687" s="88"/>
      <c r="R687" s="88"/>
      <c r="S687" s="88"/>
    </row>
    <row r="688" spans="1:19" s="14" customFormat="1" ht="14.1" customHeight="1">
      <c r="A688" s="379"/>
      <c r="B688" s="88"/>
      <c r="C688" s="88"/>
      <c r="D688" s="88"/>
      <c r="E688" s="194"/>
      <c r="F688" s="194"/>
      <c r="G688" s="197"/>
      <c r="H688" s="197"/>
      <c r="J688" s="88"/>
      <c r="K688" s="88"/>
      <c r="L688" s="88"/>
      <c r="M688" s="88"/>
      <c r="N688" s="88"/>
      <c r="O688" s="88"/>
      <c r="P688" s="88"/>
      <c r="Q688" s="88"/>
      <c r="R688" s="88"/>
      <c r="S688" s="88"/>
    </row>
    <row r="689" spans="1:19" s="14" customFormat="1" ht="14.1" customHeight="1">
      <c r="A689" s="379"/>
      <c r="B689" s="88"/>
      <c r="C689" s="88"/>
      <c r="D689" s="88"/>
      <c r="E689" s="194"/>
      <c r="F689" s="194"/>
      <c r="G689" s="197"/>
      <c r="H689" s="197"/>
      <c r="J689" s="88"/>
      <c r="K689" s="88"/>
      <c r="L689" s="88"/>
      <c r="M689" s="88"/>
      <c r="N689" s="88"/>
      <c r="O689" s="88"/>
      <c r="P689" s="88"/>
      <c r="Q689" s="88"/>
      <c r="R689" s="88"/>
      <c r="S689" s="88"/>
    </row>
    <row r="690" spans="1:19" s="14" customFormat="1" ht="14.1" customHeight="1">
      <c r="A690" s="379"/>
      <c r="B690" s="88"/>
      <c r="C690" s="88"/>
      <c r="D690" s="88"/>
      <c r="E690" s="194"/>
      <c r="F690" s="194"/>
      <c r="G690" s="197"/>
      <c r="H690" s="197"/>
      <c r="J690" s="88"/>
      <c r="K690" s="88"/>
      <c r="L690" s="88"/>
      <c r="M690" s="88"/>
      <c r="N690" s="88"/>
      <c r="O690" s="88"/>
      <c r="P690" s="88"/>
      <c r="Q690" s="88"/>
      <c r="R690" s="88"/>
      <c r="S690" s="88"/>
    </row>
    <row r="691" spans="1:19" s="14" customFormat="1" ht="14.1" customHeight="1">
      <c r="A691" s="379"/>
      <c r="B691" s="88"/>
      <c r="C691" s="88"/>
      <c r="D691" s="88"/>
      <c r="E691" s="194"/>
      <c r="F691" s="194"/>
      <c r="G691" s="197"/>
      <c r="H691" s="197"/>
      <c r="J691" s="88"/>
      <c r="K691" s="88"/>
      <c r="L691" s="88"/>
      <c r="M691" s="88"/>
      <c r="N691" s="88"/>
      <c r="O691" s="88"/>
      <c r="P691" s="88"/>
      <c r="Q691" s="88"/>
      <c r="R691" s="88"/>
      <c r="S691" s="88"/>
    </row>
    <row r="692" spans="1:19" s="14" customFormat="1" ht="14.1" customHeight="1">
      <c r="A692" s="379"/>
      <c r="B692" s="88"/>
      <c r="C692" s="88"/>
      <c r="D692" s="88"/>
      <c r="E692" s="194"/>
      <c r="F692" s="194"/>
      <c r="G692" s="197"/>
      <c r="H692" s="197"/>
      <c r="J692" s="88"/>
      <c r="K692" s="88"/>
      <c r="L692" s="88"/>
      <c r="M692" s="88"/>
      <c r="N692" s="88"/>
      <c r="O692" s="88"/>
      <c r="P692" s="88"/>
      <c r="Q692" s="88"/>
      <c r="R692" s="88"/>
      <c r="S692" s="88"/>
    </row>
    <row r="693" spans="1:19" s="14" customFormat="1" ht="14.1" customHeight="1">
      <c r="A693" s="379"/>
      <c r="B693" s="88"/>
      <c r="C693" s="88"/>
      <c r="D693" s="88"/>
      <c r="E693" s="194"/>
      <c r="F693" s="194"/>
      <c r="G693" s="197"/>
      <c r="H693" s="197"/>
      <c r="J693" s="88"/>
      <c r="K693" s="88"/>
      <c r="L693" s="88"/>
      <c r="M693" s="88"/>
      <c r="N693" s="88"/>
      <c r="O693" s="88"/>
      <c r="P693" s="88"/>
      <c r="Q693" s="88"/>
      <c r="R693" s="88"/>
      <c r="S693" s="88"/>
    </row>
    <row r="694" spans="1:19" s="14" customFormat="1" ht="14.1" customHeight="1">
      <c r="A694" s="379"/>
      <c r="B694" s="88"/>
      <c r="C694" s="88"/>
      <c r="D694" s="88"/>
      <c r="E694" s="194"/>
      <c r="F694" s="194"/>
      <c r="G694" s="197"/>
      <c r="H694" s="197"/>
      <c r="J694" s="88"/>
      <c r="K694" s="88"/>
      <c r="L694" s="88"/>
      <c r="M694" s="88"/>
      <c r="N694" s="88"/>
      <c r="O694" s="88"/>
      <c r="P694" s="88"/>
      <c r="Q694" s="88"/>
      <c r="R694" s="88"/>
      <c r="S694" s="88"/>
    </row>
    <row r="695" spans="1:19" s="14" customFormat="1" ht="14.1" customHeight="1">
      <c r="A695" s="379"/>
      <c r="B695" s="88"/>
      <c r="C695" s="88"/>
      <c r="D695" s="88"/>
      <c r="E695" s="194"/>
      <c r="F695" s="194"/>
      <c r="G695" s="197"/>
      <c r="H695" s="197"/>
      <c r="J695" s="88"/>
      <c r="K695" s="88"/>
      <c r="L695" s="88"/>
      <c r="M695" s="88"/>
      <c r="N695" s="88"/>
      <c r="O695" s="88"/>
      <c r="P695" s="88"/>
      <c r="Q695" s="88"/>
      <c r="R695" s="88"/>
      <c r="S695" s="88"/>
    </row>
    <row r="696" spans="1:19" s="14" customFormat="1" ht="14.1" customHeight="1">
      <c r="A696" s="379"/>
      <c r="B696" s="88"/>
      <c r="C696" s="88"/>
      <c r="D696" s="88"/>
      <c r="E696" s="194"/>
      <c r="F696" s="194"/>
      <c r="G696" s="197"/>
      <c r="H696" s="197"/>
      <c r="J696" s="88"/>
      <c r="K696" s="88"/>
      <c r="L696" s="88"/>
      <c r="M696" s="88"/>
      <c r="N696" s="88"/>
      <c r="O696" s="88"/>
      <c r="P696" s="88"/>
      <c r="Q696" s="88"/>
      <c r="R696" s="88"/>
      <c r="S696" s="88"/>
    </row>
    <row r="697" spans="1:19" s="14" customFormat="1" ht="14.1" customHeight="1">
      <c r="A697" s="379"/>
      <c r="B697" s="88"/>
      <c r="C697" s="88"/>
      <c r="D697" s="88"/>
      <c r="E697" s="194"/>
      <c r="F697" s="194"/>
      <c r="G697" s="197"/>
      <c r="H697" s="197"/>
      <c r="J697" s="88"/>
      <c r="K697" s="88"/>
      <c r="L697" s="88"/>
      <c r="M697" s="88"/>
      <c r="N697" s="88"/>
      <c r="O697" s="88"/>
      <c r="P697" s="88"/>
      <c r="Q697" s="88"/>
      <c r="R697" s="88"/>
      <c r="S697" s="88"/>
    </row>
    <row r="698" spans="1:19" s="14" customFormat="1" ht="14.1" customHeight="1">
      <c r="A698" s="379"/>
      <c r="B698" s="88"/>
      <c r="C698" s="88"/>
      <c r="D698" s="88"/>
      <c r="E698" s="194"/>
      <c r="F698" s="194"/>
      <c r="G698" s="197"/>
      <c r="H698" s="197"/>
      <c r="J698" s="88"/>
      <c r="K698" s="88"/>
      <c r="L698" s="88"/>
      <c r="M698" s="88"/>
      <c r="N698" s="88"/>
      <c r="O698" s="88"/>
      <c r="P698" s="88"/>
      <c r="Q698" s="88"/>
      <c r="R698" s="88"/>
      <c r="S698" s="88"/>
    </row>
    <row r="699" spans="1:19" s="14" customFormat="1" ht="14.1" customHeight="1">
      <c r="A699" s="379"/>
      <c r="B699" s="88"/>
      <c r="C699" s="88"/>
      <c r="D699" s="88"/>
      <c r="E699" s="194"/>
      <c r="F699" s="194"/>
      <c r="G699" s="197"/>
      <c r="H699" s="197"/>
      <c r="J699" s="88"/>
      <c r="K699" s="88"/>
      <c r="L699" s="88"/>
      <c r="M699" s="88"/>
      <c r="N699" s="88"/>
      <c r="O699" s="88"/>
      <c r="P699" s="88"/>
      <c r="Q699" s="88"/>
      <c r="R699" s="88"/>
      <c r="S699" s="88"/>
    </row>
    <row r="700" spans="1:19" s="14" customFormat="1" ht="14.1" customHeight="1">
      <c r="A700" s="379"/>
      <c r="B700" s="88"/>
      <c r="C700" s="88"/>
      <c r="D700" s="88"/>
      <c r="E700" s="194"/>
      <c r="F700" s="194"/>
      <c r="G700" s="197"/>
      <c r="H700" s="197"/>
      <c r="J700" s="88"/>
      <c r="K700" s="88"/>
      <c r="L700" s="88"/>
      <c r="M700" s="88"/>
      <c r="N700" s="88"/>
      <c r="O700" s="88"/>
      <c r="P700" s="88"/>
      <c r="Q700" s="88"/>
      <c r="R700" s="88"/>
      <c r="S700" s="88"/>
    </row>
    <row r="701" spans="1:19" s="14" customFormat="1" ht="14.1" customHeight="1">
      <c r="A701" s="379"/>
      <c r="B701" s="88"/>
      <c r="C701" s="88"/>
      <c r="D701" s="88"/>
      <c r="E701" s="194"/>
      <c r="F701" s="194"/>
      <c r="G701" s="197"/>
      <c r="H701" s="197"/>
      <c r="J701" s="88"/>
      <c r="K701" s="88"/>
      <c r="L701" s="88"/>
      <c r="M701" s="88"/>
      <c r="N701" s="88"/>
      <c r="O701" s="88"/>
      <c r="P701" s="88"/>
      <c r="Q701" s="88"/>
      <c r="R701" s="88"/>
      <c r="S701" s="88"/>
    </row>
    <row r="702" spans="1:19" s="14" customFormat="1" ht="14.1" customHeight="1">
      <c r="A702" s="379"/>
      <c r="B702" s="88"/>
      <c r="C702" s="88"/>
      <c r="D702" s="88"/>
      <c r="E702" s="194"/>
      <c r="F702" s="194"/>
      <c r="G702" s="197"/>
      <c r="H702" s="197"/>
      <c r="J702" s="88"/>
      <c r="K702" s="88"/>
      <c r="L702" s="88"/>
      <c r="M702" s="88"/>
      <c r="N702" s="88"/>
      <c r="O702" s="88"/>
      <c r="P702" s="88"/>
      <c r="Q702" s="88"/>
      <c r="R702" s="88"/>
      <c r="S702" s="88"/>
    </row>
    <row r="703" spans="1:19" s="14" customFormat="1" ht="14.1" customHeight="1">
      <c r="A703" s="379"/>
      <c r="B703" s="88"/>
      <c r="C703" s="88"/>
      <c r="D703" s="88"/>
      <c r="E703" s="194"/>
      <c r="F703" s="194"/>
      <c r="G703" s="197"/>
      <c r="H703" s="197"/>
      <c r="J703" s="88"/>
      <c r="K703" s="88"/>
      <c r="L703" s="88"/>
      <c r="M703" s="88"/>
      <c r="N703" s="88"/>
      <c r="O703" s="88"/>
      <c r="P703" s="88"/>
      <c r="Q703" s="88"/>
      <c r="R703" s="88"/>
      <c r="S703" s="88"/>
    </row>
    <row r="704" spans="1:19" s="14" customFormat="1" ht="14.1" customHeight="1">
      <c r="A704" s="379"/>
      <c r="B704" s="88"/>
      <c r="C704" s="88"/>
      <c r="D704" s="88"/>
      <c r="E704" s="194"/>
      <c r="F704" s="194"/>
      <c r="G704" s="197"/>
      <c r="H704" s="197"/>
      <c r="J704" s="88"/>
      <c r="K704" s="88"/>
      <c r="L704" s="88"/>
      <c r="M704" s="88"/>
      <c r="N704" s="88"/>
      <c r="O704" s="88"/>
      <c r="P704" s="88"/>
      <c r="Q704" s="88"/>
      <c r="R704" s="88"/>
      <c r="S704" s="88"/>
    </row>
    <row r="705" spans="1:19" s="14" customFormat="1" ht="14.1" customHeight="1">
      <c r="A705" s="379"/>
      <c r="B705" s="88"/>
      <c r="C705" s="88"/>
      <c r="D705" s="88"/>
      <c r="E705" s="194"/>
      <c r="F705" s="194"/>
      <c r="G705" s="197"/>
      <c r="H705" s="197"/>
      <c r="J705" s="88"/>
      <c r="K705" s="88"/>
      <c r="L705" s="88"/>
      <c r="M705" s="88"/>
      <c r="N705" s="88"/>
      <c r="O705" s="88"/>
      <c r="P705" s="88"/>
      <c r="Q705" s="88"/>
      <c r="R705" s="88"/>
      <c r="S705" s="88"/>
    </row>
    <row r="706" spans="1:19" s="14" customFormat="1" ht="14.1" customHeight="1">
      <c r="A706" s="379"/>
      <c r="B706" s="88"/>
      <c r="C706" s="88"/>
      <c r="D706" s="88"/>
      <c r="E706" s="194"/>
      <c r="F706" s="194"/>
      <c r="G706" s="197"/>
      <c r="H706" s="197"/>
      <c r="J706" s="88"/>
      <c r="K706" s="88"/>
      <c r="L706" s="88"/>
      <c r="M706" s="88"/>
      <c r="N706" s="88"/>
      <c r="O706" s="88"/>
      <c r="P706" s="88"/>
      <c r="Q706" s="88"/>
      <c r="R706" s="88"/>
      <c r="S706" s="88"/>
    </row>
    <row r="707" spans="1:19" s="14" customFormat="1" ht="14.1" customHeight="1">
      <c r="A707" s="379"/>
      <c r="B707" s="88"/>
      <c r="C707" s="88"/>
      <c r="D707" s="88"/>
      <c r="E707" s="194"/>
      <c r="F707" s="194"/>
      <c r="G707" s="197"/>
      <c r="H707" s="197"/>
      <c r="J707" s="88"/>
      <c r="K707" s="88"/>
      <c r="L707" s="88"/>
      <c r="M707" s="88"/>
      <c r="N707" s="88"/>
      <c r="O707" s="88"/>
      <c r="P707" s="88"/>
      <c r="Q707" s="88"/>
      <c r="R707" s="88"/>
      <c r="S707" s="88"/>
    </row>
    <row r="708" spans="1:19" s="14" customFormat="1" ht="14.1" customHeight="1">
      <c r="A708" s="379"/>
      <c r="B708" s="88"/>
      <c r="C708" s="88"/>
      <c r="D708" s="88"/>
      <c r="E708" s="194"/>
      <c r="F708" s="194"/>
      <c r="G708" s="197"/>
      <c r="H708" s="197"/>
      <c r="J708" s="88"/>
      <c r="K708" s="88"/>
      <c r="L708" s="88"/>
      <c r="M708" s="88"/>
      <c r="N708" s="88"/>
      <c r="O708" s="88"/>
      <c r="P708" s="88"/>
      <c r="Q708" s="88"/>
      <c r="R708" s="88"/>
      <c r="S708" s="88"/>
    </row>
    <row r="709" spans="1:19" s="14" customFormat="1" ht="14.1" customHeight="1">
      <c r="A709" s="379"/>
      <c r="B709" s="88"/>
      <c r="C709" s="88"/>
      <c r="D709" s="88"/>
      <c r="E709" s="194"/>
      <c r="F709" s="194"/>
      <c r="G709" s="197"/>
      <c r="H709" s="197"/>
      <c r="J709" s="88"/>
      <c r="K709" s="88"/>
      <c r="L709" s="88"/>
      <c r="M709" s="88"/>
      <c r="N709" s="88"/>
      <c r="O709" s="88"/>
      <c r="P709" s="88"/>
      <c r="Q709" s="88"/>
      <c r="R709" s="88"/>
      <c r="S709" s="88"/>
    </row>
    <row r="710" spans="1:19" s="14" customFormat="1" ht="14.1" customHeight="1">
      <c r="A710" s="379"/>
      <c r="B710" s="88"/>
      <c r="C710" s="88"/>
      <c r="D710" s="88"/>
      <c r="E710" s="194"/>
      <c r="F710" s="194"/>
      <c r="G710" s="197"/>
      <c r="H710" s="197"/>
      <c r="J710" s="88"/>
      <c r="K710" s="88"/>
      <c r="L710" s="88"/>
      <c r="M710" s="88"/>
      <c r="N710" s="88"/>
      <c r="O710" s="88"/>
      <c r="P710" s="88"/>
      <c r="Q710" s="88"/>
      <c r="R710" s="88"/>
      <c r="S710" s="88"/>
    </row>
    <row r="711" spans="1:19" s="14" customFormat="1" ht="14.1" customHeight="1">
      <c r="A711" s="379"/>
      <c r="B711" s="88"/>
      <c r="C711" s="88"/>
      <c r="D711" s="88"/>
      <c r="E711" s="194"/>
      <c r="F711" s="194"/>
      <c r="G711" s="197"/>
      <c r="H711" s="197"/>
      <c r="J711" s="88"/>
      <c r="K711" s="88"/>
      <c r="L711" s="88"/>
      <c r="M711" s="88"/>
      <c r="N711" s="88"/>
      <c r="O711" s="88"/>
      <c r="P711" s="88"/>
      <c r="Q711" s="88"/>
      <c r="R711" s="88"/>
      <c r="S711" s="88"/>
    </row>
    <row r="712" spans="1:19" s="14" customFormat="1" ht="14.1" customHeight="1">
      <c r="A712" s="379"/>
      <c r="B712" s="88"/>
      <c r="C712" s="88"/>
      <c r="D712" s="88"/>
      <c r="E712" s="194"/>
      <c r="F712" s="194"/>
      <c r="G712" s="197"/>
      <c r="H712" s="197"/>
      <c r="J712" s="88"/>
      <c r="K712" s="88"/>
      <c r="L712" s="88"/>
      <c r="M712" s="88"/>
      <c r="N712" s="88"/>
      <c r="O712" s="88"/>
      <c r="P712" s="88"/>
      <c r="Q712" s="88"/>
      <c r="R712" s="88"/>
      <c r="S712" s="88"/>
    </row>
    <row r="713" spans="1:19" s="14" customFormat="1" ht="14.1" customHeight="1">
      <c r="A713" s="379"/>
      <c r="B713" s="88"/>
      <c r="C713" s="88"/>
      <c r="D713" s="88"/>
      <c r="E713" s="194"/>
      <c r="F713" s="194"/>
      <c r="G713" s="197"/>
      <c r="H713" s="197"/>
      <c r="J713" s="88"/>
      <c r="K713" s="88"/>
      <c r="L713" s="88"/>
      <c r="M713" s="88"/>
      <c r="N713" s="88"/>
      <c r="O713" s="88"/>
      <c r="P713" s="88"/>
      <c r="Q713" s="88"/>
      <c r="R713" s="88"/>
      <c r="S713" s="88"/>
    </row>
    <row r="714" spans="1:19" s="14" customFormat="1" ht="14.1" customHeight="1">
      <c r="A714" s="379"/>
      <c r="B714" s="88"/>
      <c r="C714" s="88"/>
      <c r="D714" s="88"/>
      <c r="E714" s="194"/>
      <c r="F714" s="194"/>
      <c r="G714" s="197"/>
      <c r="H714" s="197"/>
      <c r="J714" s="88"/>
      <c r="K714" s="88"/>
      <c r="L714" s="88"/>
      <c r="M714" s="88"/>
      <c r="N714" s="88"/>
      <c r="O714" s="88"/>
      <c r="P714" s="88"/>
      <c r="Q714" s="88"/>
      <c r="R714" s="88"/>
      <c r="S714" s="88"/>
    </row>
    <row r="715" spans="1:19" s="14" customFormat="1" ht="14.1" customHeight="1">
      <c r="A715" s="379"/>
      <c r="B715" s="88"/>
      <c r="C715" s="88"/>
      <c r="D715" s="88"/>
      <c r="E715" s="194"/>
      <c r="F715" s="194"/>
      <c r="G715" s="197"/>
      <c r="H715" s="197"/>
      <c r="J715" s="88"/>
      <c r="K715" s="88"/>
      <c r="L715" s="88"/>
      <c r="M715" s="88"/>
      <c r="N715" s="88"/>
      <c r="O715" s="88"/>
      <c r="P715" s="88"/>
      <c r="Q715" s="88"/>
      <c r="R715" s="88"/>
      <c r="S715" s="88"/>
    </row>
    <row r="716" spans="1:19" s="14" customFormat="1" ht="14.1" customHeight="1">
      <c r="A716" s="379"/>
      <c r="B716" s="88"/>
      <c r="C716" s="88"/>
      <c r="D716" s="88"/>
      <c r="E716" s="194"/>
      <c r="F716" s="194"/>
      <c r="G716" s="197"/>
      <c r="H716" s="197"/>
      <c r="J716" s="88"/>
      <c r="K716" s="88"/>
      <c r="L716" s="88"/>
      <c r="M716" s="88"/>
      <c r="N716" s="88"/>
      <c r="O716" s="88"/>
      <c r="P716" s="88"/>
      <c r="Q716" s="88"/>
      <c r="R716" s="88"/>
      <c r="S716" s="88"/>
    </row>
    <row r="717" spans="1:19" s="14" customFormat="1" ht="14.1" customHeight="1">
      <c r="A717" s="379"/>
      <c r="B717" s="88"/>
      <c r="C717" s="88"/>
      <c r="D717" s="88"/>
      <c r="E717" s="194"/>
      <c r="F717" s="194"/>
      <c r="G717" s="197"/>
      <c r="H717" s="197"/>
      <c r="J717" s="88"/>
      <c r="K717" s="88"/>
      <c r="L717" s="88"/>
      <c r="M717" s="88"/>
      <c r="N717" s="88"/>
      <c r="O717" s="88"/>
      <c r="P717" s="88"/>
      <c r="Q717" s="88"/>
      <c r="R717" s="88"/>
      <c r="S717" s="88"/>
    </row>
    <row r="718" spans="1:19" s="14" customFormat="1" ht="14.1" customHeight="1">
      <c r="A718" s="379"/>
      <c r="B718" s="88"/>
      <c r="C718" s="88"/>
      <c r="D718" s="88"/>
      <c r="E718" s="194"/>
      <c r="F718" s="194"/>
      <c r="G718" s="197"/>
      <c r="H718" s="197"/>
      <c r="J718" s="88"/>
      <c r="K718" s="88"/>
      <c r="L718" s="88"/>
      <c r="M718" s="88"/>
      <c r="N718" s="88"/>
      <c r="O718" s="88"/>
      <c r="P718" s="88"/>
      <c r="Q718" s="88"/>
      <c r="R718" s="88"/>
      <c r="S718" s="88"/>
    </row>
    <row r="719" spans="1:19" s="14" customFormat="1" ht="14.1" customHeight="1">
      <c r="A719" s="379"/>
      <c r="B719" s="88"/>
      <c r="C719" s="88"/>
      <c r="D719" s="88"/>
      <c r="E719" s="194"/>
      <c r="F719" s="194"/>
      <c r="G719" s="197"/>
      <c r="H719" s="197"/>
      <c r="J719" s="88"/>
      <c r="K719" s="88"/>
      <c r="L719" s="88"/>
      <c r="M719" s="88"/>
      <c r="N719" s="88"/>
      <c r="O719" s="88"/>
      <c r="P719" s="88"/>
      <c r="Q719" s="88"/>
      <c r="R719" s="88"/>
      <c r="S719" s="88"/>
    </row>
    <row r="720" spans="1:19" s="14" customFormat="1" ht="14.1" customHeight="1">
      <c r="A720" s="379"/>
      <c r="B720" s="88"/>
      <c r="C720" s="88"/>
      <c r="D720" s="88"/>
      <c r="E720" s="194"/>
      <c r="F720" s="194"/>
      <c r="G720" s="197"/>
      <c r="H720" s="197"/>
      <c r="J720" s="88"/>
      <c r="K720" s="88"/>
      <c r="L720" s="88"/>
      <c r="M720" s="88"/>
      <c r="N720" s="88"/>
      <c r="O720" s="88"/>
      <c r="P720" s="88"/>
      <c r="Q720" s="88"/>
      <c r="R720" s="88"/>
      <c r="S720" s="88"/>
    </row>
    <row r="721" spans="1:19" s="14" customFormat="1" ht="14.1" customHeight="1">
      <c r="A721" s="379"/>
      <c r="B721" s="88"/>
      <c r="C721" s="88"/>
      <c r="D721" s="88"/>
      <c r="E721" s="194"/>
      <c r="F721" s="194"/>
      <c r="G721" s="197"/>
      <c r="H721" s="197"/>
      <c r="J721" s="88"/>
      <c r="K721" s="88"/>
      <c r="L721" s="88"/>
      <c r="M721" s="88"/>
      <c r="N721" s="88"/>
      <c r="O721" s="88"/>
      <c r="P721" s="88"/>
      <c r="Q721" s="88"/>
      <c r="R721" s="88"/>
      <c r="S721" s="88"/>
    </row>
    <row r="722" spans="1:19" s="14" customFormat="1" ht="14.1" customHeight="1">
      <c r="A722" s="379"/>
      <c r="B722" s="88"/>
      <c r="C722" s="88"/>
      <c r="D722" s="88"/>
      <c r="E722" s="194"/>
      <c r="F722" s="194"/>
      <c r="G722" s="197"/>
      <c r="H722" s="197"/>
      <c r="J722" s="88"/>
      <c r="K722" s="88"/>
      <c r="L722" s="88"/>
      <c r="M722" s="88"/>
      <c r="N722" s="88"/>
      <c r="O722" s="88"/>
      <c r="P722" s="88"/>
      <c r="Q722" s="88"/>
      <c r="R722" s="88"/>
      <c r="S722" s="88"/>
    </row>
    <row r="723" spans="1:19" s="14" customFormat="1" ht="14.1" customHeight="1">
      <c r="A723" s="379"/>
      <c r="B723" s="88"/>
      <c r="C723" s="88"/>
      <c r="D723" s="88"/>
      <c r="E723" s="194"/>
      <c r="F723" s="194"/>
      <c r="G723" s="197"/>
      <c r="H723" s="197"/>
      <c r="J723" s="88"/>
      <c r="K723" s="88"/>
      <c r="L723" s="88"/>
      <c r="M723" s="88"/>
      <c r="N723" s="88"/>
      <c r="O723" s="88"/>
      <c r="P723" s="88"/>
      <c r="Q723" s="88"/>
      <c r="R723" s="88"/>
      <c r="S723" s="88"/>
    </row>
    <row r="724" spans="1:19" s="14" customFormat="1" ht="14.1" customHeight="1">
      <c r="A724" s="379"/>
      <c r="B724" s="88"/>
      <c r="C724" s="88"/>
      <c r="D724" s="88"/>
      <c r="E724" s="194"/>
      <c r="F724" s="194"/>
      <c r="G724" s="197"/>
      <c r="H724" s="197"/>
      <c r="J724" s="88"/>
      <c r="K724" s="88"/>
      <c r="L724" s="88"/>
      <c r="M724" s="88"/>
      <c r="N724" s="88"/>
      <c r="O724" s="88"/>
      <c r="P724" s="88"/>
      <c r="Q724" s="88"/>
      <c r="R724" s="88"/>
      <c r="S724" s="88"/>
    </row>
    <row r="725" spans="1:19" s="14" customFormat="1" ht="14.1" customHeight="1">
      <c r="A725" s="379"/>
      <c r="B725" s="88"/>
      <c r="C725" s="88"/>
      <c r="D725" s="88"/>
      <c r="E725" s="194"/>
      <c r="F725" s="194"/>
      <c r="G725" s="197"/>
      <c r="H725" s="197"/>
      <c r="J725" s="88"/>
      <c r="K725" s="88"/>
      <c r="L725" s="88"/>
      <c r="M725" s="88"/>
      <c r="N725" s="88"/>
      <c r="O725" s="88"/>
      <c r="P725" s="88"/>
      <c r="Q725" s="88"/>
      <c r="R725" s="88"/>
      <c r="S725" s="88"/>
    </row>
    <row r="726" spans="1:19" s="14" customFormat="1" ht="14.1" customHeight="1">
      <c r="A726" s="379"/>
      <c r="B726" s="88"/>
      <c r="C726" s="88"/>
      <c r="D726" s="88"/>
      <c r="E726" s="194"/>
      <c r="F726" s="194"/>
      <c r="G726" s="197"/>
      <c r="H726" s="197"/>
      <c r="J726" s="88"/>
      <c r="K726" s="88"/>
      <c r="L726" s="88"/>
      <c r="M726" s="88"/>
      <c r="N726" s="88"/>
      <c r="O726" s="88"/>
      <c r="P726" s="88"/>
      <c r="Q726" s="88"/>
      <c r="R726" s="88"/>
      <c r="S726" s="88"/>
    </row>
    <row r="727" spans="1:19" s="14" customFormat="1" ht="14.1" customHeight="1">
      <c r="A727" s="379"/>
      <c r="B727" s="88"/>
      <c r="C727" s="88"/>
      <c r="D727" s="88"/>
      <c r="E727" s="194"/>
      <c r="F727" s="194"/>
      <c r="G727" s="197"/>
      <c r="H727" s="197"/>
      <c r="J727" s="88"/>
      <c r="K727" s="88"/>
      <c r="L727" s="88"/>
      <c r="M727" s="88"/>
      <c r="N727" s="88"/>
      <c r="O727" s="88"/>
      <c r="P727" s="88"/>
      <c r="Q727" s="88"/>
      <c r="R727" s="88"/>
      <c r="S727" s="88"/>
    </row>
    <row r="728" spans="1:19" s="14" customFormat="1" ht="14.1" customHeight="1">
      <c r="A728" s="379"/>
      <c r="B728" s="88"/>
      <c r="C728" s="88"/>
      <c r="D728" s="88"/>
      <c r="E728" s="194"/>
      <c r="F728" s="194"/>
      <c r="G728" s="197"/>
      <c r="H728" s="197"/>
      <c r="J728" s="88"/>
      <c r="K728" s="88"/>
      <c r="L728" s="88"/>
      <c r="M728" s="88"/>
      <c r="N728" s="88"/>
      <c r="O728" s="88"/>
      <c r="P728" s="88"/>
      <c r="Q728" s="88"/>
      <c r="R728" s="88"/>
      <c r="S728" s="88"/>
    </row>
    <row r="729" spans="1:19" s="14" customFormat="1" ht="14.1" customHeight="1">
      <c r="A729" s="379"/>
      <c r="B729" s="88"/>
      <c r="C729" s="88"/>
      <c r="D729" s="88"/>
      <c r="E729" s="194"/>
      <c r="F729" s="194"/>
      <c r="G729" s="197"/>
      <c r="H729" s="197"/>
      <c r="J729" s="88"/>
      <c r="K729" s="88"/>
      <c r="L729" s="88"/>
      <c r="M729" s="88"/>
      <c r="N729" s="88"/>
      <c r="O729" s="88"/>
      <c r="P729" s="88"/>
      <c r="Q729" s="88"/>
      <c r="R729" s="88"/>
      <c r="S729" s="88"/>
    </row>
    <row r="730" spans="1:19" s="14" customFormat="1" ht="14.1" customHeight="1">
      <c r="A730" s="379"/>
      <c r="B730" s="88"/>
      <c r="C730" s="88"/>
      <c r="D730" s="88"/>
      <c r="E730" s="194"/>
      <c r="F730" s="194"/>
      <c r="G730" s="197"/>
      <c r="H730" s="197"/>
      <c r="J730" s="88"/>
      <c r="K730" s="88"/>
      <c r="L730" s="88"/>
      <c r="M730" s="88"/>
      <c r="N730" s="88"/>
      <c r="O730" s="88"/>
      <c r="P730" s="88"/>
      <c r="Q730" s="88"/>
      <c r="R730" s="88"/>
      <c r="S730" s="88"/>
    </row>
    <row r="731" spans="1:19" s="14" customFormat="1" ht="14.1" customHeight="1">
      <c r="A731" s="379"/>
      <c r="B731" s="88"/>
      <c r="C731" s="88"/>
      <c r="D731" s="88"/>
      <c r="E731" s="194"/>
      <c r="F731" s="194"/>
      <c r="G731" s="197"/>
      <c r="H731" s="197"/>
      <c r="J731" s="88"/>
      <c r="K731" s="88"/>
      <c r="L731" s="88"/>
      <c r="M731" s="88"/>
      <c r="N731" s="88"/>
      <c r="O731" s="88"/>
      <c r="P731" s="88"/>
      <c r="Q731" s="88"/>
      <c r="R731" s="88"/>
      <c r="S731" s="88"/>
    </row>
    <row r="732" spans="1:19" s="14" customFormat="1" ht="14.1" customHeight="1">
      <c r="A732" s="379"/>
      <c r="B732" s="88"/>
      <c r="C732" s="88"/>
      <c r="D732" s="88"/>
      <c r="E732" s="194"/>
      <c r="F732" s="194"/>
      <c r="G732" s="197"/>
      <c r="H732" s="197"/>
      <c r="J732" s="88"/>
      <c r="K732" s="88"/>
      <c r="L732" s="88"/>
      <c r="M732" s="88"/>
      <c r="N732" s="88"/>
      <c r="O732" s="88"/>
      <c r="P732" s="88"/>
      <c r="Q732" s="88"/>
      <c r="R732" s="88"/>
      <c r="S732" s="88"/>
    </row>
    <row r="733" spans="1:19" s="14" customFormat="1" ht="14.1" customHeight="1">
      <c r="A733" s="379"/>
      <c r="B733" s="88"/>
      <c r="C733" s="88"/>
      <c r="D733" s="88"/>
      <c r="E733" s="194"/>
      <c r="F733" s="194"/>
      <c r="G733" s="197"/>
      <c r="H733" s="197"/>
      <c r="J733" s="88"/>
      <c r="K733" s="88"/>
      <c r="L733" s="88"/>
      <c r="M733" s="88"/>
      <c r="N733" s="88"/>
      <c r="O733" s="88"/>
      <c r="P733" s="88"/>
      <c r="Q733" s="88"/>
      <c r="R733" s="88"/>
      <c r="S733" s="88"/>
    </row>
    <row r="734" spans="1:19" s="14" customFormat="1" ht="14.1" customHeight="1">
      <c r="A734" s="379"/>
      <c r="B734" s="88"/>
      <c r="C734" s="88"/>
      <c r="D734" s="88"/>
      <c r="E734" s="194"/>
      <c r="F734" s="194"/>
      <c r="G734" s="197"/>
      <c r="H734" s="197"/>
      <c r="J734" s="88"/>
      <c r="K734" s="88"/>
      <c r="L734" s="88"/>
      <c r="M734" s="88"/>
      <c r="N734" s="88"/>
      <c r="O734" s="88"/>
      <c r="P734" s="88"/>
      <c r="Q734" s="88"/>
      <c r="R734" s="88"/>
      <c r="S734" s="88"/>
    </row>
    <row r="735" spans="1:19" s="14" customFormat="1" ht="14.1" customHeight="1">
      <c r="A735" s="379"/>
      <c r="B735" s="88"/>
      <c r="C735" s="88"/>
      <c r="D735" s="88"/>
      <c r="E735" s="194"/>
      <c r="F735" s="194"/>
      <c r="G735" s="197"/>
      <c r="H735" s="197"/>
      <c r="J735" s="88"/>
      <c r="K735" s="88"/>
      <c r="L735" s="88"/>
      <c r="M735" s="88"/>
      <c r="N735" s="88"/>
      <c r="O735" s="88"/>
      <c r="P735" s="88"/>
      <c r="Q735" s="88"/>
      <c r="R735" s="88"/>
      <c r="S735" s="88"/>
    </row>
    <row r="736" spans="1:19" s="14" customFormat="1" ht="14.1" customHeight="1">
      <c r="A736" s="379"/>
      <c r="B736" s="88"/>
      <c r="C736" s="88"/>
      <c r="D736" s="88"/>
      <c r="E736" s="194"/>
      <c r="F736" s="194"/>
      <c r="G736" s="197"/>
      <c r="H736" s="197"/>
      <c r="J736" s="88"/>
      <c r="K736" s="88"/>
      <c r="L736" s="88"/>
      <c r="M736" s="88"/>
      <c r="N736" s="88"/>
      <c r="O736" s="88"/>
      <c r="P736" s="88"/>
      <c r="Q736" s="88"/>
      <c r="R736" s="88"/>
      <c r="S736" s="88"/>
    </row>
    <row r="737" spans="1:19" s="14" customFormat="1" ht="14.1" customHeight="1">
      <c r="A737" s="379"/>
      <c r="B737" s="88"/>
      <c r="C737" s="88"/>
      <c r="D737" s="88"/>
      <c r="E737" s="194"/>
      <c r="F737" s="194"/>
      <c r="G737" s="197"/>
      <c r="H737" s="197"/>
      <c r="J737" s="88"/>
      <c r="K737" s="88"/>
      <c r="L737" s="88"/>
      <c r="M737" s="88"/>
      <c r="N737" s="88"/>
      <c r="O737" s="88"/>
      <c r="P737" s="88"/>
      <c r="Q737" s="88"/>
      <c r="R737" s="88"/>
      <c r="S737" s="88"/>
    </row>
    <row r="738" spans="1:19" s="14" customFormat="1" ht="14.1" customHeight="1">
      <c r="A738" s="379"/>
      <c r="B738" s="88"/>
      <c r="C738" s="88"/>
      <c r="D738" s="88"/>
      <c r="E738" s="194"/>
      <c r="F738" s="194"/>
      <c r="G738" s="197"/>
      <c r="H738" s="197"/>
      <c r="J738" s="88"/>
      <c r="K738" s="88"/>
      <c r="L738" s="88"/>
      <c r="M738" s="88"/>
      <c r="N738" s="88"/>
      <c r="O738" s="88"/>
      <c r="P738" s="88"/>
      <c r="Q738" s="88"/>
      <c r="R738" s="88"/>
      <c r="S738" s="88"/>
    </row>
    <row r="739" spans="1:19" s="14" customFormat="1" ht="14.1" customHeight="1">
      <c r="A739" s="379"/>
      <c r="B739" s="88"/>
      <c r="C739" s="88"/>
      <c r="D739" s="88"/>
      <c r="E739" s="194"/>
      <c r="F739" s="194"/>
      <c r="G739" s="197"/>
      <c r="H739" s="197"/>
      <c r="J739" s="88"/>
      <c r="K739" s="88"/>
      <c r="L739" s="88"/>
      <c r="M739" s="88"/>
      <c r="N739" s="88"/>
      <c r="O739" s="88"/>
      <c r="P739" s="88"/>
      <c r="Q739" s="88"/>
      <c r="R739" s="88"/>
      <c r="S739" s="88"/>
    </row>
    <row r="740" spans="1:19" s="14" customFormat="1" ht="14.1" customHeight="1">
      <c r="A740" s="379"/>
      <c r="B740" s="88"/>
      <c r="C740" s="88"/>
      <c r="D740" s="88"/>
      <c r="E740" s="194"/>
      <c r="F740" s="194"/>
      <c r="G740" s="197"/>
      <c r="H740" s="197"/>
      <c r="J740" s="88"/>
      <c r="K740" s="88"/>
      <c r="L740" s="88"/>
      <c r="M740" s="88"/>
      <c r="N740" s="88"/>
      <c r="O740" s="88"/>
      <c r="P740" s="88"/>
      <c r="Q740" s="88"/>
      <c r="R740" s="88"/>
      <c r="S740" s="88"/>
    </row>
    <row r="741" spans="1:19" s="14" customFormat="1" ht="14.1" customHeight="1">
      <c r="A741" s="379"/>
      <c r="B741" s="88"/>
      <c r="C741" s="88"/>
      <c r="D741" s="88"/>
      <c r="E741" s="194"/>
      <c r="F741" s="194"/>
      <c r="G741" s="197"/>
      <c r="H741" s="197"/>
      <c r="J741" s="88"/>
      <c r="K741" s="88"/>
      <c r="L741" s="88"/>
      <c r="M741" s="88"/>
      <c r="N741" s="88"/>
      <c r="O741" s="88"/>
      <c r="P741" s="88"/>
      <c r="Q741" s="88"/>
      <c r="R741" s="88"/>
      <c r="S741" s="88"/>
    </row>
    <row r="742" spans="1:19" s="14" customFormat="1" ht="14.1" customHeight="1">
      <c r="A742" s="379"/>
      <c r="B742" s="88"/>
      <c r="C742" s="88"/>
      <c r="D742" s="88"/>
      <c r="E742" s="194"/>
      <c r="F742" s="194"/>
      <c r="G742" s="197"/>
      <c r="H742" s="197"/>
      <c r="J742" s="88"/>
      <c r="K742" s="88"/>
      <c r="L742" s="88"/>
      <c r="M742" s="88"/>
      <c r="N742" s="88"/>
      <c r="O742" s="88"/>
      <c r="P742" s="88"/>
      <c r="Q742" s="88"/>
      <c r="R742" s="88"/>
      <c r="S742" s="88"/>
    </row>
    <row r="743" spans="1:19" s="14" customFormat="1" ht="14.1" customHeight="1">
      <c r="A743" s="379"/>
      <c r="B743" s="88"/>
      <c r="C743" s="88"/>
      <c r="D743" s="88"/>
      <c r="E743" s="194"/>
      <c r="F743" s="194"/>
      <c r="G743" s="197"/>
      <c r="H743" s="197"/>
      <c r="J743" s="88"/>
      <c r="K743" s="88"/>
      <c r="L743" s="88"/>
      <c r="M743" s="88"/>
      <c r="N743" s="88"/>
      <c r="O743" s="88"/>
      <c r="P743" s="88"/>
      <c r="Q743" s="88"/>
      <c r="R743" s="88"/>
      <c r="S743" s="88"/>
    </row>
    <row r="744" spans="1:19" s="14" customFormat="1" ht="14.1" customHeight="1">
      <c r="A744" s="379"/>
      <c r="B744" s="88"/>
      <c r="C744" s="88"/>
      <c r="D744" s="88"/>
      <c r="E744" s="194"/>
      <c r="F744" s="194"/>
      <c r="G744" s="197"/>
      <c r="H744" s="197"/>
      <c r="J744" s="88"/>
      <c r="K744" s="88"/>
      <c r="L744" s="88"/>
      <c r="M744" s="88"/>
      <c r="N744" s="88"/>
      <c r="O744" s="88"/>
      <c r="P744" s="88"/>
      <c r="Q744" s="88"/>
      <c r="R744" s="88"/>
      <c r="S744" s="88"/>
    </row>
    <row r="745" spans="1:19" s="14" customFormat="1" ht="14.1" customHeight="1">
      <c r="A745" s="379"/>
      <c r="B745" s="88"/>
      <c r="C745" s="88"/>
      <c r="D745" s="88"/>
      <c r="E745" s="194"/>
      <c r="F745" s="194"/>
      <c r="G745" s="197"/>
      <c r="H745" s="194"/>
      <c r="J745" s="88"/>
      <c r="K745" s="88"/>
      <c r="L745" s="88"/>
      <c r="M745" s="88"/>
      <c r="N745" s="88"/>
      <c r="O745" s="88"/>
      <c r="P745" s="88"/>
      <c r="Q745" s="88"/>
      <c r="R745" s="88"/>
      <c r="S745" s="88"/>
    </row>
    <row r="746" spans="1:19" s="14" customFormat="1" ht="14.1" customHeight="1">
      <c r="A746" s="379"/>
      <c r="B746" s="88"/>
      <c r="C746" s="88"/>
      <c r="D746" s="88"/>
      <c r="E746" s="194"/>
      <c r="F746" s="194"/>
      <c r="G746" s="197"/>
      <c r="H746" s="194"/>
      <c r="J746" s="88"/>
      <c r="K746" s="88"/>
      <c r="L746" s="88"/>
      <c r="M746" s="88"/>
      <c r="N746" s="88"/>
      <c r="O746" s="88"/>
      <c r="P746" s="88"/>
      <c r="Q746" s="88"/>
      <c r="R746" s="88"/>
      <c r="S746" s="88"/>
    </row>
    <row r="747" spans="1:19" s="14" customFormat="1" ht="14.1" customHeight="1">
      <c r="A747" s="379"/>
      <c r="B747" s="88"/>
      <c r="C747" s="88"/>
      <c r="D747" s="88"/>
      <c r="E747" s="194"/>
      <c r="F747" s="194"/>
      <c r="G747" s="197"/>
      <c r="H747" s="194"/>
      <c r="J747" s="88"/>
      <c r="K747" s="88"/>
      <c r="L747" s="88"/>
      <c r="M747" s="88"/>
      <c r="N747" s="88"/>
      <c r="O747" s="88"/>
      <c r="P747" s="88"/>
      <c r="Q747" s="88"/>
      <c r="R747" s="88"/>
      <c r="S747" s="88"/>
    </row>
    <row r="748" spans="1:19" s="14" customFormat="1" ht="14.1" customHeight="1">
      <c r="A748" s="379"/>
      <c r="B748" s="88"/>
      <c r="C748" s="88"/>
      <c r="D748" s="88"/>
      <c r="E748" s="194"/>
      <c r="F748" s="194"/>
      <c r="G748" s="197"/>
      <c r="H748" s="194"/>
      <c r="J748" s="88"/>
      <c r="K748" s="88"/>
      <c r="L748" s="88"/>
      <c r="M748" s="88"/>
      <c r="N748" s="88"/>
      <c r="O748" s="88"/>
      <c r="P748" s="88"/>
      <c r="Q748" s="88"/>
      <c r="R748" s="88"/>
      <c r="S748" s="88"/>
    </row>
    <row r="749" spans="1:19" s="14" customFormat="1" ht="14.1" customHeight="1">
      <c r="A749" s="379"/>
      <c r="B749" s="88"/>
      <c r="C749" s="88"/>
      <c r="D749" s="88"/>
      <c r="E749" s="194"/>
      <c r="F749" s="194"/>
      <c r="G749" s="197"/>
      <c r="H749" s="194"/>
      <c r="J749" s="88"/>
      <c r="K749" s="88"/>
      <c r="L749" s="88"/>
      <c r="M749" s="88"/>
      <c r="N749" s="88"/>
      <c r="O749" s="88"/>
      <c r="P749" s="88"/>
      <c r="Q749" s="88"/>
      <c r="R749" s="88"/>
      <c r="S749" s="88"/>
    </row>
    <row r="750" spans="1:19" s="14" customFormat="1" ht="14.1" customHeight="1">
      <c r="A750" s="379"/>
      <c r="B750" s="88"/>
      <c r="C750" s="88"/>
      <c r="D750" s="88"/>
      <c r="E750" s="194"/>
      <c r="F750" s="194"/>
      <c r="G750" s="197"/>
      <c r="H750" s="194"/>
      <c r="J750" s="88"/>
      <c r="K750" s="88"/>
      <c r="L750" s="88"/>
      <c r="M750" s="88"/>
      <c r="N750" s="88"/>
      <c r="O750" s="88"/>
      <c r="P750" s="88"/>
      <c r="Q750" s="88"/>
      <c r="R750" s="88"/>
      <c r="S750" s="88"/>
    </row>
    <row r="751" spans="1:19" s="14" customFormat="1" ht="14.1" customHeight="1">
      <c r="A751" s="379"/>
      <c r="B751" s="88"/>
      <c r="C751" s="88"/>
      <c r="D751" s="88"/>
      <c r="E751" s="194"/>
      <c r="F751" s="194"/>
      <c r="G751" s="197"/>
      <c r="H751" s="194"/>
      <c r="J751" s="88"/>
      <c r="K751" s="88"/>
      <c r="L751" s="88"/>
      <c r="M751" s="88"/>
      <c r="N751" s="88"/>
      <c r="O751" s="88"/>
      <c r="P751" s="88"/>
      <c r="Q751" s="88"/>
      <c r="R751" s="88"/>
      <c r="S751" s="88"/>
    </row>
    <row r="752" spans="1:19" s="14" customFormat="1" ht="14.1" customHeight="1">
      <c r="A752" s="379"/>
      <c r="B752" s="88"/>
      <c r="C752" s="88"/>
      <c r="D752" s="88"/>
      <c r="E752" s="194"/>
      <c r="F752" s="194"/>
      <c r="G752" s="197"/>
      <c r="H752" s="194"/>
      <c r="J752" s="88"/>
      <c r="K752" s="88"/>
      <c r="L752" s="88"/>
      <c r="M752" s="88"/>
      <c r="N752" s="88"/>
      <c r="O752" s="88"/>
      <c r="P752" s="88"/>
      <c r="Q752" s="88"/>
      <c r="R752" s="88"/>
      <c r="S752" s="88"/>
    </row>
    <row r="753" spans="1:19" s="14" customFormat="1" ht="14.1" customHeight="1">
      <c r="A753" s="379"/>
      <c r="B753" s="88"/>
      <c r="C753" s="88"/>
      <c r="D753" s="88"/>
      <c r="E753" s="194"/>
      <c r="F753" s="194"/>
      <c r="G753" s="197"/>
      <c r="H753" s="194"/>
      <c r="J753" s="88"/>
      <c r="K753" s="88"/>
      <c r="L753" s="88"/>
      <c r="M753" s="88"/>
      <c r="N753" s="88"/>
      <c r="O753" s="88"/>
      <c r="P753" s="88"/>
      <c r="Q753" s="88"/>
      <c r="R753" s="88"/>
      <c r="S753" s="88"/>
    </row>
    <row r="754" spans="1:19" s="14" customFormat="1" ht="14.1" customHeight="1">
      <c r="A754" s="379"/>
      <c r="B754" s="88"/>
      <c r="C754" s="88"/>
      <c r="D754" s="88"/>
      <c r="E754" s="194"/>
      <c r="F754" s="194"/>
      <c r="G754" s="197"/>
      <c r="H754" s="194"/>
      <c r="J754" s="88"/>
      <c r="K754" s="88"/>
      <c r="L754" s="88"/>
      <c r="M754" s="88"/>
      <c r="N754" s="88"/>
      <c r="O754" s="88"/>
      <c r="P754" s="88"/>
      <c r="Q754" s="88"/>
      <c r="R754" s="88"/>
      <c r="S754" s="88"/>
    </row>
    <row r="755" spans="1:19" s="14" customFormat="1" ht="14.1" customHeight="1">
      <c r="A755" s="379"/>
      <c r="B755" s="88"/>
      <c r="C755" s="88"/>
      <c r="D755" s="88"/>
      <c r="E755" s="194"/>
      <c r="F755" s="194"/>
      <c r="G755" s="197"/>
      <c r="H755" s="194"/>
      <c r="J755" s="88"/>
      <c r="K755" s="88"/>
      <c r="L755" s="88"/>
      <c r="M755" s="88"/>
      <c r="N755" s="88"/>
      <c r="O755" s="88"/>
      <c r="P755" s="88"/>
      <c r="Q755" s="88"/>
      <c r="R755" s="88"/>
      <c r="S755" s="88"/>
    </row>
    <row r="756" spans="1:19" s="14" customFormat="1" ht="14.1" customHeight="1">
      <c r="A756" s="379"/>
      <c r="B756" s="88"/>
      <c r="C756" s="88"/>
      <c r="D756" s="88"/>
      <c r="E756" s="194"/>
      <c r="F756" s="194"/>
      <c r="G756" s="197"/>
      <c r="H756" s="194"/>
      <c r="J756" s="88"/>
      <c r="K756" s="88"/>
      <c r="L756" s="88"/>
      <c r="M756" s="88"/>
      <c r="N756" s="88"/>
      <c r="O756" s="88"/>
      <c r="P756" s="88"/>
      <c r="Q756" s="88"/>
      <c r="R756" s="88"/>
      <c r="S756" s="88"/>
    </row>
    <row r="757" spans="1:19" s="14" customFormat="1" ht="14.1" customHeight="1">
      <c r="A757" s="379"/>
      <c r="B757" s="88"/>
      <c r="C757" s="88"/>
      <c r="D757" s="88"/>
      <c r="E757" s="194"/>
      <c r="F757" s="194"/>
      <c r="G757" s="197"/>
      <c r="H757" s="194"/>
      <c r="J757" s="88"/>
      <c r="K757" s="88"/>
      <c r="L757" s="88"/>
      <c r="M757" s="88"/>
      <c r="N757" s="88"/>
      <c r="O757" s="88"/>
      <c r="P757" s="88"/>
      <c r="Q757" s="88"/>
      <c r="R757" s="88"/>
      <c r="S757" s="88"/>
    </row>
    <row r="758" spans="1:19" s="14" customFormat="1" ht="14.1" customHeight="1">
      <c r="A758" s="379"/>
      <c r="B758" s="88"/>
      <c r="C758" s="88"/>
      <c r="D758" s="88"/>
      <c r="E758" s="194"/>
      <c r="F758" s="194"/>
      <c r="G758" s="197"/>
      <c r="H758" s="194"/>
      <c r="J758" s="88"/>
      <c r="K758" s="88"/>
      <c r="L758" s="88"/>
      <c r="M758" s="88"/>
      <c r="N758" s="88"/>
      <c r="O758" s="88"/>
      <c r="P758" s="88"/>
      <c r="Q758" s="88"/>
      <c r="R758" s="88"/>
      <c r="S758" s="88"/>
    </row>
    <row r="759" spans="1:19" s="14" customFormat="1" ht="14.1" customHeight="1">
      <c r="A759" s="379"/>
      <c r="B759" s="88"/>
      <c r="C759" s="88"/>
      <c r="D759" s="88"/>
      <c r="E759" s="194"/>
      <c r="F759" s="194"/>
      <c r="G759" s="197"/>
      <c r="H759" s="194"/>
      <c r="J759" s="88"/>
      <c r="K759" s="88"/>
      <c r="L759" s="88"/>
      <c r="M759" s="88"/>
      <c r="N759" s="88"/>
      <c r="O759" s="88"/>
      <c r="P759" s="88"/>
      <c r="Q759" s="88"/>
      <c r="R759" s="88"/>
      <c r="S759" s="88"/>
    </row>
    <row r="760" spans="1:19" s="14" customFormat="1" ht="14.1" customHeight="1">
      <c r="A760" s="379"/>
      <c r="B760" s="88"/>
      <c r="C760" s="88"/>
      <c r="D760" s="88"/>
      <c r="E760" s="194"/>
      <c r="F760" s="194"/>
      <c r="G760" s="197"/>
      <c r="H760" s="194"/>
      <c r="J760" s="88"/>
      <c r="K760" s="88"/>
      <c r="L760" s="88"/>
      <c r="M760" s="88"/>
      <c r="N760" s="88"/>
      <c r="O760" s="88"/>
      <c r="P760" s="88"/>
      <c r="Q760" s="88"/>
      <c r="R760" s="88"/>
      <c r="S760" s="88"/>
    </row>
    <row r="761" spans="1:19" s="14" customFormat="1" ht="14.1" customHeight="1">
      <c r="A761" s="379"/>
      <c r="B761" s="88"/>
      <c r="C761" s="88"/>
      <c r="D761" s="88"/>
      <c r="E761" s="194"/>
      <c r="F761" s="194"/>
      <c r="G761" s="197"/>
      <c r="H761" s="194"/>
      <c r="J761" s="88"/>
      <c r="K761" s="88"/>
      <c r="L761" s="88"/>
      <c r="M761" s="88"/>
      <c r="N761" s="88"/>
      <c r="O761" s="88"/>
      <c r="P761" s="88"/>
      <c r="Q761" s="88"/>
      <c r="R761" s="88"/>
      <c r="S761" s="88"/>
    </row>
    <row r="762" spans="1:19" s="14" customFormat="1" ht="14.1" customHeight="1">
      <c r="A762" s="379"/>
      <c r="B762" s="88"/>
      <c r="C762" s="88"/>
      <c r="D762" s="88"/>
      <c r="E762" s="194"/>
      <c r="F762" s="194"/>
      <c r="G762" s="197"/>
      <c r="H762" s="194"/>
      <c r="J762" s="88"/>
      <c r="K762" s="88"/>
      <c r="L762" s="88"/>
      <c r="M762" s="88"/>
      <c r="N762" s="88"/>
      <c r="O762" s="88"/>
      <c r="P762" s="88"/>
      <c r="Q762" s="88"/>
      <c r="R762" s="88"/>
      <c r="S762" s="88"/>
    </row>
    <row r="763" spans="1:19" s="14" customFormat="1" ht="14.1" customHeight="1">
      <c r="A763" s="379"/>
      <c r="B763" s="88"/>
      <c r="C763" s="88"/>
      <c r="D763" s="88"/>
      <c r="E763" s="194"/>
      <c r="F763" s="194"/>
      <c r="G763" s="197"/>
      <c r="H763" s="194"/>
      <c r="J763" s="88"/>
      <c r="K763" s="88"/>
      <c r="L763" s="88"/>
      <c r="M763" s="88"/>
      <c r="N763" s="88"/>
      <c r="O763" s="88"/>
      <c r="P763" s="88"/>
      <c r="Q763" s="88"/>
      <c r="R763" s="88"/>
      <c r="S763" s="88"/>
    </row>
    <row r="764" spans="1:19" s="14" customFormat="1" ht="14.1" customHeight="1">
      <c r="A764" s="379"/>
      <c r="B764" s="88"/>
      <c r="C764" s="88"/>
      <c r="D764" s="88"/>
      <c r="E764" s="194"/>
      <c r="F764" s="194"/>
      <c r="G764" s="197"/>
      <c r="H764" s="194"/>
      <c r="J764" s="88"/>
      <c r="K764" s="88"/>
      <c r="L764" s="88"/>
      <c r="M764" s="88"/>
      <c r="N764" s="88"/>
      <c r="O764" s="88"/>
      <c r="P764" s="88"/>
      <c r="Q764" s="88"/>
      <c r="R764" s="88"/>
      <c r="S764" s="88"/>
    </row>
    <row r="765" spans="1:19" s="14" customFormat="1" ht="14.1" customHeight="1">
      <c r="A765" s="379"/>
      <c r="B765" s="88"/>
      <c r="C765" s="88"/>
      <c r="D765" s="88"/>
      <c r="E765" s="194"/>
      <c r="F765" s="194"/>
      <c r="G765" s="197"/>
      <c r="H765" s="194"/>
      <c r="J765" s="88"/>
      <c r="K765" s="88"/>
      <c r="L765" s="88"/>
      <c r="M765" s="88"/>
      <c r="N765" s="88"/>
      <c r="O765" s="88"/>
      <c r="P765" s="88"/>
      <c r="Q765" s="88"/>
      <c r="R765" s="88"/>
      <c r="S765" s="88"/>
    </row>
    <row r="766" spans="1:19" s="14" customFormat="1" ht="14.1" customHeight="1">
      <c r="A766" s="379"/>
      <c r="B766" s="88"/>
      <c r="C766" s="88"/>
      <c r="D766" s="88"/>
      <c r="E766" s="194"/>
      <c r="F766" s="194"/>
      <c r="G766" s="197"/>
      <c r="H766" s="194"/>
      <c r="J766" s="88"/>
      <c r="K766" s="88"/>
      <c r="L766" s="88"/>
      <c r="M766" s="88"/>
      <c r="N766" s="88"/>
      <c r="O766" s="88"/>
      <c r="P766" s="88"/>
      <c r="Q766" s="88"/>
      <c r="R766" s="88"/>
      <c r="S766" s="88"/>
    </row>
    <row r="767" spans="1:19" s="14" customFormat="1" ht="14.1" customHeight="1">
      <c r="A767" s="379"/>
      <c r="B767" s="88"/>
      <c r="C767" s="88"/>
      <c r="D767" s="88"/>
      <c r="E767" s="194"/>
      <c r="F767" s="194"/>
      <c r="G767" s="197"/>
      <c r="H767" s="194"/>
      <c r="J767" s="88"/>
      <c r="K767" s="88"/>
      <c r="L767" s="88"/>
      <c r="M767" s="88"/>
      <c r="N767" s="88"/>
      <c r="O767" s="88"/>
      <c r="P767" s="88"/>
      <c r="Q767" s="88"/>
      <c r="R767" s="88"/>
      <c r="S767" s="88"/>
    </row>
    <row r="768" spans="1:19" s="14" customFormat="1" ht="14.1" customHeight="1">
      <c r="A768" s="379"/>
      <c r="B768" s="88"/>
      <c r="C768" s="88"/>
      <c r="D768" s="88"/>
      <c r="E768" s="194"/>
      <c r="F768" s="194"/>
      <c r="G768" s="197"/>
      <c r="H768" s="194"/>
      <c r="J768" s="88"/>
      <c r="K768" s="88"/>
      <c r="L768" s="88"/>
      <c r="M768" s="88"/>
      <c r="N768" s="88"/>
      <c r="O768" s="88"/>
      <c r="P768" s="88"/>
      <c r="Q768" s="88"/>
      <c r="R768" s="88"/>
      <c r="S768" s="88"/>
    </row>
    <row r="769" spans="1:19" s="14" customFormat="1" ht="14.1" customHeight="1">
      <c r="A769" s="379"/>
      <c r="B769" s="88"/>
      <c r="C769" s="88"/>
      <c r="D769" s="88"/>
      <c r="E769" s="194"/>
      <c r="F769" s="194"/>
      <c r="G769" s="197"/>
      <c r="H769" s="194"/>
      <c r="J769" s="88"/>
      <c r="K769" s="88"/>
      <c r="L769" s="88"/>
      <c r="M769" s="88"/>
      <c r="N769" s="88"/>
      <c r="O769" s="88"/>
      <c r="P769" s="88"/>
      <c r="Q769" s="88"/>
      <c r="R769" s="88"/>
      <c r="S769" s="88"/>
    </row>
    <row r="770" spans="1:19" s="14" customFormat="1" ht="14.1" customHeight="1">
      <c r="A770" s="379"/>
      <c r="B770" s="88"/>
      <c r="C770" s="88"/>
      <c r="D770" s="88"/>
      <c r="E770" s="194"/>
      <c r="F770" s="194"/>
      <c r="G770" s="197"/>
      <c r="H770" s="194"/>
      <c r="J770" s="88"/>
      <c r="K770" s="88"/>
      <c r="L770" s="88"/>
      <c r="M770" s="88"/>
      <c r="N770" s="88"/>
      <c r="O770" s="88"/>
      <c r="P770" s="88"/>
      <c r="Q770" s="88"/>
      <c r="R770" s="88"/>
      <c r="S770" s="88"/>
    </row>
    <row r="771" spans="1:19" s="14" customFormat="1" ht="14.1" customHeight="1">
      <c r="A771" s="379"/>
      <c r="B771" s="88"/>
      <c r="C771" s="88"/>
      <c r="D771" s="88"/>
      <c r="E771" s="194"/>
      <c r="F771" s="194"/>
      <c r="G771" s="197"/>
      <c r="H771" s="194"/>
      <c r="J771" s="88"/>
      <c r="K771" s="88"/>
      <c r="L771" s="88"/>
      <c r="M771" s="88"/>
      <c r="N771" s="88"/>
      <c r="O771" s="88"/>
      <c r="P771" s="88"/>
      <c r="Q771" s="88"/>
      <c r="R771" s="88"/>
      <c r="S771" s="88"/>
    </row>
    <row r="772" spans="1:19" s="14" customFormat="1" ht="14.1" customHeight="1">
      <c r="A772" s="379"/>
      <c r="B772" s="88"/>
      <c r="C772" s="88"/>
      <c r="D772" s="88"/>
      <c r="E772" s="194"/>
      <c r="F772" s="194"/>
      <c r="G772" s="197"/>
      <c r="H772" s="194"/>
      <c r="J772" s="88"/>
      <c r="K772" s="88"/>
      <c r="L772" s="88"/>
      <c r="M772" s="88"/>
      <c r="N772" s="88"/>
      <c r="O772" s="88"/>
      <c r="P772" s="88"/>
      <c r="Q772" s="88"/>
      <c r="R772" s="88"/>
      <c r="S772" s="88"/>
    </row>
    <row r="773" spans="1:19" s="14" customFormat="1" ht="14.1" customHeight="1">
      <c r="A773" s="379"/>
      <c r="B773" s="88"/>
      <c r="C773" s="88"/>
      <c r="D773" s="88"/>
      <c r="E773" s="194"/>
      <c r="F773" s="194"/>
      <c r="G773" s="197"/>
      <c r="H773" s="194"/>
      <c r="J773" s="88"/>
      <c r="K773" s="88"/>
      <c r="L773" s="88"/>
      <c r="M773" s="88"/>
      <c r="N773" s="88"/>
      <c r="O773" s="88"/>
      <c r="P773" s="88"/>
      <c r="Q773" s="88"/>
      <c r="R773" s="88"/>
      <c r="S773" s="88"/>
    </row>
    <row r="774" spans="1:19" s="14" customFormat="1" ht="14.1" customHeight="1">
      <c r="A774" s="379"/>
      <c r="B774" s="88"/>
      <c r="C774" s="88"/>
      <c r="D774" s="88"/>
      <c r="E774" s="194"/>
      <c r="F774" s="194"/>
      <c r="G774" s="197"/>
      <c r="H774" s="194"/>
      <c r="J774" s="88"/>
      <c r="K774" s="88"/>
      <c r="L774" s="88"/>
      <c r="M774" s="88"/>
      <c r="N774" s="88"/>
      <c r="O774" s="88"/>
      <c r="P774" s="88"/>
      <c r="Q774" s="88"/>
      <c r="R774" s="88"/>
      <c r="S774" s="88"/>
    </row>
    <row r="775" spans="1:19" s="14" customFormat="1" ht="14.1" customHeight="1">
      <c r="A775" s="379"/>
      <c r="B775" s="88"/>
      <c r="C775" s="88"/>
      <c r="D775" s="88"/>
      <c r="E775" s="194"/>
      <c r="F775" s="194"/>
      <c r="G775" s="194"/>
      <c r="H775" s="194"/>
      <c r="J775" s="88"/>
      <c r="K775" s="88"/>
      <c r="L775" s="88"/>
      <c r="M775" s="88"/>
      <c r="N775" s="88"/>
      <c r="O775" s="88"/>
      <c r="P775" s="88"/>
      <c r="Q775" s="88"/>
      <c r="R775" s="88"/>
      <c r="S775" s="88"/>
    </row>
    <row r="776" spans="1:19" s="14" customFormat="1" ht="14.1" customHeight="1">
      <c r="A776" s="379"/>
      <c r="B776" s="88"/>
      <c r="C776" s="88"/>
      <c r="D776" s="88"/>
      <c r="E776" s="194"/>
      <c r="F776" s="194"/>
      <c r="G776" s="194"/>
      <c r="H776" s="194"/>
      <c r="J776" s="88"/>
      <c r="K776" s="88"/>
      <c r="L776" s="88"/>
      <c r="M776" s="88"/>
      <c r="N776" s="88"/>
      <c r="O776" s="88"/>
      <c r="P776" s="88"/>
      <c r="Q776" s="88"/>
      <c r="R776" s="88"/>
      <c r="S776" s="88"/>
    </row>
    <row r="777" spans="1:19" s="14" customFormat="1" ht="14.1" customHeight="1">
      <c r="A777" s="379"/>
      <c r="B777" s="88"/>
      <c r="C777" s="88"/>
      <c r="D777" s="88"/>
      <c r="E777" s="194"/>
      <c r="F777" s="194"/>
      <c r="G777" s="194"/>
      <c r="H777" s="194"/>
      <c r="J777" s="88"/>
      <c r="K777" s="88"/>
      <c r="L777" s="88"/>
      <c r="M777" s="88"/>
      <c r="N777" s="88"/>
      <c r="O777" s="88"/>
      <c r="P777" s="88"/>
      <c r="Q777" s="88"/>
      <c r="R777" s="88"/>
      <c r="S777" s="88"/>
    </row>
    <row r="778" spans="1:19" s="14" customFormat="1" ht="14.1" customHeight="1">
      <c r="A778" s="379"/>
      <c r="B778" s="88"/>
      <c r="C778" s="88"/>
      <c r="D778" s="88"/>
      <c r="E778" s="194"/>
      <c r="F778" s="194"/>
      <c r="G778" s="194"/>
      <c r="H778" s="194"/>
      <c r="J778" s="88"/>
      <c r="K778" s="88"/>
      <c r="L778" s="88"/>
      <c r="M778" s="88"/>
      <c r="N778" s="88"/>
      <c r="O778" s="88"/>
      <c r="P778" s="88"/>
      <c r="Q778" s="88"/>
      <c r="R778" s="88"/>
      <c r="S778" s="88"/>
    </row>
    <row r="779" spans="1:19" s="14" customFormat="1" ht="14.1" customHeight="1">
      <c r="A779" s="379"/>
      <c r="B779" s="88"/>
      <c r="C779" s="88"/>
      <c r="D779" s="88"/>
      <c r="E779" s="194"/>
      <c r="F779" s="194"/>
      <c r="G779" s="194"/>
      <c r="H779" s="194"/>
      <c r="J779" s="88"/>
      <c r="K779" s="88"/>
      <c r="L779" s="88"/>
      <c r="M779" s="88"/>
      <c r="N779" s="88"/>
      <c r="O779" s="88"/>
      <c r="P779" s="88"/>
      <c r="Q779" s="88"/>
      <c r="R779" s="88"/>
      <c r="S779" s="88"/>
    </row>
    <row r="780" spans="1:19" s="14" customFormat="1" ht="14.1" customHeight="1">
      <c r="A780" s="379"/>
      <c r="B780" s="88"/>
      <c r="C780" s="88"/>
      <c r="D780" s="88"/>
      <c r="E780" s="194"/>
      <c r="F780" s="194"/>
      <c r="G780" s="194"/>
      <c r="H780" s="194"/>
      <c r="J780" s="88"/>
      <c r="K780" s="88"/>
      <c r="L780" s="88"/>
      <c r="M780" s="88"/>
      <c r="N780" s="88"/>
      <c r="O780" s="88"/>
      <c r="P780" s="88"/>
      <c r="Q780" s="88"/>
      <c r="R780" s="88"/>
      <c r="S780" s="88"/>
    </row>
    <row r="781" spans="1:19" s="14" customFormat="1" ht="14.1" customHeight="1">
      <c r="A781" s="379"/>
      <c r="B781" s="88"/>
      <c r="C781" s="88"/>
      <c r="D781" s="88"/>
      <c r="E781" s="194"/>
      <c r="F781" s="194"/>
      <c r="G781" s="194"/>
      <c r="H781" s="194"/>
      <c r="J781" s="88"/>
      <c r="K781" s="88"/>
      <c r="L781" s="88"/>
      <c r="M781" s="88"/>
      <c r="N781" s="88"/>
      <c r="O781" s="88"/>
      <c r="P781" s="88"/>
      <c r="Q781" s="88"/>
      <c r="R781" s="88"/>
      <c r="S781" s="88"/>
    </row>
    <row r="782" spans="1:19" s="14" customFormat="1" ht="14.1" customHeight="1">
      <c r="A782" s="379"/>
      <c r="B782" s="88"/>
      <c r="C782" s="88"/>
      <c r="D782" s="88"/>
      <c r="E782" s="194"/>
      <c r="F782" s="194"/>
      <c r="G782" s="194"/>
      <c r="H782" s="194"/>
      <c r="J782" s="88"/>
      <c r="K782" s="88"/>
      <c r="L782" s="88"/>
      <c r="M782" s="88"/>
      <c r="N782" s="88"/>
      <c r="O782" s="88"/>
      <c r="P782" s="88"/>
      <c r="Q782" s="88"/>
      <c r="R782" s="88"/>
      <c r="S782" s="88"/>
    </row>
    <row r="783" spans="1:19" s="14" customFormat="1" ht="14.1" customHeight="1">
      <c r="A783" s="379"/>
      <c r="B783" s="88"/>
      <c r="C783" s="88"/>
      <c r="D783" s="88"/>
      <c r="E783" s="194"/>
      <c r="F783" s="194"/>
      <c r="G783" s="194"/>
      <c r="H783" s="194"/>
      <c r="J783" s="88"/>
      <c r="K783" s="88"/>
      <c r="L783" s="88"/>
      <c r="M783" s="88"/>
      <c r="N783" s="88"/>
      <c r="O783" s="88"/>
      <c r="P783" s="88"/>
      <c r="Q783" s="88"/>
      <c r="R783" s="88"/>
      <c r="S783" s="88"/>
    </row>
    <row r="784" spans="1:19" s="14" customFormat="1" ht="14.1" customHeight="1">
      <c r="A784" s="379"/>
      <c r="B784" s="88"/>
      <c r="C784" s="88"/>
      <c r="D784" s="88"/>
      <c r="E784" s="194"/>
      <c r="F784" s="194"/>
      <c r="G784" s="194"/>
      <c r="H784" s="194"/>
      <c r="J784" s="88"/>
      <c r="K784" s="88"/>
      <c r="L784" s="88"/>
      <c r="M784" s="88"/>
      <c r="N784" s="88"/>
      <c r="O784" s="88"/>
      <c r="P784" s="88"/>
      <c r="Q784" s="88"/>
      <c r="R784" s="88"/>
      <c r="S784" s="88"/>
    </row>
    <row r="785" spans="1:19" s="14" customFormat="1" ht="14.1" customHeight="1">
      <c r="A785" s="379"/>
      <c r="B785" s="88"/>
      <c r="C785" s="88"/>
      <c r="D785" s="88"/>
      <c r="E785" s="194"/>
      <c r="F785" s="194"/>
      <c r="G785" s="194"/>
      <c r="H785" s="194"/>
      <c r="J785" s="88"/>
      <c r="K785" s="88"/>
      <c r="L785" s="88"/>
      <c r="M785" s="88"/>
      <c r="N785" s="88"/>
      <c r="O785" s="88"/>
      <c r="P785" s="88"/>
      <c r="Q785" s="88"/>
      <c r="R785" s="88"/>
      <c r="S785" s="88"/>
    </row>
    <row r="786" spans="1:19" s="14" customFormat="1" ht="14.1" customHeight="1">
      <c r="A786" s="379"/>
      <c r="B786" s="88"/>
      <c r="C786" s="88"/>
      <c r="D786" s="88"/>
      <c r="E786" s="194"/>
      <c r="F786" s="194"/>
      <c r="G786" s="194"/>
      <c r="H786" s="194"/>
      <c r="J786" s="88"/>
      <c r="K786" s="88"/>
      <c r="L786" s="88"/>
      <c r="M786" s="88"/>
      <c r="N786" s="88"/>
      <c r="O786" s="88"/>
      <c r="P786" s="88"/>
      <c r="Q786" s="88"/>
      <c r="R786" s="88"/>
      <c r="S786" s="88"/>
    </row>
    <row r="787" spans="1:19" s="14" customFormat="1" ht="14.1" customHeight="1">
      <c r="A787" s="379"/>
      <c r="B787" s="88"/>
      <c r="C787" s="88"/>
      <c r="D787" s="88"/>
      <c r="E787" s="194"/>
      <c r="F787" s="194"/>
      <c r="G787" s="194"/>
      <c r="H787" s="194"/>
      <c r="J787" s="88"/>
      <c r="K787" s="88"/>
      <c r="L787" s="88"/>
      <c r="M787" s="88"/>
      <c r="N787" s="88"/>
      <c r="O787" s="88"/>
      <c r="P787" s="88"/>
      <c r="Q787" s="88"/>
      <c r="R787" s="88"/>
      <c r="S787" s="88"/>
    </row>
    <row r="788" spans="1:19" s="14" customFormat="1" ht="14.1" customHeight="1">
      <c r="A788" s="379"/>
      <c r="B788" s="88"/>
      <c r="C788" s="88"/>
      <c r="D788" s="88"/>
      <c r="E788" s="194"/>
      <c r="F788" s="194"/>
      <c r="G788" s="194"/>
      <c r="H788" s="194"/>
      <c r="J788" s="88"/>
      <c r="K788" s="88"/>
      <c r="L788" s="88"/>
      <c r="M788" s="88"/>
      <c r="N788" s="88"/>
      <c r="O788" s="88"/>
      <c r="P788" s="88"/>
      <c r="Q788" s="88"/>
      <c r="R788" s="88"/>
      <c r="S788" s="88"/>
    </row>
    <row r="789" spans="1:19" s="14" customFormat="1" ht="14.1" customHeight="1">
      <c r="A789" s="379"/>
      <c r="B789" s="88"/>
      <c r="C789" s="88"/>
      <c r="D789" s="88"/>
      <c r="E789" s="194"/>
      <c r="F789" s="194"/>
      <c r="G789" s="194"/>
      <c r="H789" s="194"/>
      <c r="J789" s="88"/>
      <c r="K789" s="88"/>
      <c r="L789" s="88"/>
      <c r="M789" s="88"/>
      <c r="N789" s="88"/>
      <c r="O789" s="88"/>
      <c r="P789" s="88"/>
      <c r="Q789" s="88"/>
      <c r="R789" s="88"/>
      <c r="S789" s="88"/>
    </row>
    <row r="790" spans="1:19" s="14" customFormat="1" ht="14.1" customHeight="1">
      <c r="A790" s="379"/>
      <c r="B790" s="88"/>
      <c r="C790" s="88"/>
      <c r="D790" s="88"/>
      <c r="E790" s="194"/>
      <c r="F790" s="194"/>
      <c r="G790" s="194"/>
      <c r="H790" s="194"/>
      <c r="J790" s="88"/>
      <c r="K790" s="88"/>
      <c r="L790" s="88"/>
      <c r="M790" s="88"/>
      <c r="N790" s="88"/>
      <c r="O790" s="88"/>
      <c r="P790" s="88"/>
      <c r="Q790" s="88"/>
      <c r="R790" s="88"/>
      <c r="S790" s="88"/>
    </row>
    <row r="791" spans="1:19" s="14" customFormat="1" ht="14.1" customHeight="1">
      <c r="A791" s="379"/>
      <c r="B791" s="88"/>
      <c r="C791" s="88"/>
      <c r="D791" s="88"/>
      <c r="E791" s="194"/>
      <c r="F791" s="194"/>
      <c r="G791" s="194"/>
      <c r="H791" s="194"/>
      <c r="J791" s="88"/>
      <c r="K791" s="88"/>
      <c r="L791" s="88"/>
      <c r="M791" s="88"/>
      <c r="N791" s="88"/>
      <c r="O791" s="88"/>
      <c r="P791" s="88"/>
      <c r="Q791" s="88"/>
      <c r="R791" s="88"/>
      <c r="S791" s="88"/>
    </row>
    <row r="792" spans="1:19" s="14" customFormat="1" ht="14.1" customHeight="1">
      <c r="A792" s="379"/>
      <c r="B792" s="88"/>
      <c r="C792" s="88"/>
      <c r="D792" s="88"/>
      <c r="E792" s="194"/>
      <c r="F792" s="194"/>
      <c r="G792" s="194"/>
      <c r="H792" s="194"/>
      <c r="J792" s="88"/>
      <c r="K792" s="88"/>
      <c r="L792" s="88"/>
      <c r="M792" s="88"/>
      <c r="N792" s="88"/>
      <c r="O792" s="88"/>
      <c r="P792" s="88"/>
      <c r="Q792" s="88"/>
      <c r="R792" s="88"/>
      <c r="S792" s="88"/>
    </row>
    <row r="793" spans="1:19" s="14" customFormat="1" ht="14.1" customHeight="1">
      <c r="A793" s="379"/>
      <c r="B793" s="88"/>
      <c r="C793" s="88"/>
      <c r="D793" s="88"/>
      <c r="E793" s="194"/>
      <c r="F793" s="194"/>
      <c r="G793" s="194"/>
      <c r="H793" s="194"/>
      <c r="J793" s="88"/>
      <c r="K793" s="88"/>
      <c r="L793" s="88"/>
      <c r="M793" s="88"/>
      <c r="N793" s="88"/>
      <c r="O793" s="88"/>
      <c r="P793" s="88"/>
      <c r="Q793" s="88"/>
      <c r="R793" s="88"/>
      <c r="S793" s="88"/>
    </row>
    <row r="794" spans="1:19" s="14" customFormat="1" ht="14.1" customHeight="1">
      <c r="A794" s="379"/>
      <c r="B794" s="88"/>
      <c r="C794" s="88"/>
      <c r="D794" s="88"/>
      <c r="E794" s="194"/>
      <c r="F794" s="194"/>
      <c r="G794" s="194"/>
      <c r="H794" s="194"/>
      <c r="J794" s="88"/>
      <c r="K794" s="88"/>
      <c r="L794" s="88"/>
      <c r="M794" s="88"/>
      <c r="N794" s="88"/>
      <c r="O794" s="88"/>
      <c r="P794" s="88"/>
      <c r="Q794" s="88"/>
      <c r="R794" s="88"/>
      <c r="S794" s="88"/>
    </row>
    <row r="795" spans="1:19" s="14" customFormat="1" ht="14.1" customHeight="1">
      <c r="A795" s="379"/>
      <c r="B795" s="88"/>
      <c r="C795" s="88"/>
      <c r="D795" s="88"/>
      <c r="E795" s="194"/>
      <c r="F795" s="194"/>
      <c r="G795" s="194"/>
      <c r="H795" s="194"/>
      <c r="J795" s="88"/>
      <c r="K795" s="88"/>
      <c r="L795" s="88"/>
      <c r="M795" s="88"/>
      <c r="N795" s="88"/>
      <c r="O795" s="88"/>
      <c r="P795" s="88"/>
      <c r="Q795" s="88"/>
      <c r="R795" s="88"/>
      <c r="S795" s="88"/>
    </row>
    <row r="796" spans="1:19" s="14" customFormat="1" ht="14.1" customHeight="1">
      <c r="A796" s="379"/>
      <c r="B796" s="88"/>
      <c r="C796" s="88"/>
      <c r="D796" s="88"/>
      <c r="E796" s="194"/>
      <c r="F796" s="194"/>
      <c r="G796" s="194"/>
      <c r="H796" s="194"/>
      <c r="J796" s="88"/>
      <c r="K796" s="88"/>
      <c r="L796" s="88"/>
      <c r="M796" s="88"/>
      <c r="N796" s="88"/>
      <c r="O796" s="88"/>
      <c r="P796" s="88"/>
      <c r="Q796" s="88"/>
      <c r="R796" s="88"/>
      <c r="S796" s="88"/>
    </row>
    <row r="797" spans="1:19" s="14" customFormat="1" ht="14.1" customHeight="1">
      <c r="A797" s="379"/>
      <c r="B797" s="88"/>
      <c r="C797" s="88"/>
      <c r="D797" s="88"/>
      <c r="E797" s="194"/>
      <c r="F797" s="194"/>
      <c r="G797" s="194"/>
      <c r="H797" s="194"/>
      <c r="J797" s="88"/>
      <c r="K797" s="88"/>
      <c r="L797" s="88"/>
      <c r="M797" s="88"/>
      <c r="N797" s="88"/>
      <c r="O797" s="88"/>
      <c r="P797" s="88"/>
      <c r="Q797" s="88"/>
      <c r="R797" s="88"/>
      <c r="S797" s="88"/>
    </row>
    <row r="798" spans="1:19" s="14" customFormat="1" ht="14.1" customHeight="1">
      <c r="A798" s="379"/>
      <c r="B798" s="88"/>
      <c r="C798" s="88"/>
      <c r="D798" s="88"/>
      <c r="E798" s="194"/>
      <c r="F798" s="194"/>
      <c r="G798" s="194"/>
      <c r="H798" s="194"/>
      <c r="J798" s="88"/>
      <c r="K798" s="88"/>
      <c r="L798" s="88"/>
      <c r="M798" s="88"/>
      <c r="N798" s="88"/>
      <c r="O798" s="88"/>
      <c r="P798" s="88"/>
      <c r="Q798" s="88"/>
      <c r="R798" s="88"/>
      <c r="S798" s="88"/>
    </row>
    <row r="799" spans="1:19" s="14" customFormat="1" ht="14.1" customHeight="1">
      <c r="A799" s="379"/>
      <c r="B799" s="88"/>
      <c r="C799" s="88"/>
      <c r="D799" s="88"/>
      <c r="E799" s="194"/>
      <c r="F799" s="194"/>
      <c r="G799" s="194"/>
      <c r="H799" s="194"/>
      <c r="J799" s="88"/>
      <c r="K799" s="88"/>
      <c r="L799" s="88"/>
      <c r="M799" s="88"/>
      <c r="N799" s="88"/>
      <c r="O799" s="88"/>
      <c r="P799" s="88"/>
      <c r="Q799" s="88"/>
      <c r="R799" s="88"/>
      <c r="S799" s="88"/>
    </row>
    <row r="800" spans="1:19" s="14" customFormat="1" ht="14.1" customHeight="1">
      <c r="A800" s="379"/>
      <c r="B800" s="88"/>
      <c r="C800" s="88"/>
      <c r="D800" s="88"/>
      <c r="E800" s="194"/>
      <c r="F800" s="194"/>
      <c r="G800" s="194"/>
      <c r="H800" s="194"/>
      <c r="J800" s="88"/>
      <c r="K800" s="88"/>
      <c r="L800" s="88"/>
      <c r="M800" s="88"/>
      <c r="N800" s="88"/>
      <c r="O800" s="88"/>
      <c r="P800" s="88"/>
      <c r="Q800" s="88"/>
      <c r="R800" s="88"/>
      <c r="S800" s="88"/>
    </row>
    <row r="801" spans="1:19" s="14" customFormat="1" ht="14.1" customHeight="1">
      <c r="A801" s="379"/>
      <c r="B801" s="88"/>
      <c r="C801" s="88"/>
      <c r="D801" s="88"/>
      <c r="E801" s="194"/>
      <c r="F801" s="194"/>
      <c r="G801" s="194"/>
      <c r="H801" s="194"/>
      <c r="J801" s="88"/>
      <c r="K801" s="88"/>
      <c r="L801" s="88"/>
      <c r="M801" s="88"/>
      <c r="N801" s="88"/>
      <c r="O801" s="88"/>
      <c r="P801" s="88"/>
      <c r="Q801" s="88"/>
      <c r="R801" s="88"/>
      <c r="S801" s="88"/>
    </row>
    <row r="802" spans="1:19" s="14" customFormat="1" ht="14.1" customHeight="1">
      <c r="A802" s="379"/>
      <c r="B802" s="88"/>
      <c r="C802" s="88"/>
      <c r="D802" s="88"/>
      <c r="E802" s="194"/>
      <c r="F802" s="194"/>
      <c r="G802" s="194"/>
      <c r="H802" s="194"/>
      <c r="J802" s="88"/>
      <c r="K802" s="88"/>
      <c r="L802" s="88"/>
      <c r="M802" s="88"/>
      <c r="N802" s="88"/>
      <c r="O802" s="88"/>
      <c r="P802" s="88"/>
      <c r="Q802" s="88"/>
      <c r="R802" s="88"/>
      <c r="S802" s="88"/>
    </row>
    <row r="803" spans="1:19" s="14" customFormat="1" ht="14.1" customHeight="1">
      <c r="A803" s="379"/>
      <c r="B803" s="88"/>
      <c r="C803" s="88"/>
      <c r="D803" s="88"/>
      <c r="E803" s="194"/>
      <c r="F803" s="194"/>
      <c r="G803" s="194"/>
      <c r="H803" s="194"/>
      <c r="J803" s="88"/>
      <c r="K803" s="88"/>
      <c r="L803" s="88"/>
      <c r="M803" s="88"/>
      <c r="N803" s="88"/>
      <c r="O803" s="88"/>
      <c r="P803" s="88"/>
      <c r="Q803" s="88"/>
      <c r="R803" s="88"/>
      <c r="S803" s="88"/>
    </row>
    <row r="804" spans="1:19" s="14" customFormat="1" ht="14.1" customHeight="1">
      <c r="A804" s="379"/>
      <c r="B804" s="88"/>
      <c r="C804" s="88"/>
      <c r="D804" s="88"/>
      <c r="E804" s="194"/>
      <c r="F804" s="194"/>
      <c r="G804" s="194"/>
      <c r="H804" s="194"/>
      <c r="J804" s="88"/>
      <c r="K804" s="88"/>
      <c r="L804" s="88"/>
      <c r="M804" s="88"/>
      <c r="N804" s="88"/>
      <c r="O804" s="88"/>
      <c r="P804" s="88"/>
      <c r="Q804" s="88"/>
      <c r="R804" s="88"/>
      <c r="S804" s="88"/>
    </row>
    <row r="805" spans="1:19" s="14" customFormat="1" ht="14.1" customHeight="1">
      <c r="A805" s="379"/>
      <c r="B805" s="88"/>
      <c r="C805" s="88"/>
      <c r="D805" s="88"/>
      <c r="E805" s="194"/>
      <c r="F805" s="194"/>
      <c r="G805" s="194"/>
      <c r="H805" s="194"/>
      <c r="J805" s="88"/>
      <c r="K805" s="88"/>
      <c r="L805" s="88"/>
      <c r="M805" s="88"/>
      <c r="N805" s="88"/>
      <c r="O805" s="88"/>
      <c r="P805" s="88"/>
      <c r="Q805" s="88"/>
      <c r="R805" s="88"/>
      <c r="S805" s="88"/>
    </row>
    <row r="806" spans="1:19" s="14" customFormat="1" ht="14.1" customHeight="1">
      <c r="A806" s="379"/>
      <c r="B806" s="88"/>
      <c r="C806" s="88"/>
      <c r="D806" s="88"/>
      <c r="E806" s="194"/>
      <c r="F806" s="194"/>
      <c r="G806" s="194"/>
      <c r="H806" s="194"/>
      <c r="J806" s="88"/>
      <c r="K806" s="88"/>
      <c r="L806" s="88"/>
      <c r="M806" s="88"/>
      <c r="N806" s="88"/>
      <c r="O806" s="88"/>
      <c r="P806" s="88"/>
      <c r="Q806" s="88"/>
      <c r="R806" s="88"/>
      <c r="S806" s="88"/>
    </row>
    <row r="807" spans="1:19" s="14" customFormat="1" ht="14.1" customHeight="1">
      <c r="A807" s="379"/>
      <c r="B807" s="88"/>
      <c r="C807" s="88"/>
      <c r="D807" s="88"/>
      <c r="E807" s="194"/>
      <c r="F807" s="194"/>
      <c r="G807" s="194"/>
      <c r="H807" s="194"/>
      <c r="J807" s="88"/>
      <c r="K807" s="88"/>
      <c r="L807" s="88"/>
      <c r="M807" s="88"/>
      <c r="N807" s="88"/>
      <c r="O807" s="88"/>
      <c r="P807" s="88"/>
      <c r="Q807" s="88"/>
      <c r="R807" s="88"/>
      <c r="S807" s="88"/>
    </row>
    <row r="808" spans="1:19" s="14" customFormat="1" ht="14.1" customHeight="1">
      <c r="A808" s="379"/>
      <c r="B808" s="88"/>
      <c r="C808" s="88"/>
      <c r="D808" s="88"/>
      <c r="E808" s="194"/>
      <c r="F808" s="194"/>
      <c r="G808" s="194"/>
      <c r="H808" s="194"/>
      <c r="J808" s="88"/>
      <c r="K808" s="88"/>
      <c r="L808" s="88"/>
      <c r="M808" s="88"/>
      <c r="N808" s="88"/>
      <c r="O808" s="88"/>
      <c r="P808" s="88"/>
      <c r="Q808" s="88"/>
      <c r="R808" s="88"/>
      <c r="S808" s="88"/>
    </row>
    <row r="809" spans="1:19" s="14" customFormat="1" ht="14.1" customHeight="1">
      <c r="A809" s="379"/>
      <c r="B809" s="88"/>
      <c r="C809" s="88"/>
      <c r="D809" s="88"/>
      <c r="E809" s="194"/>
      <c r="F809" s="194"/>
      <c r="G809" s="194"/>
      <c r="H809" s="194"/>
      <c r="J809" s="88"/>
      <c r="K809" s="88"/>
      <c r="L809" s="88"/>
      <c r="M809" s="88"/>
      <c r="N809" s="88"/>
      <c r="O809" s="88"/>
      <c r="P809" s="88"/>
      <c r="Q809" s="88"/>
      <c r="R809" s="88"/>
      <c r="S809" s="88"/>
    </row>
    <row r="810" spans="1:19" s="14" customFormat="1" ht="14.1" customHeight="1">
      <c r="A810" s="379"/>
      <c r="B810" s="88"/>
      <c r="C810" s="88"/>
      <c r="D810" s="88"/>
      <c r="E810" s="194"/>
      <c r="F810" s="194"/>
      <c r="G810" s="194"/>
      <c r="H810" s="194"/>
      <c r="J810" s="88"/>
      <c r="K810" s="88"/>
      <c r="L810" s="88"/>
      <c r="M810" s="88"/>
      <c r="N810" s="88"/>
      <c r="O810" s="88"/>
      <c r="P810" s="88"/>
      <c r="Q810" s="88"/>
      <c r="R810" s="88"/>
      <c r="S810" s="88"/>
    </row>
    <row r="811" spans="1:19" s="14" customFormat="1" ht="14.1" customHeight="1">
      <c r="A811" s="379"/>
      <c r="B811" s="88"/>
      <c r="C811" s="88"/>
      <c r="D811" s="88"/>
      <c r="E811" s="194"/>
      <c r="F811" s="194"/>
      <c r="G811" s="194"/>
      <c r="H811" s="194"/>
      <c r="J811" s="88"/>
      <c r="K811" s="88"/>
      <c r="L811" s="88"/>
      <c r="M811" s="88"/>
      <c r="N811" s="88"/>
      <c r="O811" s="88"/>
      <c r="P811" s="88"/>
      <c r="Q811" s="88"/>
      <c r="R811" s="88"/>
      <c r="S811" s="88"/>
    </row>
    <row r="812" spans="1:19" s="14" customFormat="1" ht="14.1" customHeight="1">
      <c r="A812" s="379"/>
      <c r="B812" s="88"/>
      <c r="C812" s="88"/>
      <c r="D812" s="88"/>
      <c r="E812" s="194"/>
      <c r="F812" s="194"/>
      <c r="G812" s="194"/>
      <c r="H812" s="194"/>
      <c r="J812" s="88"/>
      <c r="K812" s="88"/>
      <c r="L812" s="88"/>
      <c r="M812" s="88"/>
      <c r="N812" s="88"/>
      <c r="O812" s="88"/>
      <c r="P812" s="88"/>
      <c r="Q812" s="88"/>
      <c r="R812" s="88"/>
      <c r="S812" s="88"/>
    </row>
    <row r="813" spans="1:19" s="14" customFormat="1" ht="14.1" customHeight="1">
      <c r="A813" s="379"/>
      <c r="B813" s="88"/>
      <c r="C813" s="88"/>
      <c r="D813" s="88"/>
      <c r="E813" s="194"/>
      <c r="F813" s="194"/>
      <c r="G813" s="194"/>
      <c r="H813" s="194"/>
      <c r="J813" s="88"/>
      <c r="K813" s="88"/>
      <c r="L813" s="88"/>
      <c r="M813" s="88"/>
      <c r="N813" s="88"/>
      <c r="O813" s="88"/>
      <c r="P813" s="88"/>
      <c r="Q813" s="88"/>
      <c r="R813" s="88"/>
      <c r="S813" s="88"/>
    </row>
    <row r="814" spans="1:19" s="14" customFormat="1" ht="14.1" customHeight="1">
      <c r="A814" s="379"/>
      <c r="B814" s="88"/>
      <c r="C814" s="88"/>
      <c r="D814" s="88"/>
      <c r="E814" s="194"/>
      <c r="F814" s="194"/>
      <c r="G814" s="194"/>
      <c r="H814" s="194"/>
      <c r="J814" s="88"/>
      <c r="K814" s="88"/>
      <c r="L814" s="88"/>
      <c r="M814" s="88"/>
      <c r="N814" s="88"/>
      <c r="O814" s="88"/>
      <c r="P814" s="88"/>
      <c r="Q814" s="88"/>
      <c r="R814" s="88"/>
      <c r="S814" s="88"/>
    </row>
    <row r="815" spans="1:19" s="14" customFormat="1" ht="14.1" customHeight="1">
      <c r="A815" s="379"/>
      <c r="B815" s="88"/>
      <c r="C815" s="88"/>
      <c r="D815" s="88"/>
      <c r="E815" s="194"/>
      <c r="F815" s="194"/>
      <c r="G815" s="194"/>
      <c r="H815" s="194"/>
      <c r="J815" s="88"/>
      <c r="K815" s="88"/>
      <c r="L815" s="88"/>
      <c r="M815" s="88"/>
      <c r="N815" s="88"/>
      <c r="O815" s="88"/>
      <c r="P815" s="88"/>
      <c r="Q815" s="88"/>
      <c r="R815" s="88"/>
      <c r="S815" s="88"/>
    </row>
    <row r="816" spans="1:19" s="14" customFormat="1" ht="14.1" customHeight="1">
      <c r="A816" s="379"/>
      <c r="B816" s="88"/>
      <c r="C816" s="88"/>
      <c r="D816" s="88"/>
      <c r="E816" s="194"/>
      <c r="F816" s="194"/>
      <c r="G816" s="194"/>
      <c r="H816" s="194"/>
      <c r="J816" s="88"/>
      <c r="K816" s="88"/>
      <c r="L816" s="88"/>
      <c r="M816" s="88"/>
      <c r="N816" s="88"/>
      <c r="O816" s="88"/>
      <c r="P816" s="88"/>
      <c r="Q816" s="88"/>
      <c r="R816" s="88"/>
      <c r="S816" s="88"/>
    </row>
    <row r="817" spans="1:19" s="14" customFormat="1" ht="14.1" customHeight="1">
      <c r="A817" s="379"/>
      <c r="B817" s="88"/>
      <c r="C817" s="88"/>
      <c r="D817" s="88"/>
      <c r="E817" s="194"/>
      <c r="F817" s="194"/>
      <c r="G817" s="194"/>
      <c r="H817" s="194"/>
      <c r="J817" s="88"/>
      <c r="K817" s="88"/>
      <c r="L817" s="88"/>
      <c r="M817" s="88"/>
      <c r="N817" s="88"/>
      <c r="O817" s="88"/>
      <c r="P817" s="88"/>
      <c r="Q817" s="88"/>
      <c r="R817" s="88"/>
      <c r="S817" s="88"/>
    </row>
    <row r="818" spans="1:19" s="14" customFormat="1" ht="14.1" customHeight="1">
      <c r="A818" s="379"/>
      <c r="B818" s="88"/>
      <c r="C818" s="88"/>
      <c r="D818" s="88"/>
      <c r="E818" s="194"/>
      <c r="F818" s="194"/>
      <c r="G818" s="194"/>
      <c r="H818" s="194"/>
      <c r="J818" s="88"/>
      <c r="K818" s="88"/>
      <c r="L818" s="88"/>
      <c r="M818" s="88"/>
      <c r="N818" s="88"/>
      <c r="O818" s="88"/>
      <c r="P818" s="88"/>
      <c r="Q818" s="88"/>
      <c r="R818" s="88"/>
      <c r="S818" s="88"/>
    </row>
    <row r="819" spans="1:19" s="14" customFormat="1" ht="14.1" customHeight="1">
      <c r="A819" s="379"/>
      <c r="B819" s="88"/>
      <c r="C819" s="88"/>
      <c r="D819" s="88"/>
      <c r="E819" s="194"/>
      <c r="F819" s="194"/>
      <c r="G819" s="194"/>
      <c r="H819" s="194"/>
      <c r="J819" s="88"/>
      <c r="K819" s="88"/>
      <c r="L819" s="88"/>
      <c r="M819" s="88"/>
      <c r="N819" s="88"/>
      <c r="O819" s="88"/>
      <c r="P819" s="88"/>
      <c r="Q819" s="88"/>
      <c r="R819" s="88"/>
      <c r="S819" s="88"/>
    </row>
    <row r="820" spans="1:19" s="14" customFormat="1" ht="14.1" customHeight="1">
      <c r="A820" s="379"/>
      <c r="B820" s="88"/>
      <c r="C820" s="88"/>
      <c r="D820" s="88"/>
      <c r="E820" s="194"/>
      <c r="F820" s="194"/>
      <c r="G820" s="194"/>
      <c r="H820" s="194"/>
      <c r="J820" s="88"/>
      <c r="K820" s="88"/>
      <c r="L820" s="88"/>
      <c r="M820" s="88"/>
      <c r="N820" s="88"/>
      <c r="O820" s="88"/>
      <c r="P820" s="88"/>
      <c r="Q820" s="88"/>
      <c r="R820" s="88"/>
      <c r="S820" s="88"/>
    </row>
    <row r="821" spans="1:19" s="14" customFormat="1" ht="14.1" customHeight="1">
      <c r="A821" s="379"/>
      <c r="B821" s="88"/>
      <c r="C821" s="88"/>
      <c r="D821" s="88"/>
      <c r="E821" s="194"/>
      <c r="F821" s="194"/>
      <c r="G821" s="194"/>
      <c r="H821" s="194"/>
      <c r="J821" s="88"/>
      <c r="K821" s="88"/>
      <c r="L821" s="88"/>
      <c r="M821" s="88"/>
      <c r="N821" s="88"/>
      <c r="O821" s="88"/>
      <c r="P821" s="88"/>
      <c r="Q821" s="88"/>
      <c r="R821" s="88"/>
      <c r="S821" s="88"/>
    </row>
    <row r="822" spans="1:19" s="14" customFormat="1" ht="14.1" customHeight="1">
      <c r="A822" s="379"/>
      <c r="B822" s="88"/>
      <c r="C822" s="88"/>
      <c r="D822" s="88"/>
      <c r="E822" s="194"/>
      <c r="F822" s="194"/>
      <c r="G822" s="194"/>
      <c r="H822" s="194"/>
      <c r="J822" s="88"/>
      <c r="K822" s="88"/>
      <c r="L822" s="88"/>
      <c r="M822" s="88"/>
      <c r="N822" s="88"/>
      <c r="O822" s="88"/>
      <c r="P822" s="88"/>
      <c r="Q822" s="88"/>
      <c r="R822" s="88"/>
      <c r="S822" s="88"/>
    </row>
    <row r="823" spans="1:19" s="14" customFormat="1" ht="14.1" customHeight="1">
      <c r="A823" s="379"/>
      <c r="B823" s="88"/>
      <c r="C823" s="88"/>
      <c r="D823" s="88"/>
      <c r="E823" s="194"/>
      <c r="F823" s="194"/>
      <c r="G823" s="194"/>
      <c r="H823" s="194"/>
      <c r="J823" s="88"/>
      <c r="K823" s="88"/>
      <c r="L823" s="88"/>
      <c r="M823" s="88"/>
      <c r="N823" s="88"/>
      <c r="O823" s="88"/>
      <c r="P823" s="88"/>
      <c r="Q823" s="88"/>
      <c r="R823" s="88"/>
      <c r="S823" s="88"/>
    </row>
    <row r="824" spans="1:19" s="14" customFormat="1" ht="14.1" customHeight="1">
      <c r="A824" s="379"/>
      <c r="B824" s="88"/>
      <c r="C824" s="88"/>
      <c r="D824" s="88"/>
      <c r="E824" s="194"/>
      <c r="F824" s="194"/>
      <c r="G824" s="194"/>
      <c r="H824" s="194"/>
      <c r="J824" s="88"/>
      <c r="K824" s="88"/>
      <c r="L824" s="88"/>
      <c r="M824" s="88"/>
      <c r="N824" s="88"/>
      <c r="O824" s="88"/>
      <c r="P824" s="88"/>
      <c r="Q824" s="88"/>
      <c r="R824" s="88"/>
      <c r="S824" s="88"/>
    </row>
    <row r="825" spans="1:19" s="14" customFormat="1" ht="14.1" customHeight="1">
      <c r="A825" s="379"/>
      <c r="B825" s="88"/>
      <c r="C825" s="88"/>
      <c r="D825" s="88"/>
      <c r="E825" s="194"/>
      <c r="F825" s="194"/>
      <c r="G825" s="194"/>
      <c r="H825" s="194"/>
      <c r="J825" s="88"/>
      <c r="K825" s="88"/>
      <c r="L825" s="88"/>
      <c r="M825" s="88"/>
      <c r="N825" s="88"/>
      <c r="O825" s="88"/>
      <c r="P825" s="88"/>
      <c r="Q825" s="88"/>
      <c r="R825" s="88"/>
      <c r="S825" s="88"/>
    </row>
    <row r="826" spans="1:19" s="14" customFormat="1" ht="14.1" customHeight="1">
      <c r="A826" s="379"/>
      <c r="B826" s="88"/>
      <c r="C826" s="88"/>
      <c r="D826" s="88"/>
      <c r="E826" s="194"/>
      <c r="F826" s="194"/>
      <c r="G826" s="194"/>
      <c r="H826" s="194"/>
      <c r="J826" s="88"/>
      <c r="K826" s="88"/>
      <c r="L826" s="88"/>
      <c r="M826" s="88"/>
      <c r="N826" s="88"/>
      <c r="O826" s="88"/>
      <c r="P826" s="88"/>
      <c r="Q826" s="88"/>
      <c r="R826" s="88"/>
      <c r="S826" s="88"/>
    </row>
    <row r="827" spans="1:19" s="14" customFormat="1" ht="14.1" customHeight="1">
      <c r="A827" s="379"/>
      <c r="B827" s="88"/>
      <c r="C827" s="88"/>
      <c r="D827" s="88"/>
      <c r="E827" s="194"/>
      <c r="F827" s="194"/>
      <c r="G827" s="194"/>
      <c r="H827" s="194"/>
      <c r="J827" s="88"/>
      <c r="K827" s="88"/>
      <c r="L827" s="88"/>
      <c r="M827" s="88"/>
      <c r="N827" s="88"/>
      <c r="O827" s="88"/>
      <c r="P827" s="88"/>
      <c r="Q827" s="88"/>
      <c r="R827" s="88"/>
      <c r="S827" s="88"/>
    </row>
    <row r="828" spans="1:19" s="14" customFormat="1" ht="14.1" customHeight="1">
      <c r="A828" s="379"/>
      <c r="B828" s="88"/>
      <c r="C828" s="88"/>
      <c r="D828" s="88"/>
      <c r="E828" s="194"/>
      <c r="F828" s="194"/>
      <c r="G828" s="194"/>
      <c r="H828" s="194"/>
      <c r="J828" s="88"/>
      <c r="K828" s="88"/>
      <c r="L828" s="88"/>
      <c r="M828" s="88"/>
      <c r="N828" s="88"/>
      <c r="O828" s="88"/>
      <c r="P828" s="88"/>
      <c r="Q828" s="88"/>
      <c r="R828" s="88"/>
      <c r="S828" s="88"/>
    </row>
    <row r="829" spans="1:19" s="14" customFormat="1" ht="14.1" customHeight="1">
      <c r="A829" s="379"/>
      <c r="B829" s="88"/>
      <c r="C829" s="88"/>
      <c r="D829" s="88"/>
      <c r="E829" s="194"/>
      <c r="F829" s="194"/>
      <c r="G829" s="194"/>
      <c r="H829" s="194"/>
      <c r="J829" s="88"/>
      <c r="K829" s="88"/>
      <c r="L829" s="88"/>
      <c r="M829" s="88"/>
      <c r="N829" s="88"/>
      <c r="O829" s="88"/>
      <c r="P829" s="88"/>
      <c r="Q829" s="88"/>
      <c r="R829" s="88"/>
      <c r="S829" s="88"/>
    </row>
    <row r="830" spans="1:19" s="14" customFormat="1" ht="14.1" customHeight="1">
      <c r="A830" s="379"/>
      <c r="B830" s="88"/>
      <c r="C830" s="88"/>
      <c r="D830" s="88"/>
      <c r="E830" s="194"/>
      <c r="F830" s="194"/>
      <c r="G830" s="194"/>
      <c r="H830" s="194"/>
      <c r="J830" s="88"/>
      <c r="K830" s="88"/>
      <c r="L830" s="88"/>
      <c r="M830" s="88"/>
      <c r="N830" s="88"/>
      <c r="O830" s="88"/>
      <c r="P830" s="88"/>
      <c r="Q830" s="88"/>
      <c r="R830" s="88"/>
      <c r="S830" s="88"/>
    </row>
    <row r="831" spans="1:19" s="14" customFormat="1" ht="14.1" customHeight="1">
      <c r="A831" s="379"/>
      <c r="B831" s="88"/>
      <c r="C831" s="88"/>
      <c r="D831" s="88"/>
      <c r="E831" s="194"/>
      <c r="F831" s="194"/>
      <c r="G831" s="194"/>
      <c r="H831" s="194"/>
      <c r="J831" s="88"/>
      <c r="K831" s="88"/>
      <c r="L831" s="88"/>
      <c r="M831" s="88"/>
      <c r="N831" s="88"/>
      <c r="O831" s="88"/>
      <c r="P831" s="88"/>
      <c r="Q831" s="88"/>
      <c r="R831" s="88"/>
      <c r="S831" s="88"/>
    </row>
    <row r="832" spans="1:19" s="14" customFormat="1" ht="14.1" customHeight="1">
      <c r="A832" s="379"/>
      <c r="B832" s="88"/>
      <c r="C832" s="88"/>
      <c r="D832" s="88"/>
      <c r="E832" s="194"/>
      <c r="F832" s="194"/>
      <c r="G832" s="194"/>
      <c r="H832" s="194"/>
      <c r="J832" s="88"/>
      <c r="K832" s="88"/>
      <c r="L832" s="88"/>
      <c r="M832" s="88"/>
      <c r="N832" s="88"/>
      <c r="O832" s="88"/>
      <c r="P832" s="88"/>
      <c r="Q832" s="88"/>
      <c r="R832" s="88"/>
      <c r="S832" s="88"/>
    </row>
    <row r="833" spans="1:19" s="14" customFormat="1" ht="14.1" customHeight="1">
      <c r="A833" s="379"/>
      <c r="B833" s="88"/>
      <c r="C833" s="88"/>
      <c r="D833" s="88"/>
      <c r="E833" s="194"/>
      <c r="F833" s="194"/>
      <c r="G833" s="194"/>
      <c r="H833" s="194"/>
      <c r="J833" s="88"/>
      <c r="K833" s="88"/>
      <c r="L833" s="88"/>
      <c r="M833" s="88"/>
      <c r="N833" s="88"/>
      <c r="O833" s="88"/>
      <c r="P833" s="88"/>
      <c r="Q833" s="88"/>
      <c r="R833" s="88"/>
      <c r="S833" s="88"/>
    </row>
    <row r="834" spans="1:19" s="14" customFormat="1" ht="14.1" customHeight="1">
      <c r="A834" s="379"/>
      <c r="B834" s="88"/>
      <c r="C834" s="88"/>
      <c r="D834" s="88"/>
      <c r="E834" s="194"/>
      <c r="F834" s="194"/>
      <c r="G834" s="194"/>
      <c r="H834" s="194"/>
      <c r="J834" s="88"/>
      <c r="K834" s="88"/>
      <c r="L834" s="88"/>
      <c r="M834" s="88"/>
      <c r="N834" s="88"/>
      <c r="O834" s="88"/>
      <c r="P834" s="88"/>
      <c r="Q834" s="88"/>
      <c r="R834" s="88"/>
      <c r="S834" s="88"/>
    </row>
    <row r="835" spans="1:19" s="14" customFormat="1" ht="14.1" customHeight="1">
      <c r="A835" s="379"/>
      <c r="B835" s="88"/>
      <c r="C835" s="88"/>
      <c r="D835" s="88"/>
      <c r="E835" s="194"/>
      <c r="F835" s="194"/>
      <c r="G835" s="194"/>
      <c r="H835" s="194"/>
      <c r="J835" s="88"/>
      <c r="K835" s="88"/>
      <c r="L835" s="88"/>
      <c r="M835" s="88"/>
      <c r="N835" s="88"/>
      <c r="O835" s="88"/>
      <c r="P835" s="88"/>
      <c r="Q835" s="88"/>
      <c r="R835" s="88"/>
      <c r="S835" s="88"/>
    </row>
    <row r="836" spans="1:19" s="14" customFormat="1" ht="14.1" customHeight="1">
      <c r="A836" s="379"/>
      <c r="B836" s="88"/>
      <c r="C836" s="88"/>
      <c r="D836" s="88"/>
      <c r="E836" s="194"/>
      <c r="F836" s="194"/>
      <c r="G836" s="194"/>
      <c r="H836" s="194"/>
      <c r="J836" s="88"/>
      <c r="K836" s="88"/>
      <c r="L836" s="88"/>
      <c r="M836" s="88"/>
      <c r="N836" s="88"/>
      <c r="O836" s="88"/>
      <c r="P836" s="88"/>
      <c r="Q836" s="88"/>
      <c r="R836" s="88"/>
      <c r="S836" s="88"/>
    </row>
    <row r="837" spans="1:19" s="14" customFormat="1" ht="14.1" customHeight="1">
      <c r="A837" s="379"/>
      <c r="B837" s="88"/>
      <c r="C837" s="88"/>
      <c r="D837" s="88"/>
      <c r="E837" s="194"/>
      <c r="F837" s="194"/>
      <c r="G837" s="194"/>
      <c r="H837" s="194"/>
      <c r="J837" s="88"/>
      <c r="K837" s="88"/>
      <c r="L837" s="88"/>
      <c r="M837" s="88"/>
      <c r="N837" s="88"/>
      <c r="O837" s="88"/>
      <c r="P837" s="88"/>
      <c r="Q837" s="88"/>
      <c r="R837" s="88"/>
      <c r="S837" s="88"/>
    </row>
    <row r="838" spans="1:19" s="14" customFormat="1" ht="14.1" customHeight="1">
      <c r="A838" s="379"/>
      <c r="B838" s="88"/>
      <c r="C838" s="88"/>
      <c r="D838" s="88"/>
      <c r="E838" s="194"/>
      <c r="F838" s="194"/>
      <c r="G838" s="194"/>
      <c r="H838" s="194"/>
      <c r="J838" s="88"/>
      <c r="K838" s="88"/>
      <c r="L838" s="88"/>
      <c r="M838" s="88"/>
      <c r="N838" s="88"/>
      <c r="O838" s="88"/>
      <c r="P838" s="88"/>
      <c r="Q838" s="88"/>
      <c r="R838" s="88"/>
      <c r="S838" s="88"/>
    </row>
    <row r="839" spans="1:19" s="14" customFormat="1" ht="14.1" customHeight="1">
      <c r="A839" s="379"/>
      <c r="B839" s="88"/>
      <c r="C839" s="88"/>
      <c r="D839" s="88"/>
      <c r="E839" s="194"/>
      <c r="F839" s="194"/>
      <c r="G839" s="194"/>
      <c r="H839" s="194"/>
      <c r="J839" s="88"/>
      <c r="K839" s="88"/>
      <c r="L839" s="88"/>
      <c r="M839" s="88"/>
      <c r="N839" s="88"/>
      <c r="O839" s="88"/>
      <c r="P839" s="88"/>
      <c r="Q839" s="88"/>
      <c r="R839" s="88"/>
      <c r="S839" s="88"/>
    </row>
    <row r="840" spans="1:19" s="14" customFormat="1" ht="14.1" customHeight="1">
      <c r="A840" s="379"/>
      <c r="B840" s="88"/>
      <c r="C840" s="88"/>
      <c r="D840" s="88"/>
      <c r="E840" s="194"/>
      <c r="F840" s="194"/>
      <c r="G840" s="194"/>
      <c r="H840" s="194"/>
      <c r="J840" s="88"/>
      <c r="K840" s="88"/>
      <c r="L840" s="88"/>
      <c r="M840" s="88"/>
      <c r="N840" s="88"/>
      <c r="O840" s="88"/>
      <c r="P840" s="88"/>
      <c r="Q840" s="88"/>
      <c r="R840" s="88"/>
      <c r="S840" s="88"/>
    </row>
    <row r="841" spans="1:19" s="14" customFormat="1" ht="14.1" customHeight="1">
      <c r="A841" s="379"/>
      <c r="B841" s="88"/>
      <c r="C841" s="88"/>
      <c r="D841" s="88"/>
      <c r="E841" s="194"/>
      <c r="F841" s="194"/>
      <c r="G841" s="194"/>
      <c r="H841" s="194"/>
      <c r="J841" s="88"/>
      <c r="K841" s="88"/>
      <c r="L841" s="88"/>
      <c r="M841" s="88"/>
      <c r="N841" s="88"/>
      <c r="O841" s="88"/>
      <c r="P841" s="88"/>
      <c r="Q841" s="88"/>
      <c r="R841" s="88"/>
      <c r="S841" s="88"/>
    </row>
    <row r="842" spans="1:19" s="14" customFormat="1" ht="14.1" customHeight="1">
      <c r="A842" s="379"/>
      <c r="B842" s="88"/>
      <c r="C842" s="88"/>
      <c r="D842" s="88"/>
      <c r="E842" s="194"/>
      <c r="F842" s="194"/>
      <c r="G842" s="194"/>
      <c r="H842" s="194"/>
      <c r="J842" s="88"/>
      <c r="K842" s="88"/>
      <c r="L842" s="88"/>
      <c r="M842" s="88"/>
      <c r="N842" s="88"/>
      <c r="O842" s="88"/>
      <c r="P842" s="88"/>
      <c r="Q842" s="88"/>
      <c r="R842" s="88"/>
      <c r="S842" s="88"/>
    </row>
    <row r="843" spans="1:19" s="14" customFormat="1" ht="14.1" customHeight="1">
      <c r="A843" s="379"/>
      <c r="B843" s="88"/>
      <c r="C843" s="88"/>
      <c r="D843" s="88"/>
      <c r="E843" s="194"/>
      <c r="F843" s="194"/>
      <c r="G843" s="194"/>
      <c r="H843" s="194"/>
      <c r="J843" s="88"/>
      <c r="K843" s="88"/>
      <c r="L843" s="88"/>
      <c r="M843" s="88"/>
      <c r="N843" s="88"/>
      <c r="O843" s="88"/>
      <c r="P843" s="88"/>
      <c r="Q843" s="88"/>
      <c r="R843" s="88"/>
      <c r="S843" s="88"/>
    </row>
    <row r="844" spans="1:19" s="14" customFormat="1" ht="14.1" customHeight="1">
      <c r="A844" s="379"/>
      <c r="B844" s="88"/>
      <c r="C844" s="88"/>
      <c r="D844" s="88"/>
      <c r="E844" s="194"/>
      <c r="F844" s="194"/>
      <c r="G844" s="194"/>
      <c r="H844" s="194"/>
      <c r="J844" s="88"/>
      <c r="K844" s="88"/>
      <c r="L844" s="88"/>
      <c r="M844" s="88"/>
      <c r="N844" s="88"/>
      <c r="O844" s="88"/>
      <c r="P844" s="88"/>
      <c r="Q844" s="88"/>
      <c r="R844" s="88"/>
      <c r="S844" s="88"/>
    </row>
    <row r="845" spans="1:19" s="14" customFormat="1" ht="14.1" customHeight="1">
      <c r="A845" s="379"/>
      <c r="B845" s="88"/>
      <c r="C845" s="88"/>
      <c r="D845" s="88"/>
      <c r="E845" s="194"/>
      <c r="F845" s="194"/>
      <c r="G845" s="194"/>
      <c r="H845" s="194"/>
      <c r="J845" s="88"/>
      <c r="K845" s="88"/>
      <c r="L845" s="88"/>
      <c r="M845" s="88"/>
      <c r="N845" s="88"/>
      <c r="O845" s="88"/>
      <c r="P845" s="88"/>
      <c r="Q845" s="88"/>
      <c r="R845" s="88"/>
      <c r="S845" s="88"/>
    </row>
    <row r="846" spans="1:19" s="14" customFormat="1" ht="14.1" customHeight="1">
      <c r="A846" s="379"/>
      <c r="B846" s="88"/>
      <c r="C846" s="88"/>
      <c r="D846" s="88"/>
      <c r="E846" s="194"/>
      <c r="F846" s="194"/>
      <c r="G846" s="194"/>
      <c r="H846" s="194"/>
      <c r="J846" s="88"/>
      <c r="K846" s="88"/>
      <c r="L846" s="88"/>
      <c r="M846" s="88"/>
      <c r="N846" s="88"/>
      <c r="O846" s="88"/>
      <c r="P846" s="88"/>
      <c r="Q846" s="88"/>
      <c r="R846" s="88"/>
      <c r="S846" s="88"/>
    </row>
    <row r="847" spans="1:19" s="14" customFormat="1" ht="14.1" customHeight="1">
      <c r="A847" s="379"/>
      <c r="B847" s="88"/>
      <c r="C847" s="88"/>
      <c r="D847" s="88"/>
      <c r="E847" s="194"/>
      <c r="F847" s="194"/>
      <c r="G847" s="194"/>
      <c r="H847" s="194"/>
      <c r="J847" s="88"/>
      <c r="K847" s="88"/>
      <c r="L847" s="88"/>
      <c r="M847" s="88"/>
      <c r="N847" s="88"/>
      <c r="O847" s="88"/>
      <c r="P847" s="88"/>
      <c r="Q847" s="88"/>
      <c r="R847" s="88"/>
      <c r="S847" s="88"/>
    </row>
    <row r="848" spans="1:19" s="14" customFormat="1" ht="14.1" customHeight="1">
      <c r="A848" s="379"/>
      <c r="B848" s="88"/>
      <c r="C848" s="88"/>
      <c r="D848" s="88"/>
      <c r="E848" s="194"/>
      <c r="F848" s="194"/>
      <c r="G848" s="194"/>
      <c r="H848" s="194"/>
      <c r="J848" s="88"/>
      <c r="K848" s="88"/>
      <c r="L848" s="88"/>
      <c r="M848" s="88"/>
      <c r="N848" s="88"/>
      <c r="O848" s="88"/>
      <c r="P848" s="88"/>
      <c r="Q848" s="88"/>
      <c r="R848" s="88"/>
      <c r="S848" s="88"/>
    </row>
    <row r="849" spans="1:19" s="14" customFormat="1" ht="14.1" customHeight="1">
      <c r="A849" s="379"/>
      <c r="B849" s="88"/>
      <c r="C849" s="88"/>
      <c r="D849" s="88"/>
      <c r="E849" s="194"/>
      <c r="F849" s="194"/>
      <c r="G849" s="194"/>
      <c r="H849" s="194"/>
      <c r="J849" s="88"/>
      <c r="K849" s="88"/>
      <c r="L849" s="88"/>
      <c r="M849" s="88"/>
      <c r="N849" s="88"/>
      <c r="O849" s="88"/>
      <c r="P849" s="88"/>
      <c r="Q849" s="88"/>
      <c r="R849" s="88"/>
      <c r="S849" s="88"/>
    </row>
    <row r="850" spans="1:19" s="14" customFormat="1" ht="14.1" customHeight="1">
      <c r="A850" s="379"/>
      <c r="B850" s="88"/>
      <c r="C850" s="88"/>
      <c r="D850" s="88"/>
      <c r="E850" s="194"/>
      <c r="F850" s="194"/>
      <c r="G850" s="194"/>
      <c r="H850" s="194"/>
      <c r="J850" s="88"/>
      <c r="K850" s="88"/>
      <c r="L850" s="88"/>
      <c r="M850" s="88"/>
      <c r="N850" s="88"/>
      <c r="O850" s="88"/>
      <c r="P850" s="88"/>
      <c r="Q850" s="88"/>
      <c r="R850" s="88"/>
      <c r="S850" s="88"/>
    </row>
    <row r="851" spans="1:19" s="14" customFormat="1" ht="14.1" customHeight="1">
      <c r="A851" s="379"/>
      <c r="B851" s="88"/>
      <c r="C851" s="88"/>
      <c r="D851" s="88"/>
      <c r="E851" s="194"/>
      <c r="F851" s="194"/>
      <c r="G851" s="194"/>
      <c r="H851" s="194"/>
      <c r="J851" s="88"/>
      <c r="K851" s="88"/>
      <c r="L851" s="88"/>
      <c r="M851" s="88"/>
      <c r="N851" s="88"/>
      <c r="O851" s="88"/>
      <c r="P851" s="88"/>
      <c r="Q851" s="88"/>
      <c r="R851" s="88"/>
      <c r="S851" s="88"/>
    </row>
    <row r="852" spans="1:19" s="14" customFormat="1" ht="14.1" customHeight="1">
      <c r="A852" s="379"/>
      <c r="B852" s="88"/>
      <c r="C852" s="88"/>
      <c r="D852" s="88"/>
      <c r="E852" s="194"/>
      <c r="F852" s="194"/>
      <c r="G852" s="194"/>
      <c r="H852" s="194"/>
      <c r="J852" s="88"/>
      <c r="K852" s="88"/>
      <c r="L852" s="88"/>
      <c r="M852" s="88"/>
      <c r="N852" s="88"/>
      <c r="O852" s="88"/>
      <c r="P852" s="88"/>
      <c r="Q852" s="88"/>
      <c r="R852" s="88"/>
      <c r="S852" s="88"/>
    </row>
    <row r="853" spans="1:19" s="14" customFormat="1" ht="14.1" customHeight="1">
      <c r="A853" s="379"/>
      <c r="B853" s="88"/>
      <c r="C853" s="88"/>
      <c r="D853" s="88"/>
      <c r="E853" s="194"/>
      <c r="F853" s="194"/>
      <c r="G853" s="194"/>
      <c r="H853" s="194"/>
      <c r="J853" s="88"/>
      <c r="K853" s="88"/>
      <c r="L853" s="88"/>
      <c r="M853" s="88"/>
      <c r="N853" s="88"/>
      <c r="O853" s="88"/>
      <c r="P853" s="88"/>
      <c r="Q853" s="88"/>
      <c r="R853" s="88"/>
      <c r="S853" s="88"/>
    </row>
    <row r="854" spans="1:19" s="14" customFormat="1" ht="14.1" customHeight="1">
      <c r="A854" s="379"/>
      <c r="B854" s="88"/>
      <c r="C854" s="88"/>
      <c r="D854" s="88"/>
      <c r="E854" s="194"/>
      <c r="F854" s="194"/>
      <c r="G854" s="194"/>
      <c r="H854" s="194"/>
      <c r="J854" s="88"/>
      <c r="K854" s="88"/>
      <c r="L854" s="88"/>
      <c r="M854" s="88"/>
      <c r="N854" s="88"/>
      <c r="O854" s="88"/>
      <c r="P854" s="88"/>
      <c r="Q854" s="88"/>
      <c r="R854" s="88"/>
      <c r="S854" s="88"/>
    </row>
    <row r="855" spans="1:19" s="14" customFormat="1" ht="14.1" customHeight="1">
      <c r="A855" s="379"/>
      <c r="B855" s="88"/>
      <c r="C855" s="88"/>
      <c r="D855" s="88"/>
      <c r="E855" s="194"/>
      <c r="F855" s="194"/>
      <c r="G855" s="194"/>
      <c r="H855" s="194"/>
      <c r="J855" s="88"/>
      <c r="K855" s="88"/>
      <c r="L855" s="88"/>
      <c r="M855" s="88"/>
      <c r="N855" s="88"/>
      <c r="O855" s="88"/>
      <c r="P855" s="88"/>
      <c r="Q855" s="88"/>
      <c r="R855" s="88"/>
      <c r="S855" s="88"/>
    </row>
    <row r="856" spans="1:19" s="14" customFormat="1" ht="14.1" customHeight="1">
      <c r="A856" s="379"/>
      <c r="B856" s="88"/>
      <c r="C856" s="88"/>
      <c r="D856" s="88"/>
      <c r="E856" s="194"/>
      <c r="F856" s="194"/>
      <c r="G856" s="194"/>
      <c r="H856" s="194"/>
      <c r="J856" s="88"/>
      <c r="K856" s="88"/>
      <c r="L856" s="88"/>
      <c r="M856" s="88"/>
      <c r="N856" s="88"/>
      <c r="O856" s="88"/>
      <c r="P856" s="88"/>
      <c r="Q856" s="88"/>
      <c r="R856" s="88"/>
      <c r="S856" s="88"/>
    </row>
    <row r="857" spans="1:19" s="14" customFormat="1" ht="14.1" customHeight="1">
      <c r="A857" s="379"/>
      <c r="B857" s="88"/>
      <c r="C857" s="88"/>
      <c r="D857" s="88"/>
      <c r="E857" s="194"/>
      <c r="F857" s="194"/>
      <c r="G857" s="194"/>
      <c r="H857" s="194"/>
      <c r="J857" s="88"/>
      <c r="K857" s="88"/>
      <c r="L857" s="88"/>
      <c r="M857" s="88"/>
      <c r="N857" s="88"/>
      <c r="O857" s="88"/>
      <c r="P857" s="88"/>
      <c r="Q857" s="88"/>
      <c r="R857" s="88"/>
      <c r="S857" s="88"/>
    </row>
    <row r="858" spans="1:19" s="14" customFormat="1" ht="14.1" customHeight="1">
      <c r="A858" s="379"/>
      <c r="B858" s="88"/>
      <c r="C858" s="88"/>
      <c r="D858" s="88"/>
      <c r="E858" s="194"/>
      <c r="F858" s="194"/>
      <c r="G858" s="194"/>
      <c r="H858" s="194"/>
      <c r="J858" s="88"/>
      <c r="K858" s="88"/>
      <c r="L858" s="88"/>
      <c r="M858" s="88"/>
      <c r="N858" s="88"/>
      <c r="O858" s="88"/>
      <c r="P858" s="88"/>
      <c r="Q858" s="88"/>
      <c r="R858" s="88"/>
      <c r="S858" s="88"/>
    </row>
    <row r="859" spans="1:19" s="14" customFormat="1" ht="14.1" customHeight="1">
      <c r="A859" s="379"/>
      <c r="B859" s="88"/>
      <c r="C859" s="88"/>
      <c r="D859" s="88"/>
      <c r="E859" s="194"/>
      <c r="F859" s="194"/>
      <c r="G859" s="194"/>
      <c r="H859" s="194"/>
      <c r="J859" s="88"/>
      <c r="K859" s="88"/>
      <c r="L859" s="88"/>
      <c r="M859" s="88"/>
      <c r="N859" s="88"/>
      <c r="O859" s="88"/>
      <c r="P859" s="88"/>
      <c r="Q859" s="88"/>
      <c r="R859" s="88"/>
      <c r="S859" s="88"/>
    </row>
    <row r="860" spans="1:19" s="14" customFormat="1" ht="14.1" customHeight="1">
      <c r="A860" s="379"/>
      <c r="B860" s="88"/>
      <c r="C860" s="88"/>
      <c r="D860" s="88"/>
      <c r="E860" s="194"/>
      <c r="F860" s="194"/>
      <c r="G860" s="194"/>
      <c r="H860" s="194"/>
      <c r="J860" s="88"/>
      <c r="K860" s="88"/>
      <c r="L860" s="88"/>
      <c r="M860" s="88"/>
      <c r="N860" s="88"/>
      <c r="O860" s="88"/>
      <c r="P860" s="88"/>
      <c r="Q860" s="88"/>
      <c r="R860" s="88"/>
      <c r="S860" s="88"/>
    </row>
    <row r="861" spans="1:19" s="14" customFormat="1" ht="14.1" customHeight="1">
      <c r="A861" s="379"/>
      <c r="B861" s="88"/>
      <c r="C861" s="88"/>
      <c r="D861" s="88"/>
      <c r="E861" s="194"/>
      <c r="F861" s="194"/>
      <c r="G861" s="194"/>
      <c r="H861" s="194"/>
      <c r="J861" s="88"/>
      <c r="K861" s="88"/>
      <c r="L861" s="88"/>
      <c r="M861" s="88"/>
      <c r="N861" s="88"/>
      <c r="O861" s="88"/>
      <c r="P861" s="88"/>
      <c r="Q861" s="88"/>
      <c r="R861" s="88"/>
      <c r="S861" s="88"/>
    </row>
    <row r="862" spans="1:19" s="14" customFormat="1" ht="14.1" customHeight="1">
      <c r="A862" s="379"/>
      <c r="B862" s="88"/>
      <c r="C862" s="88"/>
      <c r="D862" s="88"/>
      <c r="E862" s="194"/>
      <c r="F862" s="194"/>
      <c r="G862" s="194"/>
      <c r="H862" s="194"/>
      <c r="J862" s="88"/>
      <c r="K862" s="88"/>
      <c r="L862" s="88"/>
      <c r="M862" s="88"/>
      <c r="N862" s="88"/>
      <c r="O862" s="88"/>
      <c r="P862" s="88"/>
      <c r="Q862" s="88"/>
      <c r="R862" s="88"/>
      <c r="S862" s="88"/>
    </row>
    <row r="863" spans="1:19" s="14" customFormat="1" ht="14.1" customHeight="1">
      <c r="A863" s="379"/>
      <c r="B863" s="88"/>
      <c r="C863" s="88"/>
      <c r="D863" s="88"/>
      <c r="E863" s="194"/>
      <c r="F863" s="194"/>
      <c r="G863" s="194"/>
      <c r="H863" s="194"/>
      <c r="J863" s="88"/>
      <c r="K863" s="88"/>
      <c r="L863" s="88"/>
      <c r="M863" s="88"/>
      <c r="N863" s="88"/>
      <c r="O863" s="88"/>
      <c r="P863" s="88"/>
      <c r="Q863" s="88"/>
      <c r="R863" s="88"/>
      <c r="S863" s="88"/>
    </row>
    <row r="864" spans="1:19" s="14" customFormat="1" ht="14.1" customHeight="1">
      <c r="A864" s="379"/>
      <c r="B864" s="88"/>
      <c r="C864" s="88"/>
      <c r="D864" s="88"/>
      <c r="E864" s="194"/>
      <c r="F864" s="194"/>
      <c r="G864" s="194"/>
      <c r="H864" s="194"/>
      <c r="J864" s="88"/>
      <c r="K864" s="88"/>
      <c r="L864" s="88"/>
      <c r="M864" s="88"/>
      <c r="N864" s="88"/>
      <c r="O864" s="88"/>
      <c r="P864" s="88"/>
      <c r="Q864" s="88"/>
      <c r="R864" s="88"/>
      <c r="S864" s="88"/>
    </row>
    <row r="865" spans="1:19" s="14" customFormat="1" ht="14.1" customHeight="1">
      <c r="A865" s="379"/>
      <c r="B865" s="88"/>
      <c r="C865" s="88"/>
      <c r="D865" s="88"/>
      <c r="E865" s="194"/>
      <c r="F865" s="194"/>
      <c r="G865" s="194"/>
      <c r="H865" s="194"/>
      <c r="J865" s="88"/>
      <c r="K865" s="88"/>
      <c r="L865" s="88"/>
      <c r="M865" s="88"/>
      <c r="N865" s="88"/>
      <c r="O865" s="88"/>
      <c r="P865" s="88"/>
      <c r="Q865" s="88"/>
      <c r="R865" s="88"/>
      <c r="S865" s="88"/>
    </row>
    <row r="866" spans="1:19" s="14" customFormat="1" ht="14.1" customHeight="1">
      <c r="A866" s="379"/>
      <c r="B866" s="88"/>
      <c r="C866" s="88"/>
      <c r="D866" s="88"/>
      <c r="E866" s="194"/>
      <c r="F866" s="194"/>
      <c r="G866" s="194"/>
      <c r="H866" s="194"/>
      <c r="J866" s="88"/>
      <c r="K866" s="88"/>
      <c r="L866" s="88"/>
      <c r="M866" s="88"/>
      <c r="N866" s="88"/>
      <c r="O866" s="88"/>
      <c r="P866" s="88"/>
      <c r="Q866" s="88"/>
      <c r="R866" s="88"/>
      <c r="S866" s="88"/>
    </row>
    <row r="867" spans="1:19" s="14" customFormat="1" ht="14.1" customHeight="1">
      <c r="A867" s="379"/>
      <c r="B867" s="88"/>
      <c r="C867" s="88"/>
      <c r="D867" s="88"/>
      <c r="E867" s="194"/>
      <c r="F867" s="194"/>
      <c r="G867" s="194"/>
      <c r="H867" s="194"/>
      <c r="J867" s="88"/>
      <c r="K867" s="88"/>
      <c r="L867" s="88"/>
      <c r="M867" s="88"/>
      <c r="N867" s="88"/>
      <c r="O867" s="88"/>
      <c r="P867" s="88"/>
      <c r="Q867" s="88"/>
      <c r="R867" s="88"/>
      <c r="S867" s="88"/>
    </row>
    <row r="868" spans="1:19" s="14" customFormat="1" ht="14.1" customHeight="1">
      <c r="A868" s="379"/>
      <c r="B868" s="88"/>
      <c r="C868" s="88"/>
      <c r="D868" s="88"/>
      <c r="E868" s="194"/>
      <c r="F868" s="194"/>
      <c r="G868" s="194"/>
      <c r="H868" s="194"/>
      <c r="J868" s="88"/>
      <c r="K868" s="88"/>
      <c r="L868" s="88"/>
      <c r="M868" s="88"/>
      <c r="N868" s="88"/>
      <c r="O868" s="88"/>
      <c r="P868" s="88"/>
      <c r="Q868" s="88"/>
      <c r="R868" s="88"/>
      <c r="S868" s="88"/>
    </row>
    <row r="869" spans="1:19" s="14" customFormat="1" ht="14.1" customHeight="1">
      <c r="A869" s="379"/>
      <c r="B869" s="88"/>
      <c r="C869" s="88"/>
      <c r="D869" s="88"/>
      <c r="E869" s="194"/>
      <c r="F869" s="194"/>
      <c r="G869" s="194"/>
      <c r="H869" s="194"/>
      <c r="J869" s="88"/>
      <c r="K869" s="88"/>
      <c r="L869" s="88"/>
      <c r="M869" s="88"/>
      <c r="N869" s="88"/>
      <c r="O869" s="88"/>
      <c r="P869" s="88"/>
      <c r="Q869" s="88"/>
      <c r="R869" s="88"/>
      <c r="S869" s="88"/>
    </row>
    <row r="870" spans="1:19" s="14" customFormat="1" ht="14.1" customHeight="1">
      <c r="A870" s="379"/>
      <c r="B870" s="88"/>
      <c r="C870" s="88"/>
      <c r="D870" s="88"/>
      <c r="E870" s="194"/>
      <c r="F870" s="194"/>
      <c r="G870" s="194"/>
      <c r="H870" s="194"/>
      <c r="J870" s="88"/>
      <c r="K870" s="88"/>
      <c r="L870" s="88"/>
      <c r="M870" s="88"/>
      <c r="N870" s="88"/>
      <c r="O870" s="88"/>
      <c r="P870" s="88"/>
      <c r="Q870" s="88"/>
      <c r="R870" s="88"/>
      <c r="S870" s="88"/>
    </row>
    <row r="871" spans="1:19" s="14" customFormat="1" ht="14.1" customHeight="1">
      <c r="A871" s="379"/>
      <c r="B871" s="88"/>
      <c r="C871" s="88"/>
      <c r="D871" s="88"/>
      <c r="E871" s="194"/>
      <c r="F871" s="194"/>
      <c r="G871" s="194"/>
      <c r="H871" s="194"/>
      <c r="J871" s="88"/>
      <c r="K871" s="88"/>
      <c r="L871" s="88"/>
      <c r="M871" s="88"/>
      <c r="N871" s="88"/>
      <c r="O871" s="88"/>
      <c r="P871" s="88"/>
      <c r="Q871" s="88"/>
      <c r="R871" s="88"/>
      <c r="S871" s="88"/>
    </row>
    <row r="872" spans="1:19" s="14" customFormat="1" ht="14.1" customHeight="1">
      <c r="A872" s="379"/>
      <c r="B872" s="88"/>
      <c r="C872" s="88"/>
      <c r="D872" s="88"/>
      <c r="E872" s="194"/>
      <c r="F872" s="194"/>
      <c r="G872" s="194"/>
      <c r="H872" s="194"/>
      <c r="J872" s="88"/>
      <c r="K872" s="88"/>
      <c r="L872" s="88"/>
      <c r="M872" s="88"/>
      <c r="N872" s="88"/>
      <c r="O872" s="88"/>
      <c r="P872" s="88"/>
      <c r="Q872" s="88"/>
      <c r="R872" s="88"/>
      <c r="S872" s="88"/>
    </row>
    <row r="873" spans="1:19" s="14" customFormat="1" ht="14.1" customHeight="1">
      <c r="A873" s="379"/>
      <c r="B873" s="88"/>
      <c r="C873" s="88"/>
      <c r="D873" s="88"/>
      <c r="E873" s="194"/>
      <c r="F873" s="194"/>
      <c r="G873" s="194"/>
      <c r="H873" s="194"/>
      <c r="J873" s="88"/>
      <c r="K873" s="88"/>
      <c r="L873" s="88"/>
      <c r="M873" s="88"/>
      <c r="N873" s="88"/>
      <c r="O873" s="88"/>
      <c r="P873" s="88"/>
      <c r="Q873" s="88"/>
      <c r="R873" s="88"/>
      <c r="S873" s="88"/>
    </row>
    <row r="874" spans="1:19" s="14" customFormat="1" ht="14.1" customHeight="1">
      <c r="A874" s="379"/>
      <c r="B874" s="88"/>
      <c r="C874" s="88"/>
      <c r="D874" s="88"/>
      <c r="E874" s="194"/>
      <c r="F874" s="194"/>
      <c r="G874" s="194"/>
      <c r="H874" s="194"/>
      <c r="J874" s="88"/>
      <c r="K874" s="88"/>
      <c r="L874" s="88"/>
      <c r="M874" s="88"/>
      <c r="N874" s="88"/>
      <c r="O874" s="88"/>
      <c r="P874" s="88"/>
      <c r="Q874" s="88"/>
      <c r="R874" s="88"/>
      <c r="S874" s="88"/>
    </row>
    <row r="875" spans="1:19" s="14" customFormat="1" ht="14.1" customHeight="1">
      <c r="A875" s="379"/>
      <c r="B875" s="88"/>
      <c r="C875" s="88"/>
      <c r="D875" s="88"/>
      <c r="E875" s="194"/>
      <c r="F875" s="194"/>
      <c r="G875" s="194"/>
      <c r="H875" s="194"/>
      <c r="J875" s="88"/>
      <c r="K875" s="88"/>
      <c r="L875" s="88"/>
      <c r="M875" s="88"/>
      <c r="N875" s="88"/>
      <c r="O875" s="88"/>
      <c r="P875" s="88"/>
      <c r="Q875" s="88"/>
      <c r="R875" s="88"/>
      <c r="S875" s="88"/>
    </row>
    <row r="876" spans="1:19" s="14" customFormat="1" ht="14.1" customHeight="1">
      <c r="A876" s="379"/>
      <c r="B876" s="88"/>
      <c r="C876" s="88"/>
      <c r="D876" s="88"/>
      <c r="E876" s="194"/>
      <c r="F876" s="194"/>
      <c r="G876" s="194"/>
      <c r="H876" s="194"/>
      <c r="J876" s="88"/>
      <c r="K876" s="88"/>
      <c r="L876" s="88"/>
      <c r="M876" s="88"/>
      <c r="N876" s="88"/>
      <c r="O876" s="88"/>
      <c r="P876" s="88"/>
      <c r="Q876" s="88"/>
      <c r="R876" s="88"/>
      <c r="S876" s="88"/>
    </row>
    <row r="877" spans="1:19" s="14" customFormat="1" ht="14.1" customHeight="1">
      <c r="A877" s="379"/>
      <c r="B877" s="88"/>
      <c r="C877" s="88"/>
      <c r="D877" s="88"/>
      <c r="E877" s="194"/>
      <c r="F877" s="194"/>
      <c r="G877" s="194"/>
      <c r="H877" s="194"/>
      <c r="J877" s="88"/>
      <c r="K877" s="88"/>
      <c r="L877" s="88"/>
      <c r="M877" s="88"/>
      <c r="N877" s="88"/>
      <c r="O877" s="88"/>
      <c r="P877" s="88"/>
      <c r="Q877" s="88"/>
      <c r="R877" s="88"/>
      <c r="S877" s="88"/>
    </row>
    <row r="878" spans="1:19" s="14" customFormat="1" ht="14.1" customHeight="1">
      <c r="A878" s="379"/>
      <c r="B878" s="88"/>
      <c r="C878" s="88"/>
      <c r="D878" s="88"/>
      <c r="E878" s="194"/>
      <c r="F878" s="194"/>
      <c r="G878" s="194"/>
      <c r="H878" s="194"/>
      <c r="J878" s="88"/>
      <c r="K878" s="88"/>
      <c r="L878" s="88"/>
      <c r="M878" s="88"/>
      <c r="N878" s="88"/>
      <c r="O878" s="88"/>
      <c r="P878" s="88"/>
      <c r="Q878" s="88"/>
      <c r="R878" s="88"/>
      <c r="S878" s="88"/>
    </row>
    <row r="879" spans="1:19" s="14" customFormat="1" ht="14.1" customHeight="1">
      <c r="A879" s="379"/>
      <c r="B879" s="88"/>
      <c r="C879" s="88"/>
      <c r="D879" s="88"/>
      <c r="E879" s="194"/>
      <c r="F879" s="194"/>
      <c r="G879" s="194"/>
      <c r="H879" s="194"/>
      <c r="J879" s="88"/>
      <c r="K879" s="88"/>
      <c r="L879" s="88"/>
      <c r="M879" s="88"/>
      <c r="N879" s="88"/>
      <c r="O879" s="88"/>
      <c r="P879" s="88"/>
      <c r="Q879" s="88"/>
      <c r="R879" s="88"/>
      <c r="S879" s="88"/>
    </row>
    <row r="880" spans="1:19" s="14" customFormat="1" ht="14.1" customHeight="1">
      <c r="A880" s="379"/>
      <c r="B880" s="88"/>
      <c r="C880" s="88"/>
      <c r="D880" s="88"/>
      <c r="E880" s="194"/>
      <c r="F880" s="194"/>
      <c r="G880" s="194"/>
      <c r="H880" s="194"/>
      <c r="J880" s="88"/>
      <c r="K880" s="88"/>
      <c r="L880" s="88"/>
      <c r="M880" s="88"/>
      <c r="N880" s="88"/>
      <c r="O880" s="88"/>
      <c r="P880" s="88"/>
      <c r="Q880" s="88"/>
      <c r="R880" s="88"/>
      <c r="S880" s="88"/>
    </row>
    <row r="881" spans="1:19" s="14" customFormat="1" ht="14.1" customHeight="1">
      <c r="A881" s="379"/>
      <c r="B881" s="88"/>
      <c r="C881" s="88"/>
      <c r="D881" s="88"/>
      <c r="E881" s="194"/>
      <c r="F881" s="194"/>
      <c r="G881" s="194"/>
      <c r="H881" s="194"/>
      <c r="J881" s="88"/>
      <c r="K881" s="88"/>
      <c r="L881" s="88"/>
      <c r="M881" s="88"/>
      <c r="N881" s="88"/>
      <c r="O881" s="88"/>
      <c r="P881" s="88"/>
      <c r="Q881" s="88"/>
      <c r="R881" s="88"/>
      <c r="S881" s="88"/>
    </row>
    <row r="882" spans="1:19" s="14" customFormat="1" ht="14.1" customHeight="1">
      <c r="A882" s="379"/>
      <c r="B882" s="88"/>
      <c r="C882" s="88"/>
      <c r="D882" s="88"/>
      <c r="E882" s="194"/>
      <c r="F882" s="194"/>
      <c r="G882" s="194"/>
      <c r="H882" s="194"/>
      <c r="J882" s="88"/>
      <c r="K882" s="88"/>
      <c r="L882" s="88"/>
      <c r="M882" s="88"/>
      <c r="N882" s="88"/>
      <c r="O882" s="88"/>
      <c r="P882" s="88"/>
      <c r="Q882" s="88"/>
      <c r="R882" s="88"/>
      <c r="S882" s="88"/>
    </row>
    <row r="883" spans="1:19" s="14" customFormat="1" ht="14.1" customHeight="1">
      <c r="A883" s="379"/>
      <c r="B883" s="88"/>
      <c r="C883" s="88"/>
      <c r="D883" s="88"/>
      <c r="E883" s="194"/>
      <c r="F883" s="194"/>
      <c r="G883" s="194"/>
      <c r="H883" s="194"/>
      <c r="J883" s="88"/>
      <c r="K883" s="88"/>
      <c r="L883" s="88"/>
      <c r="M883" s="88"/>
      <c r="N883" s="88"/>
      <c r="O883" s="88"/>
      <c r="P883" s="88"/>
      <c r="Q883" s="88"/>
      <c r="R883" s="88"/>
      <c r="S883" s="88"/>
    </row>
    <row r="884" spans="1:19" s="14" customFormat="1" ht="14.1" customHeight="1">
      <c r="A884" s="379"/>
      <c r="B884" s="88"/>
      <c r="C884" s="88"/>
      <c r="D884" s="88"/>
      <c r="E884" s="194"/>
      <c r="F884" s="194"/>
      <c r="G884" s="194"/>
      <c r="H884" s="194"/>
      <c r="J884" s="88"/>
      <c r="K884" s="88"/>
      <c r="L884" s="88"/>
      <c r="M884" s="88"/>
      <c r="N884" s="88"/>
      <c r="O884" s="88"/>
      <c r="P884" s="88"/>
      <c r="Q884" s="88"/>
      <c r="R884" s="88"/>
      <c r="S884" s="88"/>
    </row>
    <row r="885" spans="1:19" s="14" customFormat="1" ht="14.1" customHeight="1">
      <c r="A885" s="379"/>
      <c r="B885" s="88"/>
      <c r="C885" s="88"/>
      <c r="D885" s="88"/>
      <c r="E885" s="194"/>
      <c r="F885" s="194"/>
      <c r="G885" s="194"/>
      <c r="H885" s="194"/>
      <c r="J885" s="88"/>
      <c r="K885" s="88"/>
      <c r="L885" s="88"/>
      <c r="M885" s="88"/>
      <c r="N885" s="88"/>
      <c r="O885" s="88"/>
      <c r="P885" s="88"/>
      <c r="Q885" s="88"/>
      <c r="R885" s="88"/>
      <c r="S885" s="88"/>
    </row>
    <row r="886" spans="1:19" s="14" customFormat="1" ht="14.1" customHeight="1">
      <c r="A886" s="379"/>
      <c r="B886" s="88"/>
      <c r="C886" s="88"/>
      <c r="D886" s="88"/>
      <c r="E886" s="194"/>
      <c r="F886" s="194"/>
      <c r="G886" s="194"/>
      <c r="H886" s="194"/>
      <c r="J886" s="88"/>
      <c r="K886" s="88"/>
      <c r="L886" s="88"/>
      <c r="M886" s="88"/>
      <c r="N886" s="88"/>
      <c r="O886" s="88"/>
      <c r="P886" s="88"/>
      <c r="Q886" s="88"/>
      <c r="R886" s="88"/>
      <c r="S886" s="88"/>
    </row>
    <row r="887" spans="1:19" s="14" customFormat="1" ht="14.1" customHeight="1">
      <c r="A887" s="379"/>
      <c r="B887" s="88"/>
      <c r="C887" s="88"/>
      <c r="D887" s="88"/>
      <c r="E887" s="194"/>
      <c r="F887" s="194"/>
      <c r="G887" s="194"/>
      <c r="H887" s="194"/>
      <c r="J887" s="88"/>
      <c r="K887" s="88"/>
      <c r="L887" s="88"/>
      <c r="M887" s="88"/>
      <c r="N887" s="88"/>
      <c r="O887" s="88"/>
      <c r="P887" s="88"/>
      <c r="Q887" s="88"/>
      <c r="R887" s="88"/>
      <c r="S887" s="88"/>
    </row>
    <row r="888" spans="1:19" s="14" customFormat="1" ht="14.1" customHeight="1">
      <c r="A888" s="379"/>
      <c r="B888" s="88"/>
      <c r="C888" s="88"/>
      <c r="D888" s="88"/>
      <c r="E888" s="194"/>
      <c r="F888" s="194"/>
      <c r="G888" s="194"/>
      <c r="H888" s="194"/>
      <c r="J888" s="88"/>
      <c r="K888" s="88"/>
      <c r="L888" s="88"/>
      <c r="M888" s="88"/>
      <c r="N888" s="88"/>
      <c r="O888" s="88"/>
      <c r="P888" s="88"/>
      <c r="Q888" s="88"/>
      <c r="R888" s="88"/>
      <c r="S888" s="88"/>
    </row>
    <row r="889" spans="1:19" s="14" customFormat="1" ht="14.1" customHeight="1">
      <c r="A889" s="379"/>
      <c r="B889" s="88"/>
      <c r="C889" s="88"/>
      <c r="D889" s="88"/>
      <c r="E889" s="194"/>
      <c r="F889" s="194"/>
      <c r="G889" s="194"/>
      <c r="H889" s="194"/>
      <c r="J889" s="88"/>
      <c r="K889" s="88"/>
      <c r="L889" s="88"/>
      <c r="M889" s="88"/>
      <c r="N889" s="88"/>
      <c r="O889" s="88"/>
      <c r="P889" s="88"/>
      <c r="Q889" s="88"/>
      <c r="R889" s="88"/>
      <c r="S889" s="88"/>
    </row>
    <row r="890" spans="1:19" s="14" customFormat="1" ht="14.1" customHeight="1">
      <c r="A890" s="379"/>
      <c r="B890" s="88"/>
      <c r="C890" s="88"/>
      <c r="D890" s="88"/>
      <c r="E890" s="194"/>
      <c r="F890" s="194"/>
      <c r="G890" s="194"/>
      <c r="H890" s="194"/>
      <c r="J890" s="88"/>
      <c r="K890" s="88"/>
      <c r="L890" s="88"/>
      <c r="M890" s="88"/>
      <c r="N890" s="88"/>
      <c r="O890" s="88"/>
      <c r="P890" s="88"/>
      <c r="Q890" s="88"/>
      <c r="R890" s="88"/>
      <c r="S890" s="88"/>
    </row>
    <row r="891" spans="1:19" s="14" customFormat="1" ht="14.1" customHeight="1">
      <c r="A891" s="379"/>
      <c r="B891" s="88"/>
      <c r="C891" s="88"/>
      <c r="D891" s="88"/>
      <c r="E891" s="194"/>
      <c r="F891" s="194"/>
      <c r="G891" s="194"/>
      <c r="H891" s="194"/>
      <c r="J891" s="88"/>
      <c r="K891" s="88"/>
      <c r="L891" s="88"/>
      <c r="M891" s="88"/>
      <c r="N891" s="88"/>
      <c r="O891" s="88"/>
      <c r="P891" s="88"/>
      <c r="Q891" s="88"/>
      <c r="R891" s="88"/>
      <c r="S891" s="88"/>
    </row>
    <row r="892" spans="1:19" s="14" customFormat="1" ht="14.1" customHeight="1">
      <c r="A892" s="379"/>
      <c r="B892" s="88"/>
      <c r="C892" s="88"/>
      <c r="D892" s="88"/>
      <c r="E892" s="194"/>
      <c r="F892" s="194"/>
      <c r="G892" s="194"/>
      <c r="H892" s="194"/>
      <c r="J892" s="88"/>
      <c r="K892" s="88"/>
      <c r="L892" s="88"/>
      <c r="M892" s="88"/>
      <c r="N892" s="88"/>
      <c r="O892" s="88"/>
      <c r="P892" s="88"/>
      <c r="Q892" s="88"/>
      <c r="R892" s="88"/>
      <c r="S892" s="88"/>
    </row>
    <row r="893" spans="1:19" s="14" customFormat="1" ht="14.1" customHeight="1">
      <c r="A893" s="379"/>
      <c r="B893" s="88"/>
      <c r="C893" s="88"/>
      <c r="D893" s="88"/>
      <c r="E893" s="194"/>
      <c r="F893" s="194"/>
      <c r="G893" s="194"/>
      <c r="H893" s="194"/>
      <c r="J893" s="88"/>
      <c r="K893" s="88"/>
      <c r="L893" s="88"/>
      <c r="M893" s="88"/>
      <c r="N893" s="88"/>
      <c r="O893" s="88"/>
      <c r="P893" s="88"/>
      <c r="Q893" s="88"/>
      <c r="R893" s="88"/>
      <c r="S893" s="88"/>
    </row>
    <row r="894" spans="1:19" s="14" customFormat="1" ht="14.1" customHeight="1">
      <c r="A894" s="379"/>
      <c r="B894" s="88"/>
      <c r="C894" s="88"/>
      <c r="D894" s="88"/>
      <c r="E894" s="194"/>
      <c r="F894" s="194"/>
      <c r="G894" s="194"/>
      <c r="H894" s="194"/>
      <c r="J894" s="88"/>
      <c r="K894" s="88"/>
      <c r="L894" s="88"/>
      <c r="M894" s="88"/>
      <c r="N894" s="88"/>
      <c r="O894" s="88"/>
      <c r="P894" s="88"/>
      <c r="Q894" s="88"/>
      <c r="R894" s="88"/>
      <c r="S894" s="88"/>
    </row>
    <row r="895" spans="1:19" s="14" customFormat="1" ht="14.1" customHeight="1">
      <c r="A895" s="379"/>
      <c r="B895" s="88"/>
      <c r="C895" s="88"/>
      <c r="D895" s="88"/>
      <c r="E895" s="194"/>
      <c r="F895" s="194"/>
      <c r="G895" s="194"/>
      <c r="H895" s="194"/>
      <c r="J895" s="88"/>
      <c r="K895" s="88"/>
      <c r="L895" s="88"/>
      <c r="M895" s="88"/>
      <c r="N895" s="88"/>
      <c r="O895" s="88"/>
      <c r="P895" s="88"/>
      <c r="Q895" s="88"/>
      <c r="R895" s="88"/>
      <c r="S895" s="88"/>
    </row>
    <row r="896" spans="1:19" s="14" customFormat="1" ht="14.1" customHeight="1">
      <c r="A896" s="379"/>
      <c r="B896" s="88"/>
      <c r="C896" s="88"/>
      <c r="D896" s="88"/>
      <c r="E896" s="194"/>
      <c r="F896" s="194"/>
      <c r="G896" s="194"/>
      <c r="H896" s="194"/>
      <c r="J896" s="88"/>
      <c r="K896" s="88"/>
      <c r="L896" s="88"/>
      <c r="M896" s="88"/>
      <c r="N896" s="88"/>
      <c r="O896" s="88"/>
      <c r="P896" s="88"/>
      <c r="Q896" s="88"/>
      <c r="R896" s="88"/>
      <c r="S896" s="88"/>
    </row>
    <row r="897" spans="1:19" s="14" customFormat="1" ht="14.1" customHeight="1">
      <c r="A897" s="379"/>
      <c r="B897" s="88"/>
      <c r="C897" s="88"/>
      <c r="D897" s="88"/>
      <c r="E897" s="194"/>
      <c r="F897" s="194"/>
      <c r="G897" s="194"/>
      <c r="H897" s="194"/>
      <c r="J897" s="88"/>
      <c r="K897" s="88"/>
      <c r="L897" s="88"/>
      <c r="M897" s="88"/>
      <c r="N897" s="88"/>
      <c r="O897" s="88"/>
      <c r="P897" s="88"/>
      <c r="Q897" s="88"/>
      <c r="R897" s="88"/>
      <c r="S897" s="88"/>
    </row>
    <row r="898" spans="1:19" s="14" customFormat="1" ht="14.1" customHeight="1">
      <c r="A898" s="379"/>
      <c r="B898" s="88"/>
      <c r="C898" s="88"/>
      <c r="D898" s="88"/>
      <c r="E898" s="194"/>
      <c r="F898" s="194"/>
      <c r="G898" s="194"/>
      <c r="H898" s="194"/>
      <c r="J898" s="88"/>
      <c r="K898" s="88"/>
      <c r="L898" s="88"/>
      <c r="M898" s="88"/>
      <c r="N898" s="88"/>
      <c r="O898" s="88"/>
      <c r="P898" s="88"/>
      <c r="Q898" s="88"/>
      <c r="R898" s="88"/>
      <c r="S898" s="88"/>
    </row>
    <row r="899" spans="1:19" s="14" customFormat="1" ht="14.1" customHeight="1">
      <c r="A899" s="379"/>
      <c r="B899" s="88"/>
      <c r="C899" s="88"/>
      <c r="D899" s="88"/>
      <c r="E899" s="194"/>
      <c r="F899" s="194"/>
      <c r="G899" s="194"/>
      <c r="H899" s="194"/>
      <c r="J899" s="88"/>
      <c r="K899" s="88"/>
      <c r="L899" s="88"/>
      <c r="M899" s="88"/>
      <c r="N899" s="88"/>
      <c r="O899" s="88"/>
      <c r="P899" s="88"/>
      <c r="Q899" s="88"/>
      <c r="R899" s="88"/>
      <c r="S899" s="88"/>
    </row>
    <row r="900" spans="1:19" s="14" customFormat="1" ht="14.1" customHeight="1">
      <c r="A900" s="379"/>
      <c r="B900" s="88"/>
      <c r="C900" s="88"/>
      <c r="D900" s="88"/>
      <c r="E900" s="194"/>
      <c r="F900" s="194"/>
      <c r="G900" s="194"/>
      <c r="H900" s="194"/>
      <c r="J900" s="88"/>
      <c r="K900" s="88"/>
      <c r="L900" s="88"/>
      <c r="M900" s="88"/>
      <c r="N900" s="88"/>
      <c r="O900" s="88"/>
      <c r="P900" s="88"/>
      <c r="Q900" s="88"/>
      <c r="R900" s="88"/>
      <c r="S900" s="88"/>
    </row>
    <row r="901" spans="1:19" s="14" customFormat="1" ht="14.1" customHeight="1">
      <c r="A901" s="379"/>
      <c r="B901" s="88"/>
      <c r="C901" s="88"/>
      <c r="D901" s="88"/>
      <c r="E901" s="194"/>
      <c r="F901" s="194"/>
      <c r="G901" s="194"/>
      <c r="H901" s="194"/>
      <c r="J901" s="88"/>
      <c r="K901" s="88"/>
      <c r="L901" s="88"/>
      <c r="M901" s="88"/>
      <c r="N901" s="88"/>
      <c r="O901" s="88"/>
      <c r="P901" s="88"/>
      <c r="Q901" s="88"/>
      <c r="R901" s="88"/>
      <c r="S901" s="88"/>
    </row>
    <row r="902" spans="1:19" s="14" customFormat="1" ht="14.1" customHeight="1">
      <c r="A902" s="379"/>
      <c r="B902" s="88"/>
      <c r="C902" s="88"/>
      <c r="D902" s="88"/>
      <c r="E902" s="194"/>
      <c r="F902" s="194"/>
      <c r="G902" s="194"/>
      <c r="H902" s="194"/>
      <c r="J902" s="88"/>
      <c r="K902" s="88"/>
      <c r="L902" s="88"/>
      <c r="M902" s="88"/>
      <c r="N902" s="88"/>
      <c r="O902" s="88"/>
      <c r="P902" s="88"/>
      <c r="Q902" s="88"/>
      <c r="R902" s="88"/>
      <c r="S902" s="88"/>
    </row>
    <row r="903" spans="1:19" s="14" customFormat="1" ht="14.1" customHeight="1">
      <c r="A903" s="379"/>
      <c r="B903" s="88"/>
      <c r="C903" s="88"/>
      <c r="D903" s="88"/>
      <c r="E903" s="194"/>
      <c r="F903" s="194"/>
      <c r="G903" s="194"/>
      <c r="H903" s="194"/>
      <c r="J903" s="88"/>
      <c r="K903" s="88"/>
      <c r="L903" s="88"/>
      <c r="M903" s="88"/>
      <c r="N903" s="88"/>
      <c r="O903" s="88"/>
      <c r="P903" s="88"/>
      <c r="Q903" s="88"/>
      <c r="R903" s="88"/>
      <c r="S903" s="88"/>
    </row>
    <row r="904" spans="1:19" s="14" customFormat="1" ht="14.1" customHeight="1">
      <c r="A904" s="379"/>
      <c r="B904" s="88"/>
      <c r="C904" s="88"/>
      <c r="D904" s="88"/>
      <c r="E904" s="194"/>
      <c r="F904" s="194"/>
      <c r="G904" s="194"/>
      <c r="H904" s="194"/>
      <c r="J904" s="88"/>
      <c r="K904" s="88"/>
      <c r="L904" s="88"/>
      <c r="M904" s="88"/>
      <c r="N904" s="88"/>
      <c r="O904" s="88"/>
      <c r="P904" s="88"/>
      <c r="Q904" s="88"/>
      <c r="R904" s="88"/>
      <c r="S904" s="88"/>
    </row>
    <row r="905" spans="1:19" s="14" customFormat="1" ht="14.1" customHeight="1">
      <c r="A905" s="379"/>
      <c r="B905" s="88"/>
      <c r="C905" s="88"/>
      <c r="D905" s="88"/>
      <c r="E905" s="194"/>
      <c r="F905" s="194"/>
      <c r="G905" s="194"/>
      <c r="H905" s="194"/>
      <c r="J905" s="88"/>
      <c r="K905" s="88"/>
      <c r="L905" s="88"/>
      <c r="M905" s="88"/>
      <c r="N905" s="88"/>
      <c r="O905" s="88"/>
      <c r="P905" s="88"/>
      <c r="Q905" s="88"/>
      <c r="R905" s="88"/>
      <c r="S905" s="88"/>
    </row>
    <row r="906" spans="1:19" s="14" customFormat="1" ht="14.1" customHeight="1">
      <c r="A906" s="379"/>
      <c r="B906" s="88"/>
      <c r="C906" s="88"/>
      <c r="D906" s="88"/>
      <c r="E906" s="194"/>
      <c r="F906" s="194"/>
      <c r="G906" s="194"/>
      <c r="H906" s="194"/>
      <c r="J906" s="88"/>
      <c r="K906" s="88"/>
      <c r="L906" s="88"/>
      <c r="M906" s="88"/>
      <c r="N906" s="88"/>
      <c r="O906" s="88"/>
      <c r="P906" s="88"/>
      <c r="Q906" s="88"/>
      <c r="R906" s="88"/>
      <c r="S906" s="88"/>
    </row>
    <row r="907" spans="1:19" s="14" customFormat="1" ht="14.1" customHeight="1">
      <c r="A907" s="379"/>
      <c r="B907" s="88"/>
      <c r="C907" s="88"/>
      <c r="D907" s="88"/>
      <c r="E907" s="194"/>
      <c r="F907" s="194"/>
      <c r="G907" s="194"/>
      <c r="H907" s="194"/>
      <c r="J907" s="88"/>
      <c r="K907" s="88"/>
      <c r="L907" s="88"/>
      <c r="M907" s="88"/>
      <c r="N907" s="88"/>
      <c r="O907" s="88"/>
      <c r="P907" s="88"/>
      <c r="Q907" s="88"/>
      <c r="R907" s="88"/>
      <c r="S907" s="88"/>
    </row>
    <row r="908" spans="1:19" s="14" customFormat="1" ht="14.1" customHeight="1">
      <c r="A908" s="379"/>
      <c r="B908" s="88"/>
      <c r="C908" s="88"/>
      <c r="D908" s="88"/>
      <c r="E908" s="194"/>
      <c r="F908" s="194"/>
      <c r="G908" s="194"/>
      <c r="H908" s="194"/>
      <c r="J908" s="88"/>
      <c r="K908" s="88"/>
      <c r="L908" s="88"/>
      <c r="M908" s="88"/>
      <c r="N908" s="88"/>
      <c r="O908" s="88"/>
      <c r="P908" s="88"/>
      <c r="Q908" s="88"/>
      <c r="R908" s="88"/>
      <c r="S908" s="88"/>
    </row>
    <row r="909" spans="1:19" s="14" customFormat="1" ht="14.1" customHeight="1">
      <c r="A909" s="379"/>
      <c r="B909" s="88"/>
      <c r="C909" s="88"/>
      <c r="D909" s="88"/>
      <c r="E909" s="194"/>
      <c r="F909" s="194"/>
      <c r="G909" s="194"/>
      <c r="H909" s="194"/>
      <c r="J909" s="88"/>
      <c r="K909" s="88"/>
      <c r="L909" s="88"/>
      <c r="M909" s="88"/>
      <c r="N909" s="88"/>
      <c r="O909" s="88"/>
      <c r="P909" s="88"/>
      <c r="Q909" s="88"/>
      <c r="R909" s="88"/>
      <c r="S909" s="88"/>
    </row>
    <row r="910" spans="1:19" s="14" customFormat="1" ht="14.1" customHeight="1">
      <c r="A910" s="379"/>
      <c r="B910" s="88"/>
      <c r="C910" s="88"/>
      <c r="D910" s="88"/>
      <c r="E910" s="194"/>
      <c r="F910" s="194"/>
      <c r="G910" s="194"/>
      <c r="H910" s="194"/>
      <c r="J910" s="88"/>
      <c r="K910" s="88"/>
      <c r="L910" s="88"/>
      <c r="M910" s="88"/>
      <c r="N910" s="88"/>
      <c r="O910" s="88"/>
      <c r="P910" s="88"/>
      <c r="Q910" s="88"/>
      <c r="R910" s="88"/>
      <c r="S910" s="88"/>
    </row>
    <row r="911" spans="1:19" s="14" customFormat="1" ht="14.1" customHeight="1">
      <c r="A911" s="379"/>
      <c r="B911" s="88"/>
      <c r="C911" s="88"/>
      <c r="D911" s="88"/>
      <c r="E911" s="194"/>
      <c r="F911" s="194"/>
      <c r="G911" s="194"/>
      <c r="H911" s="194"/>
      <c r="J911" s="88"/>
      <c r="K911" s="88"/>
      <c r="L911" s="88"/>
      <c r="M911" s="88"/>
      <c r="N911" s="88"/>
      <c r="O911" s="88"/>
      <c r="P911" s="88"/>
      <c r="Q911" s="88"/>
      <c r="R911" s="88"/>
      <c r="S911" s="88"/>
    </row>
    <row r="912" spans="1:19" s="14" customFormat="1" ht="14.1" customHeight="1">
      <c r="A912" s="379"/>
      <c r="B912" s="88"/>
      <c r="C912" s="88"/>
      <c r="D912" s="88"/>
      <c r="E912" s="194"/>
      <c r="F912" s="194"/>
      <c r="G912" s="194"/>
      <c r="H912" s="194"/>
      <c r="J912" s="88"/>
      <c r="K912" s="88"/>
      <c r="L912" s="88"/>
      <c r="M912" s="88"/>
      <c r="N912" s="88"/>
      <c r="O912" s="88"/>
      <c r="P912" s="88"/>
      <c r="Q912" s="88"/>
      <c r="R912" s="88"/>
      <c r="S912" s="88"/>
    </row>
    <row r="913" spans="1:19" s="14" customFormat="1" ht="14.1" customHeight="1">
      <c r="A913" s="379"/>
      <c r="B913" s="88"/>
      <c r="C913" s="88"/>
      <c r="D913" s="88"/>
      <c r="E913" s="194"/>
      <c r="F913" s="194"/>
      <c r="G913" s="194"/>
      <c r="H913" s="194"/>
      <c r="J913" s="88"/>
      <c r="K913" s="88"/>
      <c r="L913" s="88"/>
      <c r="M913" s="88"/>
      <c r="N913" s="88"/>
      <c r="O913" s="88"/>
      <c r="P913" s="88"/>
      <c r="Q913" s="88"/>
      <c r="R913" s="88"/>
      <c r="S913" s="88"/>
    </row>
    <row r="914" spans="1:19" s="14" customFormat="1" ht="14.1" customHeight="1">
      <c r="A914" s="379"/>
      <c r="B914" s="88"/>
      <c r="C914" s="88"/>
      <c r="D914" s="88"/>
      <c r="E914" s="194"/>
      <c r="F914" s="194"/>
      <c r="G914" s="194"/>
      <c r="H914" s="194"/>
      <c r="J914" s="88"/>
      <c r="K914" s="88"/>
      <c r="L914" s="88"/>
      <c r="M914" s="88"/>
      <c r="N914" s="88"/>
      <c r="O914" s="88"/>
      <c r="P914" s="88"/>
      <c r="Q914" s="88"/>
      <c r="R914" s="88"/>
      <c r="S914" s="88"/>
    </row>
    <row r="915" spans="1:19" s="14" customFormat="1" ht="14.1" customHeight="1">
      <c r="A915" s="379"/>
      <c r="B915" s="88"/>
      <c r="C915" s="88"/>
      <c r="D915" s="88"/>
      <c r="E915" s="194"/>
      <c r="F915" s="194"/>
      <c r="G915" s="194"/>
      <c r="H915" s="194"/>
      <c r="J915" s="88"/>
      <c r="K915" s="88"/>
      <c r="L915" s="88"/>
      <c r="M915" s="88"/>
      <c r="N915" s="88"/>
      <c r="O915" s="88"/>
      <c r="P915" s="88"/>
      <c r="Q915" s="88"/>
      <c r="R915" s="88"/>
      <c r="S915" s="88"/>
    </row>
    <row r="916" spans="1:19" s="14" customFormat="1" ht="14.1" customHeight="1">
      <c r="A916" s="379"/>
      <c r="B916" s="88"/>
      <c r="C916" s="88"/>
      <c r="D916" s="88"/>
      <c r="E916" s="194"/>
      <c r="F916" s="194"/>
      <c r="G916" s="194"/>
      <c r="H916" s="194"/>
      <c r="J916" s="88"/>
      <c r="K916" s="88"/>
      <c r="L916" s="88"/>
      <c r="M916" s="88"/>
      <c r="N916" s="88"/>
      <c r="O916" s="88"/>
      <c r="P916" s="88"/>
      <c r="Q916" s="88"/>
      <c r="R916" s="88"/>
      <c r="S916" s="88"/>
    </row>
    <row r="917" spans="1:19" s="14" customFormat="1" ht="14.1" customHeight="1">
      <c r="A917" s="379"/>
      <c r="B917" s="88"/>
      <c r="C917" s="88"/>
      <c r="D917" s="88"/>
      <c r="E917" s="194"/>
      <c r="F917" s="194"/>
      <c r="G917" s="194"/>
      <c r="H917" s="194"/>
      <c r="J917" s="88"/>
      <c r="K917" s="88"/>
      <c r="L917" s="88"/>
      <c r="M917" s="88"/>
      <c r="N917" s="88"/>
      <c r="O917" s="88"/>
      <c r="P917" s="88"/>
      <c r="Q917" s="88"/>
      <c r="R917" s="88"/>
      <c r="S917" s="88"/>
    </row>
    <row r="918" spans="1:19" s="14" customFormat="1" ht="14.1" customHeight="1">
      <c r="A918" s="379"/>
      <c r="B918" s="88"/>
      <c r="C918" s="88"/>
      <c r="D918" s="88"/>
      <c r="E918" s="194"/>
      <c r="F918" s="194"/>
      <c r="G918" s="194"/>
      <c r="H918" s="194"/>
      <c r="J918" s="88"/>
      <c r="K918" s="88"/>
      <c r="L918" s="88"/>
      <c r="M918" s="88"/>
      <c r="N918" s="88"/>
      <c r="O918" s="88"/>
      <c r="P918" s="88"/>
      <c r="Q918" s="88"/>
      <c r="R918" s="88"/>
      <c r="S918" s="88"/>
    </row>
    <row r="919" spans="1:19" s="14" customFormat="1" ht="14.1" customHeight="1">
      <c r="A919" s="379"/>
      <c r="B919" s="88"/>
      <c r="C919" s="88"/>
      <c r="D919" s="88"/>
      <c r="E919" s="194"/>
      <c r="F919" s="194"/>
      <c r="G919" s="194"/>
      <c r="H919" s="194"/>
      <c r="J919" s="88"/>
      <c r="K919" s="88"/>
      <c r="L919" s="88"/>
      <c r="M919" s="88"/>
      <c r="N919" s="88"/>
      <c r="O919" s="88"/>
      <c r="P919" s="88"/>
      <c r="Q919" s="88"/>
      <c r="R919" s="88"/>
      <c r="S919" s="88"/>
    </row>
    <row r="920" spans="1:19" s="14" customFormat="1" ht="14.1" customHeight="1">
      <c r="A920" s="379"/>
      <c r="B920" s="88"/>
      <c r="C920" s="88"/>
      <c r="D920" s="88"/>
      <c r="E920" s="194"/>
      <c r="F920" s="194"/>
      <c r="G920" s="194"/>
      <c r="H920" s="194"/>
      <c r="J920" s="88"/>
      <c r="K920" s="88"/>
      <c r="L920" s="88"/>
      <c r="M920" s="88"/>
      <c r="N920" s="88"/>
      <c r="O920" s="88"/>
      <c r="P920" s="88"/>
      <c r="Q920" s="88"/>
      <c r="R920" s="88"/>
      <c r="S920" s="88"/>
    </row>
    <row r="921" spans="1:19" s="14" customFormat="1" ht="14.1" customHeight="1">
      <c r="A921" s="379"/>
      <c r="B921" s="88"/>
      <c r="C921" s="88"/>
      <c r="D921" s="88"/>
      <c r="E921" s="194"/>
      <c r="F921" s="194"/>
      <c r="G921" s="194"/>
      <c r="H921" s="194"/>
      <c r="J921" s="88"/>
      <c r="K921" s="88"/>
      <c r="L921" s="88"/>
      <c r="M921" s="88"/>
      <c r="N921" s="88"/>
      <c r="O921" s="88"/>
      <c r="P921" s="88"/>
      <c r="Q921" s="88"/>
      <c r="R921" s="88"/>
      <c r="S921" s="88"/>
    </row>
    <row r="922" spans="1:19" s="14" customFormat="1" ht="14.1" customHeight="1">
      <c r="A922" s="379"/>
      <c r="B922" s="88"/>
      <c r="C922" s="88"/>
      <c r="D922" s="88"/>
      <c r="E922" s="194"/>
      <c r="F922" s="194"/>
      <c r="G922" s="194"/>
      <c r="H922" s="194"/>
      <c r="J922" s="88"/>
      <c r="K922" s="88"/>
      <c r="L922" s="88"/>
      <c r="M922" s="88"/>
      <c r="N922" s="88"/>
      <c r="O922" s="88"/>
      <c r="P922" s="88"/>
      <c r="Q922" s="88"/>
      <c r="R922" s="88"/>
      <c r="S922" s="88"/>
    </row>
    <row r="923" spans="1:19" s="14" customFormat="1" ht="14.1" customHeight="1">
      <c r="A923" s="379"/>
      <c r="B923" s="88"/>
      <c r="C923" s="88"/>
      <c r="D923" s="88"/>
      <c r="E923" s="194"/>
      <c r="F923" s="194"/>
      <c r="G923" s="194"/>
      <c r="H923" s="194"/>
      <c r="J923" s="88"/>
      <c r="K923" s="88"/>
      <c r="L923" s="88"/>
      <c r="M923" s="88"/>
      <c r="N923" s="88"/>
      <c r="O923" s="88"/>
      <c r="P923" s="88"/>
      <c r="Q923" s="88"/>
      <c r="R923" s="88"/>
      <c r="S923" s="88"/>
    </row>
    <row r="924" spans="1:19" s="14" customFormat="1" ht="14.1" customHeight="1">
      <c r="A924" s="379"/>
      <c r="B924" s="88"/>
      <c r="C924" s="88"/>
      <c r="D924" s="88"/>
      <c r="E924" s="194"/>
      <c r="F924" s="194"/>
      <c r="G924" s="194"/>
      <c r="H924" s="194"/>
      <c r="J924" s="88"/>
      <c r="K924" s="88"/>
      <c r="L924" s="88"/>
      <c r="M924" s="88"/>
      <c r="N924" s="88"/>
      <c r="O924" s="88"/>
      <c r="P924" s="88"/>
      <c r="Q924" s="88"/>
      <c r="R924" s="88"/>
      <c r="S924" s="88"/>
    </row>
    <row r="925" spans="1:19" s="14" customFormat="1" ht="14.1" customHeight="1">
      <c r="A925" s="379"/>
      <c r="B925" s="88"/>
      <c r="C925" s="88"/>
      <c r="D925" s="88"/>
      <c r="E925" s="194"/>
      <c r="F925" s="194"/>
      <c r="G925" s="194"/>
      <c r="H925" s="194"/>
      <c r="J925" s="88"/>
      <c r="K925" s="88"/>
      <c r="L925" s="88"/>
      <c r="M925" s="88"/>
      <c r="N925" s="88"/>
      <c r="O925" s="88"/>
      <c r="P925" s="88"/>
      <c r="Q925" s="88"/>
      <c r="R925" s="88"/>
      <c r="S925" s="88"/>
    </row>
    <row r="926" spans="1:19" s="14" customFormat="1" ht="14.1" customHeight="1">
      <c r="A926" s="379"/>
      <c r="B926" s="88"/>
      <c r="C926" s="88"/>
      <c r="D926" s="88"/>
      <c r="E926" s="194"/>
      <c r="F926" s="194"/>
      <c r="G926" s="194"/>
      <c r="H926" s="194"/>
      <c r="J926" s="88"/>
      <c r="K926" s="88"/>
      <c r="L926" s="88"/>
      <c r="M926" s="88"/>
      <c r="N926" s="88"/>
      <c r="O926" s="88"/>
      <c r="P926" s="88"/>
      <c r="Q926" s="88"/>
      <c r="R926" s="88"/>
      <c r="S926" s="88"/>
    </row>
    <row r="927" spans="1:19" s="14" customFormat="1" ht="14.1" customHeight="1">
      <c r="A927" s="379"/>
      <c r="B927" s="88"/>
      <c r="C927" s="88"/>
      <c r="D927" s="88"/>
      <c r="E927" s="194"/>
      <c r="F927" s="194"/>
      <c r="G927" s="194"/>
      <c r="H927" s="194"/>
      <c r="J927" s="88"/>
      <c r="K927" s="88"/>
      <c r="L927" s="88"/>
      <c r="M927" s="88"/>
      <c r="N927" s="88"/>
      <c r="O927" s="88"/>
      <c r="P927" s="88"/>
      <c r="Q927" s="88"/>
      <c r="R927" s="88"/>
      <c r="S927" s="88"/>
    </row>
    <row r="928" spans="1:19" s="14" customFormat="1" ht="14.1" customHeight="1">
      <c r="A928" s="379"/>
      <c r="B928" s="88"/>
      <c r="C928" s="88"/>
      <c r="D928" s="88"/>
      <c r="E928" s="194"/>
      <c r="F928" s="194"/>
      <c r="G928" s="194"/>
      <c r="H928" s="194"/>
      <c r="J928" s="88"/>
      <c r="K928" s="88"/>
      <c r="L928" s="88"/>
      <c r="M928" s="88"/>
      <c r="N928" s="88"/>
      <c r="O928" s="88"/>
      <c r="P928" s="88"/>
      <c r="Q928" s="88"/>
      <c r="R928" s="88"/>
      <c r="S928" s="88"/>
    </row>
    <row r="929" spans="1:19" s="14" customFormat="1" ht="14.1" customHeight="1">
      <c r="A929" s="379"/>
      <c r="B929" s="88"/>
      <c r="C929" s="88"/>
      <c r="D929" s="88"/>
      <c r="E929" s="194"/>
      <c r="F929" s="194"/>
      <c r="G929" s="194"/>
      <c r="H929" s="194"/>
      <c r="J929" s="88"/>
      <c r="K929" s="88"/>
      <c r="L929" s="88"/>
      <c r="M929" s="88"/>
      <c r="N929" s="88"/>
      <c r="O929" s="88"/>
      <c r="P929" s="88"/>
      <c r="Q929" s="88"/>
      <c r="R929" s="88"/>
      <c r="S929" s="88"/>
    </row>
    <row r="930" spans="1:19" s="14" customFormat="1" ht="14.1" customHeight="1">
      <c r="A930" s="379"/>
      <c r="B930" s="88"/>
      <c r="C930" s="88"/>
      <c r="D930" s="88"/>
      <c r="E930" s="194"/>
      <c r="F930" s="194"/>
      <c r="G930" s="194"/>
      <c r="H930" s="194"/>
      <c r="J930" s="88"/>
      <c r="K930" s="88"/>
      <c r="L930" s="88"/>
      <c r="M930" s="88"/>
      <c r="N930" s="88"/>
      <c r="O930" s="88"/>
      <c r="P930" s="88"/>
      <c r="Q930" s="88"/>
      <c r="R930" s="88"/>
      <c r="S930" s="88"/>
    </row>
    <row r="931" spans="1:19" s="14" customFormat="1" ht="14.1" customHeight="1">
      <c r="A931" s="379"/>
      <c r="B931" s="88"/>
      <c r="C931" s="88"/>
      <c r="D931" s="88"/>
      <c r="E931" s="194"/>
      <c r="F931" s="194"/>
      <c r="G931" s="194"/>
      <c r="H931" s="194"/>
      <c r="J931" s="88"/>
      <c r="K931" s="88"/>
      <c r="L931" s="88"/>
      <c r="M931" s="88"/>
      <c r="N931" s="88"/>
      <c r="O931" s="88"/>
      <c r="P931" s="88"/>
      <c r="Q931" s="88"/>
      <c r="R931" s="88"/>
      <c r="S931" s="88"/>
    </row>
    <row r="932" spans="1:19" s="14" customFormat="1" ht="14.1" customHeight="1">
      <c r="A932" s="379"/>
      <c r="B932" s="88"/>
      <c r="C932" s="88"/>
      <c r="D932" s="88"/>
      <c r="E932" s="194"/>
      <c r="F932" s="194"/>
      <c r="G932" s="194"/>
      <c r="H932" s="194"/>
      <c r="J932" s="88"/>
      <c r="K932" s="88"/>
      <c r="L932" s="88"/>
      <c r="M932" s="88"/>
      <c r="N932" s="88"/>
      <c r="O932" s="88"/>
      <c r="P932" s="88"/>
      <c r="Q932" s="88"/>
      <c r="R932" s="88"/>
      <c r="S932" s="88"/>
    </row>
    <row r="933" spans="1:19" s="14" customFormat="1" ht="14.1" customHeight="1">
      <c r="A933" s="379"/>
      <c r="B933" s="88"/>
      <c r="C933" s="88"/>
      <c r="D933" s="88"/>
      <c r="E933" s="194"/>
      <c r="F933" s="194"/>
      <c r="G933" s="194"/>
      <c r="H933" s="194"/>
      <c r="J933" s="88"/>
      <c r="K933" s="88"/>
      <c r="L933" s="88"/>
      <c r="M933" s="88"/>
      <c r="N933" s="88"/>
      <c r="O933" s="88"/>
      <c r="P933" s="88"/>
      <c r="Q933" s="88"/>
      <c r="R933" s="88"/>
      <c r="S933" s="88"/>
    </row>
    <row r="934" spans="1:19" s="14" customFormat="1" ht="14.1" customHeight="1">
      <c r="A934" s="379"/>
      <c r="B934" s="88"/>
      <c r="C934" s="88"/>
      <c r="D934" s="88"/>
      <c r="E934" s="194"/>
      <c r="F934" s="194"/>
      <c r="G934" s="194"/>
      <c r="H934" s="194"/>
      <c r="J934" s="88"/>
      <c r="K934" s="88"/>
      <c r="L934" s="88"/>
      <c r="M934" s="88"/>
      <c r="N934" s="88"/>
      <c r="O934" s="88"/>
      <c r="P934" s="88"/>
      <c r="Q934" s="88"/>
      <c r="R934" s="88"/>
      <c r="S934" s="88"/>
    </row>
    <row r="935" spans="1:19" s="14" customFormat="1" ht="14.1" customHeight="1">
      <c r="A935" s="379"/>
      <c r="B935" s="88"/>
      <c r="C935" s="88"/>
      <c r="D935" s="88"/>
      <c r="E935" s="194"/>
      <c r="F935" s="194"/>
      <c r="G935" s="194"/>
      <c r="H935" s="194"/>
      <c r="J935" s="88"/>
      <c r="K935" s="88"/>
      <c r="L935" s="88"/>
      <c r="M935" s="88"/>
      <c r="N935" s="88"/>
      <c r="O935" s="88"/>
      <c r="P935" s="88"/>
      <c r="Q935" s="88"/>
      <c r="R935" s="88"/>
      <c r="S935" s="88"/>
    </row>
    <row r="936" spans="1:19" s="14" customFormat="1" ht="14.1" customHeight="1">
      <c r="A936" s="379"/>
      <c r="B936" s="88"/>
      <c r="C936" s="88"/>
      <c r="D936" s="88"/>
      <c r="E936" s="194"/>
      <c r="F936" s="194"/>
      <c r="G936" s="194"/>
      <c r="H936" s="194"/>
      <c r="J936" s="88"/>
      <c r="K936" s="88"/>
      <c r="L936" s="88"/>
      <c r="M936" s="88"/>
      <c r="N936" s="88"/>
      <c r="O936" s="88"/>
      <c r="P936" s="88"/>
      <c r="Q936" s="88"/>
      <c r="R936" s="88"/>
      <c r="S936" s="88"/>
    </row>
  </sheetData>
  <pageMargins left="0.2" right="0.2" top="0.76" bottom="0.38" header="0.5" footer="0.22"/>
  <pageSetup scale="65" fitToHeight="13" orientation="landscape" r:id="rId1"/>
  <headerFooter alignWithMargins="0">
    <oddHeader xml:space="preserve">&amp;C&amp;12KENTUCKY POWER COMPANY
JURISDICTIONAL COST OF SERVICE 
TEST YEAR ENDED FEBRUARY 28, 2017&amp;R&amp;12SECTION V
SCHEDULE 4
</oddHeader>
  </headerFooter>
  <rowBreaks count="1" manualBreakCount="1">
    <brk id="56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03"/>
  <sheetViews>
    <sheetView showGridLines="0" zoomScaleNormal="100" zoomScaleSheetLayoutView="70" workbookViewId="0">
      <pane xSplit="2" ySplit="3" topLeftCell="C32" activePane="bottomRight" state="frozen"/>
      <selection activeCell="G26" sqref="G26"/>
      <selection pane="topRight" activeCell="G26" sqref="G26"/>
      <selection pane="bottomLeft" activeCell="G26" sqref="G26"/>
      <selection pane="bottomRight" activeCell="F43" sqref="F43"/>
    </sheetView>
  </sheetViews>
  <sheetFormatPr defaultColWidth="9.140625" defaultRowHeight="14.1" customHeight="1"/>
  <cols>
    <col min="1" max="1" width="4.7109375" style="379" bestFit="1" customWidth="1"/>
    <col min="2" max="2" width="46" style="88" customWidth="1"/>
    <col min="3" max="3" width="16.7109375" style="88" customWidth="1"/>
    <col min="4" max="4" width="15.7109375" style="88" customWidth="1"/>
    <col min="5" max="5" width="17.42578125" style="88" customWidth="1"/>
    <col min="6" max="6" width="14" style="88" customWidth="1"/>
    <col min="7" max="7" width="19.7109375" style="88" customWidth="1"/>
    <col min="8" max="8" width="24.85546875" style="88" customWidth="1"/>
    <col min="9" max="9" width="13.7109375" style="88" customWidth="1"/>
    <col min="10" max="11" width="14" style="88" customWidth="1"/>
    <col min="12" max="12" width="13.42578125" style="88" customWidth="1"/>
    <col min="13" max="13" width="12" style="88" customWidth="1"/>
    <col min="14" max="14" width="16.140625" style="88" customWidth="1"/>
    <col min="15" max="15" width="12.85546875" style="88" customWidth="1"/>
    <col min="16" max="16" width="13" style="88" customWidth="1"/>
    <col min="17" max="17" width="12.85546875" style="88" customWidth="1"/>
    <col min="18" max="18" width="15.42578125" style="88" customWidth="1"/>
    <col min="19" max="19" width="14.42578125" style="88" customWidth="1"/>
    <col min="20" max="20" width="13" style="88" customWidth="1"/>
    <col min="21" max="21" width="16.42578125" style="88" customWidth="1"/>
    <col min="22" max="22" width="12.5703125" style="88" customWidth="1"/>
    <col min="23" max="23" width="13.85546875" style="88" customWidth="1"/>
    <col min="24" max="24" width="16.140625" style="88" customWidth="1"/>
    <col min="25" max="25" width="14" style="88" customWidth="1"/>
    <col min="26" max="27" width="12.5703125" style="88" customWidth="1"/>
    <col min="28" max="28" width="14.42578125" style="88" customWidth="1"/>
    <col min="29" max="29" width="16.140625" style="88" customWidth="1"/>
    <col min="30" max="30" width="17.42578125" style="88" customWidth="1"/>
    <col min="31" max="31" width="14.28515625" style="88" customWidth="1"/>
    <col min="32" max="32" width="19.5703125" style="88" customWidth="1"/>
    <col min="33" max="33" width="15.140625" style="88" customWidth="1"/>
    <col min="34" max="34" width="14.42578125" style="88" customWidth="1"/>
    <col min="35" max="35" width="14.28515625" style="88" customWidth="1"/>
    <col min="36" max="36" width="14.85546875" style="88" customWidth="1"/>
    <col min="37" max="38" width="14.42578125" style="88" customWidth="1"/>
    <col min="39" max="39" width="20.42578125" style="88" customWidth="1"/>
    <col min="40" max="40" width="14.140625" style="88" customWidth="1"/>
    <col min="41" max="41" width="16.140625" style="88" customWidth="1"/>
    <col min="42" max="42" width="14.28515625" style="88" customWidth="1"/>
    <col min="43" max="43" width="15.42578125" style="88" customWidth="1"/>
    <col min="44" max="51" width="14.28515625" style="88" customWidth="1"/>
    <col min="52" max="52" width="13.85546875" style="88" customWidth="1"/>
    <col min="53" max="53" width="10.85546875" style="88" customWidth="1"/>
    <col min="54" max="54" width="14.7109375" style="88" customWidth="1"/>
    <col min="55" max="55" width="14.28515625" style="88" customWidth="1"/>
    <col min="56" max="56" width="15.5703125" style="88" customWidth="1"/>
    <col min="57" max="64" width="14.28515625" style="88" customWidth="1"/>
    <col min="65" max="16384" width="9.140625" style="88"/>
  </cols>
  <sheetData>
    <row r="1" spans="1:64" ht="14.1" customHeight="1">
      <c r="M1" s="205"/>
      <c r="P1" s="38"/>
      <c r="Q1" s="38"/>
      <c r="AB1" s="205"/>
      <c r="AL1" s="205"/>
    </row>
    <row r="2" spans="1:64" ht="14.1" customHeight="1">
      <c r="A2" s="379" t="s">
        <v>2</v>
      </c>
      <c r="D2" s="379">
        <f>C2+1</f>
        <v>1</v>
      </c>
      <c r="E2" s="379">
        <f>D2+1</f>
        <v>2</v>
      </c>
      <c r="F2" s="379">
        <f>E2+1</f>
        <v>3</v>
      </c>
      <c r="G2" s="379">
        <f t="shared" ref="G2:H2" si="0">F2+1</f>
        <v>4</v>
      </c>
      <c r="H2" s="379">
        <f t="shared" si="0"/>
        <v>5</v>
      </c>
      <c r="I2" s="379">
        <f t="shared" ref="I2" si="1">H2+1</f>
        <v>6</v>
      </c>
      <c r="J2" s="379">
        <f t="shared" ref="J2" si="2">I2+1</f>
        <v>7</v>
      </c>
      <c r="K2" s="379">
        <f t="shared" ref="K2" si="3">J2+1</f>
        <v>8</v>
      </c>
      <c r="L2" s="379">
        <f t="shared" ref="L2" si="4">K2+1</f>
        <v>9</v>
      </c>
      <c r="M2" s="379">
        <f t="shared" ref="M2" si="5">L2+1</f>
        <v>10</v>
      </c>
      <c r="N2" s="379">
        <f t="shared" ref="N2" si="6">M2+1</f>
        <v>11</v>
      </c>
      <c r="O2" s="379">
        <f t="shared" ref="O2" si="7">N2+1</f>
        <v>12</v>
      </c>
      <c r="P2" s="379">
        <f t="shared" ref="P2" si="8">O2+1</f>
        <v>13</v>
      </c>
      <c r="Q2" s="379">
        <f t="shared" ref="Q2" si="9">P2+1</f>
        <v>14</v>
      </c>
      <c r="R2" s="379">
        <f t="shared" ref="R2" si="10">Q2+1</f>
        <v>15</v>
      </c>
      <c r="S2" s="379">
        <f t="shared" ref="S2" si="11">R2+1</f>
        <v>16</v>
      </c>
      <c r="T2" s="379">
        <f t="shared" ref="T2" si="12">S2+1</f>
        <v>17</v>
      </c>
      <c r="U2" s="379">
        <f t="shared" ref="U2" si="13">T2+1</f>
        <v>18</v>
      </c>
      <c r="V2" s="379">
        <f t="shared" ref="V2" si="14">U2+1</f>
        <v>19</v>
      </c>
      <c r="W2" s="379">
        <f t="shared" ref="W2" si="15">V2+1</f>
        <v>20</v>
      </c>
      <c r="X2" s="379">
        <f t="shared" ref="X2" si="16">W2+1</f>
        <v>21</v>
      </c>
      <c r="Y2" s="379">
        <f t="shared" ref="Y2" si="17">X2+1</f>
        <v>22</v>
      </c>
      <c r="Z2" s="379">
        <f t="shared" ref="Z2" si="18">Y2+1</f>
        <v>23</v>
      </c>
      <c r="AA2" s="379">
        <f t="shared" ref="AA2" si="19">Z2+1</f>
        <v>24</v>
      </c>
      <c r="AB2" s="379">
        <f t="shared" ref="AB2" si="20">AA2+1</f>
        <v>25</v>
      </c>
      <c r="AC2" s="379">
        <f t="shared" ref="AC2" si="21">AB2+1</f>
        <v>26</v>
      </c>
      <c r="AD2" s="379" t="s">
        <v>1036</v>
      </c>
      <c r="AE2" s="379">
        <v>34</v>
      </c>
      <c r="AF2" s="379">
        <f>AE2+1</f>
        <v>35</v>
      </c>
      <c r="AG2" s="379">
        <f>AF2+1</f>
        <v>36</v>
      </c>
      <c r="AH2" s="379">
        <f t="shared" ref="AH2" si="22">AG2+1</f>
        <v>37</v>
      </c>
      <c r="AI2" s="379">
        <f t="shared" ref="AI2" si="23">AH2+1</f>
        <v>38</v>
      </c>
      <c r="AJ2" s="379">
        <f t="shared" ref="AJ2" si="24">AI2+1</f>
        <v>39</v>
      </c>
      <c r="AK2" s="379">
        <f t="shared" ref="AK2" si="25">AJ2+1</f>
        <v>40</v>
      </c>
      <c r="AL2" s="379">
        <f t="shared" ref="AL2" si="26">AK2+1</f>
        <v>41</v>
      </c>
      <c r="AM2" s="379">
        <f t="shared" ref="AM2" si="27">AL2+1</f>
        <v>42</v>
      </c>
      <c r="AN2" s="379">
        <f t="shared" ref="AN2" si="28">AM2+1</f>
        <v>43</v>
      </c>
      <c r="AO2" s="379">
        <f t="shared" ref="AO2" si="29">AN2+1</f>
        <v>44</v>
      </c>
      <c r="AP2" s="379">
        <f t="shared" ref="AP2" si="30">AO2+1</f>
        <v>45</v>
      </c>
      <c r="AQ2" s="379">
        <f t="shared" ref="AQ2" si="31">AP2+1</f>
        <v>46</v>
      </c>
      <c r="AR2" s="379">
        <f t="shared" ref="AR2" si="32">AQ2+1</f>
        <v>47</v>
      </c>
      <c r="AS2" s="379">
        <f t="shared" ref="AS2" si="33">AR2+1</f>
        <v>48</v>
      </c>
      <c r="AT2" s="379">
        <f t="shared" ref="AT2:BI2" si="34">AS2+1</f>
        <v>49</v>
      </c>
      <c r="AU2" s="379">
        <f t="shared" si="34"/>
        <v>50</v>
      </c>
      <c r="AV2" s="379">
        <f t="shared" si="34"/>
        <v>51</v>
      </c>
      <c r="AW2" s="379">
        <f t="shared" si="34"/>
        <v>52</v>
      </c>
      <c r="AX2" s="379">
        <f t="shared" si="34"/>
        <v>53</v>
      </c>
      <c r="AY2" s="379">
        <f t="shared" si="34"/>
        <v>54</v>
      </c>
      <c r="AZ2" s="379">
        <f t="shared" si="34"/>
        <v>55</v>
      </c>
      <c r="BA2" s="379">
        <f t="shared" si="34"/>
        <v>56</v>
      </c>
      <c r="BB2" s="379">
        <f t="shared" si="34"/>
        <v>57</v>
      </c>
      <c r="BC2" s="379">
        <f t="shared" si="34"/>
        <v>58</v>
      </c>
      <c r="BD2" s="379">
        <f t="shared" si="34"/>
        <v>59</v>
      </c>
      <c r="BE2" s="379">
        <f t="shared" si="34"/>
        <v>60</v>
      </c>
      <c r="BF2" s="379">
        <f t="shared" si="34"/>
        <v>61</v>
      </c>
      <c r="BG2" s="379">
        <f t="shared" si="34"/>
        <v>62</v>
      </c>
      <c r="BH2" s="379">
        <f t="shared" si="34"/>
        <v>63</v>
      </c>
      <c r="BI2" s="379">
        <f t="shared" si="34"/>
        <v>64</v>
      </c>
      <c r="BJ2" s="379">
        <f t="shared" ref="BJ2" si="35">BI2+1</f>
        <v>65</v>
      </c>
      <c r="BK2" s="379">
        <f t="shared" ref="BK2" si="36">BJ2+1</f>
        <v>66</v>
      </c>
      <c r="BL2" s="379">
        <f t="shared" ref="BL2" si="37">BK2+1</f>
        <v>67</v>
      </c>
    </row>
    <row r="3" spans="1:64" s="3" customFormat="1" ht="79.150000000000006" customHeight="1">
      <c r="A3" s="331" t="s">
        <v>6</v>
      </c>
      <c r="B3" s="331" t="s">
        <v>7</v>
      </c>
      <c r="C3" s="331"/>
      <c r="D3" s="332" t="s">
        <v>386</v>
      </c>
      <c r="E3" s="332" t="s">
        <v>910</v>
      </c>
      <c r="F3" s="332" t="s">
        <v>908</v>
      </c>
      <c r="G3" s="332" t="s">
        <v>913</v>
      </c>
      <c r="H3" s="332" t="s">
        <v>914</v>
      </c>
      <c r="I3" s="332" t="s">
        <v>900</v>
      </c>
      <c r="J3" s="332" t="s">
        <v>905</v>
      </c>
      <c r="K3" s="332" t="s">
        <v>1034</v>
      </c>
      <c r="L3" s="384" t="s">
        <v>892</v>
      </c>
      <c r="M3" s="332" t="s">
        <v>893</v>
      </c>
      <c r="N3" s="332" t="s">
        <v>894</v>
      </c>
      <c r="O3" s="384" t="s">
        <v>1032</v>
      </c>
      <c r="P3" s="384" t="s">
        <v>392</v>
      </c>
      <c r="Q3" s="332" t="s">
        <v>804</v>
      </c>
      <c r="R3" s="332" t="s">
        <v>901</v>
      </c>
      <c r="S3" s="332" t="s">
        <v>1035</v>
      </c>
      <c r="T3" s="332" t="s">
        <v>1001</v>
      </c>
      <c r="U3" s="384" t="s">
        <v>389</v>
      </c>
      <c r="V3" s="384" t="s">
        <v>785</v>
      </c>
      <c r="W3" s="384" t="s">
        <v>802</v>
      </c>
      <c r="X3" s="332" t="s">
        <v>895</v>
      </c>
      <c r="Y3" s="332" t="s">
        <v>896</v>
      </c>
      <c r="Z3" s="384" t="s">
        <v>903</v>
      </c>
      <c r="AA3" s="384" t="s">
        <v>904</v>
      </c>
      <c r="AB3" s="384" t="s">
        <v>906</v>
      </c>
      <c r="AC3" s="332" t="s">
        <v>897</v>
      </c>
      <c r="AD3" s="332" t="s">
        <v>898</v>
      </c>
      <c r="AE3" s="332" t="s">
        <v>902</v>
      </c>
      <c r="AF3" s="332" t="s">
        <v>909</v>
      </c>
      <c r="AG3" s="332" t="s">
        <v>899</v>
      </c>
      <c r="AH3" s="332" t="s">
        <v>803</v>
      </c>
      <c r="AI3" s="332" t="s">
        <v>385</v>
      </c>
      <c r="AJ3" s="384" t="s">
        <v>391</v>
      </c>
      <c r="AK3" s="332" t="s">
        <v>397</v>
      </c>
      <c r="AL3" s="384" t="s">
        <v>398</v>
      </c>
      <c r="AM3" s="332" t="s">
        <v>911</v>
      </c>
      <c r="AN3" s="332" t="s">
        <v>919</v>
      </c>
      <c r="AO3" s="332" t="s">
        <v>1033</v>
      </c>
      <c r="AP3" s="332" t="s">
        <v>1022</v>
      </c>
      <c r="AQ3" s="332" t="s">
        <v>1010</v>
      </c>
      <c r="AR3" s="332" t="s">
        <v>1011</v>
      </c>
      <c r="AS3" s="332" t="s">
        <v>1012</v>
      </c>
      <c r="AT3" s="332" t="s">
        <v>1013</v>
      </c>
      <c r="AU3" s="332" t="s">
        <v>1014</v>
      </c>
      <c r="AV3" s="332" t="s">
        <v>1015</v>
      </c>
      <c r="AW3" s="332" t="s">
        <v>1016</v>
      </c>
      <c r="AX3" s="332" t="s">
        <v>1017</v>
      </c>
      <c r="AY3" s="332" t="s">
        <v>1018</v>
      </c>
      <c r="AZ3" s="332" t="s">
        <v>930</v>
      </c>
      <c r="BA3" s="332" t="s">
        <v>1003</v>
      </c>
      <c r="BB3" s="332" t="s">
        <v>1004</v>
      </c>
      <c r="BC3" s="332" t="s">
        <v>1023</v>
      </c>
      <c r="BD3" s="332" t="s">
        <v>1031</v>
      </c>
      <c r="BE3" s="332" t="s">
        <v>1019</v>
      </c>
      <c r="BF3" s="332" t="s">
        <v>1020</v>
      </c>
      <c r="BG3" s="332" t="s">
        <v>1021</v>
      </c>
      <c r="BH3" s="332" t="s">
        <v>1037</v>
      </c>
      <c r="BI3" s="332" t="s">
        <v>1059</v>
      </c>
      <c r="BJ3" s="332"/>
      <c r="BK3" s="332"/>
      <c r="BL3" s="332"/>
    </row>
    <row r="4" spans="1:64" s="379" customFormat="1" ht="14.1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64" s="379" customFormat="1" ht="14.1" customHeight="1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64" ht="13.5" customHeight="1"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ht="14.1" customHeight="1">
      <c r="A7" s="379">
        <v>1</v>
      </c>
      <c r="B7" s="88" t="s">
        <v>319</v>
      </c>
      <c r="C7" s="38">
        <f>SUM(D7:BI7)</f>
        <v>-55835125.472561792</v>
      </c>
      <c r="D7" s="10">
        <f t="shared" ref="D7:E9" si="38">D251</f>
        <v>-6200000</v>
      </c>
      <c r="E7" s="10">
        <f t="shared" si="38"/>
        <v>-21011102</v>
      </c>
      <c r="F7" s="10">
        <f t="shared" ref="F7:H9" si="39">F251</f>
        <v>0</v>
      </c>
      <c r="G7" s="10">
        <f t="shared" si="39"/>
        <v>0</v>
      </c>
      <c r="H7" s="252">
        <f t="shared" ref="H7:J9" si="40">H251</f>
        <v>-28786650.5725618</v>
      </c>
      <c r="I7" s="252">
        <f t="shared" si="40"/>
        <v>3204660</v>
      </c>
      <c r="J7" s="10">
        <f t="shared" si="40"/>
        <v>-309086</v>
      </c>
      <c r="K7" s="10">
        <f>K251</f>
        <v>2098615</v>
      </c>
      <c r="L7" s="10">
        <f t="shared" ref="L7:Y7" si="41">L251</f>
        <v>0</v>
      </c>
      <c r="M7" s="10">
        <f t="shared" si="41"/>
        <v>-482478</v>
      </c>
      <c r="N7" s="10">
        <f t="shared" si="41"/>
        <v>-370224</v>
      </c>
      <c r="O7" s="10">
        <f t="shared" si="41"/>
        <v>-9504100</v>
      </c>
      <c r="P7" s="10">
        <f t="shared" si="41"/>
        <v>-14546115</v>
      </c>
      <c r="Q7" s="10">
        <f t="shared" si="41"/>
        <v>4254356</v>
      </c>
      <c r="R7" s="10">
        <f t="shared" si="41"/>
        <v>0</v>
      </c>
      <c r="S7" s="10">
        <f t="shared" si="41"/>
        <v>0</v>
      </c>
      <c r="T7" s="10">
        <f>T251</f>
        <v>0</v>
      </c>
      <c r="U7" s="10">
        <f t="shared" si="41"/>
        <v>0</v>
      </c>
      <c r="V7" s="10">
        <f t="shared" si="41"/>
        <v>0</v>
      </c>
      <c r="W7" s="10">
        <f t="shared" si="41"/>
        <v>0</v>
      </c>
      <c r="X7" s="10">
        <f t="shared" si="41"/>
        <v>0</v>
      </c>
      <c r="Y7" s="10">
        <f t="shared" si="41"/>
        <v>0</v>
      </c>
      <c r="Z7" s="10">
        <f t="shared" ref="Z7:Z9" si="42">Z251</f>
        <v>0</v>
      </c>
      <c r="AA7" s="10">
        <f t="shared" ref="AA7:AB9" si="43">AA251</f>
        <v>0</v>
      </c>
      <c r="AB7" s="10">
        <f t="shared" si="43"/>
        <v>0</v>
      </c>
      <c r="AC7" s="10">
        <f t="shared" ref="AC7:AD9" si="44">AC251</f>
        <v>0</v>
      </c>
      <c r="AD7" s="10">
        <f t="shared" si="44"/>
        <v>0</v>
      </c>
      <c r="AE7" s="10">
        <f>AE251</f>
        <v>0</v>
      </c>
      <c r="AF7" s="10">
        <f t="shared" ref="AF7:AL7" si="45">AF251</f>
        <v>0</v>
      </c>
      <c r="AG7" s="10">
        <f t="shared" si="45"/>
        <v>0</v>
      </c>
      <c r="AH7" s="10">
        <f t="shared" si="45"/>
        <v>0</v>
      </c>
      <c r="AI7" s="10">
        <f t="shared" si="45"/>
        <v>0</v>
      </c>
      <c r="AJ7" s="10">
        <f t="shared" si="45"/>
        <v>0</v>
      </c>
      <c r="AK7" s="10">
        <f t="shared" si="45"/>
        <v>0</v>
      </c>
      <c r="AL7" s="10">
        <f t="shared" si="45"/>
        <v>0</v>
      </c>
      <c r="AM7" s="10">
        <f t="shared" ref="AM7:AM9" si="46">AM251</f>
        <v>0</v>
      </c>
      <c r="AN7" s="10">
        <f>AN251</f>
        <v>-214197.6</v>
      </c>
      <c r="AO7" s="10">
        <f>AO251</f>
        <v>630046</v>
      </c>
      <c r="AP7" s="10">
        <f t="shared" ref="AP7" si="47">AP251</f>
        <v>0</v>
      </c>
      <c r="AQ7" s="10">
        <f t="shared" ref="AQ7:AR9" si="48">AQ251</f>
        <v>0</v>
      </c>
      <c r="AR7" s="10">
        <f t="shared" si="48"/>
        <v>0</v>
      </c>
      <c r="AS7" s="10">
        <f t="shared" ref="AS7:AY7" si="49">AS251</f>
        <v>0</v>
      </c>
      <c r="AT7" s="10">
        <f t="shared" si="49"/>
        <v>0</v>
      </c>
      <c r="AU7" s="10">
        <f>AU251</f>
        <v>0</v>
      </c>
      <c r="AV7" s="10">
        <f t="shared" si="49"/>
        <v>0</v>
      </c>
      <c r="AW7" s="10">
        <f t="shared" si="49"/>
        <v>0</v>
      </c>
      <c r="AX7" s="10">
        <f t="shared" si="49"/>
        <v>0</v>
      </c>
      <c r="AY7" s="10">
        <f t="shared" si="49"/>
        <v>0</v>
      </c>
      <c r="AZ7" s="10">
        <f>AZ251</f>
        <v>0</v>
      </c>
      <c r="BA7" s="10">
        <f t="shared" ref="BA7:BB9" si="50">BA251</f>
        <v>0</v>
      </c>
      <c r="BB7" s="10">
        <f t="shared" si="50"/>
        <v>0</v>
      </c>
      <c r="BC7" s="10">
        <f t="shared" ref="BC7:BD9" si="51">BC251</f>
        <v>0</v>
      </c>
      <c r="BD7" s="10">
        <f t="shared" si="51"/>
        <v>9739266.6999999993</v>
      </c>
      <c r="BE7" s="10">
        <f t="shared" ref="BE7:BG7" si="52">BE251</f>
        <v>0</v>
      </c>
      <c r="BF7" s="10">
        <f t="shared" si="52"/>
        <v>0</v>
      </c>
      <c r="BG7" s="10">
        <f t="shared" si="52"/>
        <v>0</v>
      </c>
      <c r="BH7" s="10">
        <f t="shared" ref="BH7:BL7" si="53">BH251</f>
        <v>5661884</v>
      </c>
      <c r="BI7" s="10">
        <f t="shared" si="53"/>
        <v>0</v>
      </c>
      <c r="BJ7" s="10">
        <f t="shared" si="53"/>
        <v>0</v>
      </c>
      <c r="BK7" s="10">
        <f t="shared" si="53"/>
        <v>0</v>
      </c>
      <c r="BL7" s="10">
        <f t="shared" si="53"/>
        <v>0</v>
      </c>
    </row>
    <row r="8" spans="1:64" ht="14.1" customHeight="1">
      <c r="A8" s="379">
        <f>A7+1</f>
        <v>2</v>
      </c>
      <c r="B8" s="129" t="s">
        <v>14</v>
      </c>
      <c r="C8" s="38">
        <f>SUM(D8:BI8)</f>
        <v>0</v>
      </c>
      <c r="D8" s="10">
        <f t="shared" si="38"/>
        <v>0</v>
      </c>
      <c r="E8" s="10">
        <f t="shared" si="38"/>
        <v>0</v>
      </c>
      <c r="F8" s="10">
        <f t="shared" si="39"/>
        <v>0</v>
      </c>
      <c r="G8" s="10">
        <f t="shared" si="39"/>
        <v>0</v>
      </c>
      <c r="H8" s="10">
        <f t="shared" si="39"/>
        <v>0</v>
      </c>
      <c r="I8" s="10">
        <f t="shared" si="40"/>
        <v>0</v>
      </c>
      <c r="J8" s="10">
        <f t="shared" si="40"/>
        <v>0</v>
      </c>
      <c r="K8" s="10">
        <f>K252</f>
        <v>0</v>
      </c>
      <c r="L8" s="10">
        <f t="shared" ref="L8:Y8" si="54">L252</f>
        <v>0</v>
      </c>
      <c r="M8" s="10">
        <f t="shared" si="54"/>
        <v>0</v>
      </c>
      <c r="N8" s="10">
        <f t="shared" si="54"/>
        <v>0</v>
      </c>
      <c r="O8" s="10">
        <f t="shared" si="54"/>
        <v>0</v>
      </c>
      <c r="P8" s="10">
        <f t="shared" si="54"/>
        <v>0</v>
      </c>
      <c r="Q8" s="10">
        <f t="shared" si="54"/>
        <v>0</v>
      </c>
      <c r="R8" s="10">
        <f t="shared" si="54"/>
        <v>0</v>
      </c>
      <c r="S8" s="10">
        <f t="shared" si="54"/>
        <v>0</v>
      </c>
      <c r="T8" s="10">
        <f>T252</f>
        <v>0</v>
      </c>
      <c r="U8" s="10">
        <f t="shared" si="54"/>
        <v>0</v>
      </c>
      <c r="V8" s="10">
        <f t="shared" si="54"/>
        <v>0</v>
      </c>
      <c r="W8" s="10">
        <f t="shared" si="54"/>
        <v>0</v>
      </c>
      <c r="X8" s="10">
        <f t="shared" si="54"/>
        <v>0</v>
      </c>
      <c r="Y8" s="10">
        <f t="shared" si="54"/>
        <v>0</v>
      </c>
      <c r="Z8" s="10">
        <f t="shared" si="42"/>
        <v>0</v>
      </c>
      <c r="AA8" s="10">
        <f t="shared" si="43"/>
        <v>0</v>
      </c>
      <c r="AB8" s="10">
        <f t="shared" si="43"/>
        <v>0</v>
      </c>
      <c r="AC8" s="10">
        <f t="shared" si="44"/>
        <v>0</v>
      </c>
      <c r="AD8" s="10">
        <f t="shared" si="44"/>
        <v>0</v>
      </c>
      <c r="AE8" s="10">
        <f>AE252</f>
        <v>0</v>
      </c>
      <c r="AF8" s="10">
        <f t="shared" ref="AF8:AL8" si="55">AF252</f>
        <v>0</v>
      </c>
      <c r="AG8" s="10">
        <f t="shared" si="55"/>
        <v>0</v>
      </c>
      <c r="AH8" s="10">
        <f t="shared" si="55"/>
        <v>0</v>
      </c>
      <c r="AI8" s="10">
        <f t="shared" si="55"/>
        <v>0</v>
      </c>
      <c r="AJ8" s="10">
        <f t="shared" si="55"/>
        <v>0</v>
      </c>
      <c r="AK8" s="10">
        <f t="shared" si="55"/>
        <v>0</v>
      </c>
      <c r="AL8" s="10">
        <f t="shared" si="55"/>
        <v>0</v>
      </c>
      <c r="AM8" s="10">
        <f t="shared" si="46"/>
        <v>0</v>
      </c>
      <c r="AN8" s="10">
        <f t="shared" ref="AN8:AP9" si="56">AN252</f>
        <v>0</v>
      </c>
      <c r="AO8" s="10">
        <f t="shared" si="56"/>
        <v>0</v>
      </c>
      <c r="AP8" s="10">
        <f t="shared" si="56"/>
        <v>0</v>
      </c>
      <c r="AQ8" s="10">
        <f t="shared" si="48"/>
        <v>0</v>
      </c>
      <c r="AR8" s="10">
        <f t="shared" si="48"/>
        <v>0</v>
      </c>
      <c r="AS8" s="10">
        <f t="shared" ref="AS8:AY8" si="57">AS252</f>
        <v>0</v>
      </c>
      <c r="AT8" s="10">
        <f t="shared" si="57"/>
        <v>0</v>
      </c>
      <c r="AU8" s="10">
        <f>AU252</f>
        <v>0</v>
      </c>
      <c r="AV8" s="10">
        <f t="shared" si="57"/>
        <v>0</v>
      </c>
      <c r="AW8" s="10">
        <f t="shared" si="57"/>
        <v>0</v>
      </c>
      <c r="AX8" s="10">
        <f t="shared" si="57"/>
        <v>0</v>
      </c>
      <c r="AY8" s="10">
        <f t="shared" si="57"/>
        <v>0</v>
      </c>
      <c r="AZ8" s="10">
        <f>AZ252</f>
        <v>0</v>
      </c>
      <c r="BA8" s="10">
        <f t="shared" si="50"/>
        <v>0</v>
      </c>
      <c r="BB8" s="10">
        <f t="shared" si="50"/>
        <v>0</v>
      </c>
      <c r="BC8" s="10">
        <f t="shared" si="51"/>
        <v>0</v>
      </c>
      <c r="BD8" s="10">
        <f t="shared" si="51"/>
        <v>0</v>
      </c>
      <c r="BE8" s="10">
        <f t="shared" ref="BE8:BG8" si="58">BE252</f>
        <v>0</v>
      </c>
      <c r="BF8" s="10">
        <f t="shared" si="58"/>
        <v>0</v>
      </c>
      <c r="BG8" s="10">
        <f t="shared" si="58"/>
        <v>0</v>
      </c>
      <c r="BH8" s="10">
        <f t="shared" ref="BH8:BL8" si="59">BH252</f>
        <v>0</v>
      </c>
      <c r="BI8" s="10">
        <f t="shared" si="59"/>
        <v>0</v>
      </c>
      <c r="BJ8" s="10">
        <f t="shared" si="59"/>
        <v>0</v>
      </c>
      <c r="BK8" s="10">
        <f t="shared" si="59"/>
        <v>0</v>
      </c>
      <c r="BL8" s="10">
        <f t="shared" si="59"/>
        <v>0</v>
      </c>
    </row>
    <row r="9" spans="1:64" ht="14.1" customHeight="1">
      <c r="A9" s="379">
        <f>A8+1</f>
        <v>3</v>
      </c>
      <c r="B9" s="88" t="s">
        <v>15</v>
      </c>
      <c r="C9" s="38">
        <f>SUM(D9:BI9)</f>
        <v>0</v>
      </c>
      <c r="D9" s="10">
        <f t="shared" si="38"/>
        <v>0</v>
      </c>
      <c r="E9" s="10">
        <f t="shared" si="38"/>
        <v>0</v>
      </c>
      <c r="F9" s="10">
        <f t="shared" si="39"/>
        <v>0</v>
      </c>
      <c r="G9" s="10">
        <f t="shared" si="39"/>
        <v>0</v>
      </c>
      <c r="H9" s="10">
        <f t="shared" si="39"/>
        <v>0</v>
      </c>
      <c r="I9" s="10">
        <f t="shared" si="40"/>
        <v>0</v>
      </c>
      <c r="J9" s="10">
        <f t="shared" si="40"/>
        <v>0</v>
      </c>
      <c r="K9" s="10">
        <f>K253</f>
        <v>0</v>
      </c>
      <c r="L9" s="10">
        <f t="shared" ref="L9:Y9" si="60">L253</f>
        <v>0</v>
      </c>
      <c r="M9" s="10">
        <f t="shared" si="60"/>
        <v>0</v>
      </c>
      <c r="N9" s="10">
        <f t="shared" si="60"/>
        <v>0</v>
      </c>
      <c r="O9" s="10">
        <f t="shared" si="60"/>
        <v>0</v>
      </c>
      <c r="P9" s="10">
        <f t="shared" si="60"/>
        <v>0</v>
      </c>
      <c r="Q9" s="10">
        <f t="shared" si="60"/>
        <v>0</v>
      </c>
      <c r="R9" s="10">
        <f t="shared" si="60"/>
        <v>0</v>
      </c>
      <c r="S9" s="10">
        <f t="shared" si="60"/>
        <v>0</v>
      </c>
      <c r="T9" s="10">
        <f>T253</f>
        <v>0</v>
      </c>
      <c r="U9" s="10">
        <f t="shared" si="60"/>
        <v>0</v>
      </c>
      <c r="V9" s="10">
        <f t="shared" si="60"/>
        <v>0</v>
      </c>
      <c r="W9" s="10">
        <f t="shared" si="60"/>
        <v>0</v>
      </c>
      <c r="X9" s="10">
        <f t="shared" si="60"/>
        <v>0</v>
      </c>
      <c r="Y9" s="10">
        <f t="shared" si="60"/>
        <v>0</v>
      </c>
      <c r="Z9" s="10">
        <f t="shared" si="42"/>
        <v>0</v>
      </c>
      <c r="AA9" s="10">
        <f t="shared" si="43"/>
        <v>0</v>
      </c>
      <c r="AB9" s="10">
        <f t="shared" si="43"/>
        <v>0</v>
      </c>
      <c r="AC9" s="10">
        <f t="shared" si="44"/>
        <v>0</v>
      </c>
      <c r="AD9" s="10">
        <f t="shared" si="44"/>
        <v>0</v>
      </c>
      <c r="AE9" s="10">
        <f>AE253</f>
        <v>0</v>
      </c>
      <c r="AF9" s="10">
        <f t="shared" ref="AF9:AL9" si="61">AF253</f>
        <v>0</v>
      </c>
      <c r="AG9" s="10">
        <f t="shared" si="61"/>
        <v>0</v>
      </c>
      <c r="AH9" s="10">
        <f t="shared" si="61"/>
        <v>0</v>
      </c>
      <c r="AI9" s="10">
        <f t="shared" si="61"/>
        <v>0</v>
      </c>
      <c r="AJ9" s="10">
        <f t="shared" si="61"/>
        <v>0</v>
      </c>
      <c r="AK9" s="10">
        <f t="shared" si="61"/>
        <v>0</v>
      </c>
      <c r="AL9" s="10">
        <f t="shared" si="61"/>
        <v>0</v>
      </c>
      <c r="AM9" s="10">
        <f t="shared" si="46"/>
        <v>0</v>
      </c>
      <c r="AN9" s="10">
        <f t="shared" si="56"/>
        <v>0</v>
      </c>
      <c r="AO9" s="10">
        <f t="shared" si="56"/>
        <v>0</v>
      </c>
      <c r="AP9" s="10">
        <f t="shared" si="56"/>
        <v>0</v>
      </c>
      <c r="AQ9" s="10">
        <f t="shared" si="48"/>
        <v>0</v>
      </c>
      <c r="AR9" s="10">
        <f t="shared" si="48"/>
        <v>0</v>
      </c>
      <c r="AS9" s="10">
        <f t="shared" ref="AS9:AY9" si="62">AS253</f>
        <v>0</v>
      </c>
      <c r="AT9" s="10">
        <f t="shared" si="62"/>
        <v>0</v>
      </c>
      <c r="AU9" s="10">
        <f>AU253</f>
        <v>0</v>
      </c>
      <c r="AV9" s="10">
        <f t="shared" si="62"/>
        <v>0</v>
      </c>
      <c r="AW9" s="10">
        <f t="shared" si="62"/>
        <v>0</v>
      </c>
      <c r="AX9" s="10">
        <f t="shared" si="62"/>
        <v>0</v>
      </c>
      <c r="AY9" s="10">
        <f t="shared" si="62"/>
        <v>0</v>
      </c>
      <c r="AZ9" s="10">
        <f>AZ253</f>
        <v>0</v>
      </c>
      <c r="BA9" s="10">
        <f t="shared" si="50"/>
        <v>0</v>
      </c>
      <c r="BB9" s="10">
        <f t="shared" si="50"/>
        <v>0</v>
      </c>
      <c r="BC9" s="10">
        <f t="shared" si="51"/>
        <v>0</v>
      </c>
      <c r="BD9" s="10">
        <f t="shared" si="51"/>
        <v>0</v>
      </c>
      <c r="BE9" s="10">
        <f t="shared" ref="BE9:BG9" si="63">BE253</f>
        <v>0</v>
      </c>
      <c r="BF9" s="10">
        <f t="shared" si="63"/>
        <v>0</v>
      </c>
      <c r="BG9" s="10">
        <f t="shared" si="63"/>
        <v>0</v>
      </c>
      <c r="BH9" s="10">
        <f t="shared" ref="BH9:BL9" si="64">BH253</f>
        <v>0</v>
      </c>
      <c r="BI9" s="10">
        <f t="shared" si="64"/>
        <v>0</v>
      </c>
      <c r="BJ9" s="10">
        <f t="shared" si="64"/>
        <v>0</v>
      </c>
      <c r="BK9" s="10">
        <f t="shared" si="64"/>
        <v>0</v>
      </c>
      <c r="BL9" s="10">
        <f t="shared" si="64"/>
        <v>0</v>
      </c>
    </row>
    <row r="10" spans="1:64" ht="14.1" customHeight="1">
      <c r="A10" s="379">
        <f>+A9+1</f>
        <v>4</v>
      </c>
      <c r="B10" s="88" t="s">
        <v>16</v>
      </c>
      <c r="C10" s="38">
        <f>SUM(D10:BI10)</f>
        <v>-1577979</v>
      </c>
      <c r="D10" s="10">
        <f t="shared" ref="D10:K10" si="65">D288</f>
        <v>0</v>
      </c>
      <c r="E10" s="10">
        <f t="shared" si="65"/>
        <v>0</v>
      </c>
      <c r="F10" s="10">
        <f t="shared" si="65"/>
        <v>0</v>
      </c>
      <c r="G10" s="10">
        <f t="shared" si="65"/>
        <v>0</v>
      </c>
      <c r="H10" s="10">
        <f t="shared" si="65"/>
        <v>0</v>
      </c>
      <c r="I10" s="10">
        <f t="shared" si="65"/>
        <v>0</v>
      </c>
      <c r="J10" s="10">
        <f t="shared" si="65"/>
        <v>0</v>
      </c>
      <c r="K10" s="10">
        <f t="shared" si="65"/>
        <v>0</v>
      </c>
      <c r="L10" s="10">
        <f t="shared" ref="L10:Y10" si="66">L288</f>
        <v>196263</v>
      </c>
      <c r="M10" s="10">
        <f t="shared" si="66"/>
        <v>0</v>
      </c>
      <c r="N10" s="10">
        <f t="shared" si="66"/>
        <v>0</v>
      </c>
      <c r="O10" s="10">
        <f t="shared" si="66"/>
        <v>0</v>
      </c>
      <c r="P10" s="10">
        <f t="shared" si="66"/>
        <v>0</v>
      </c>
      <c r="Q10" s="10">
        <f t="shared" si="66"/>
        <v>0</v>
      </c>
      <c r="R10" s="10">
        <f t="shared" si="66"/>
        <v>0</v>
      </c>
      <c r="S10" s="10">
        <f t="shared" si="66"/>
        <v>0</v>
      </c>
      <c r="T10" s="10">
        <f>T288</f>
        <v>0</v>
      </c>
      <c r="U10" s="10">
        <f t="shared" si="66"/>
        <v>0</v>
      </c>
      <c r="V10" s="10">
        <f t="shared" si="66"/>
        <v>0</v>
      </c>
      <c r="W10" s="10">
        <f t="shared" si="66"/>
        <v>0</v>
      </c>
      <c r="X10" s="10">
        <f t="shared" si="66"/>
        <v>0</v>
      </c>
      <c r="Y10" s="10">
        <f t="shared" si="66"/>
        <v>0</v>
      </c>
      <c r="Z10" s="10">
        <f t="shared" ref="Z10:AE10" si="67">Z288</f>
        <v>-2058187</v>
      </c>
      <c r="AA10" s="10">
        <f t="shared" si="67"/>
        <v>0</v>
      </c>
      <c r="AB10" s="10">
        <f t="shared" si="67"/>
        <v>0</v>
      </c>
      <c r="AC10" s="10">
        <f t="shared" si="67"/>
        <v>0</v>
      </c>
      <c r="AD10" s="10">
        <f t="shared" si="67"/>
        <v>0</v>
      </c>
      <c r="AE10" s="10">
        <f t="shared" si="67"/>
        <v>0</v>
      </c>
      <c r="AF10" s="10">
        <f t="shared" ref="AF10:AL10" si="68">AF288</f>
        <v>0</v>
      </c>
      <c r="AG10" s="10">
        <f t="shared" si="68"/>
        <v>0</v>
      </c>
      <c r="AH10" s="10">
        <f t="shared" si="68"/>
        <v>0</v>
      </c>
      <c r="AI10" s="10">
        <f t="shared" si="68"/>
        <v>0</v>
      </c>
      <c r="AJ10" s="10">
        <f t="shared" si="68"/>
        <v>0</v>
      </c>
      <c r="AK10" s="10">
        <f t="shared" si="68"/>
        <v>0</v>
      </c>
      <c r="AL10" s="10">
        <f t="shared" si="68"/>
        <v>0</v>
      </c>
      <c r="AM10" s="10">
        <f t="shared" ref="AM10:BB10" si="69">AM288</f>
        <v>0</v>
      </c>
      <c r="AN10" s="10">
        <f t="shared" si="69"/>
        <v>0</v>
      </c>
      <c r="AO10" s="10">
        <f t="shared" si="69"/>
        <v>0</v>
      </c>
      <c r="AP10" s="10">
        <f t="shared" si="69"/>
        <v>0</v>
      </c>
      <c r="AQ10" s="10">
        <f>AQ288</f>
        <v>0</v>
      </c>
      <c r="AR10" s="10">
        <f>AR288</f>
        <v>0</v>
      </c>
      <c r="AS10" s="10">
        <f t="shared" ref="AS10:AY10" si="70">AS288</f>
        <v>0</v>
      </c>
      <c r="AT10" s="10">
        <f t="shared" si="70"/>
        <v>0</v>
      </c>
      <c r="AU10" s="10">
        <f>AU288</f>
        <v>283945</v>
      </c>
      <c r="AV10" s="10">
        <f t="shared" si="70"/>
        <v>0</v>
      </c>
      <c r="AW10" s="10">
        <f t="shared" si="70"/>
        <v>0</v>
      </c>
      <c r="AX10" s="10">
        <f t="shared" si="70"/>
        <v>0</v>
      </c>
      <c r="AY10" s="10">
        <f t="shared" si="70"/>
        <v>0</v>
      </c>
      <c r="AZ10" s="10">
        <f>AZ288</f>
        <v>0</v>
      </c>
      <c r="BA10" s="10">
        <f t="shared" si="69"/>
        <v>0</v>
      </c>
      <c r="BB10" s="10">
        <f t="shared" si="69"/>
        <v>0</v>
      </c>
      <c r="BC10" s="10">
        <f>BC288</f>
        <v>0</v>
      </c>
      <c r="BD10" s="10">
        <f>BD288</f>
        <v>0</v>
      </c>
      <c r="BE10" s="10">
        <f t="shared" ref="BE10:BG10" si="71">BE288</f>
        <v>0</v>
      </c>
      <c r="BF10" s="10">
        <f t="shared" si="71"/>
        <v>0</v>
      </c>
      <c r="BG10" s="10">
        <f t="shared" si="71"/>
        <v>0</v>
      </c>
      <c r="BH10" s="10">
        <f t="shared" ref="BH10:BL10" si="72">BH288</f>
        <v>0</v>
      </c>
      <c r="BI10" s="10">
        <f t="shared" si="72"/>
        <v>0</v>
      </c>
      <c r="BJ10" s="10">
        <f t="shared" si="72"/>
        <v>0</v>
      </c>
      <c r="BK10" s="10">
        <f t="shared" si="72"/>
        <v>0</v>
      </c>
      <c r="BL10" s="10">
        <f t="shared" si="72"/>
        <v>0</v>
      </c>
    </row>
    <row r="11" spans="1:64" ht="14.1" customHeight="1">
      <c r="A11" s="379">
        <f t="shared" ref="A11:A74" si="73">+A10+1</f>
        <v>5</v>
      </c>
      <c r="B11" s="56" t="s">
        <v>17</v>
      </c>
      <c r="C11" s="206">
        <f>SUM(D11:BI11)</f>
        <v>0</v>
      </c>
      <c r="D11" s="64">
        <f t="shared" ref="D11:K11" si="74">D259</f>
        <v>0</v>
      </c>
      <c r="E11" s="64">
        <f t="shared" si="74"/>
        <v>0</v>
      </c>
      <c r="F11" s="64">
        <f t="shared" si="74"/>
        <v>0</v>
      </c>
      <c r="G11" s="64">
        <f t="shared" si="74"/>
        <v>0</v>
      </c>
      <c r="H11" s="64">
        <f t="shared" si="74"/>
        <v>0</v>
      </c>
      <c r="I11" s="64">
        <f t="shared" si="74"/>
        <v>0</v>
      </c>
      <c r="J11" s="64">
        <f t="shared" si="74"/>
        <v>0</v>
      </c>
      <c r="K11" s="64">
        <f t="shared" si="74"/>
        <v>0</v>
      </c>
      <c r="L11" s="64">
        <f t="shared" ref="L11:Y11" si="75">L259</f>
        <v>0</v>
      </c>
      <c r="M11" s="64">
        <f t="shared" si="75"/>
        <v>0</v>
      </c>
      <c r="N11" s="64">
        <f t="shared" si="75"/>
        <v>0</v>
      </c>
      <c r="O11" s="64">
        <f t="shared" si="75"/>
        <v>0</v>
      </c>
      <c r="P11" s="64">
        <f t="shared" si="75"/>
        <v>0</v>
      </c>
      <c r="Q11" s="64">
        <f t="shared" si="75"/>
        <v>0</v>
      </c>
      <c r="R11" s="64">
        <f t="shared" si="75"/>
        <v>0</v>
      </c>
      <c r="S11" s="64">
        <f t="shared" si="75"/>
        <v>0</v>
      </c>
      <c r="T11" s="64">
        <f>T259</f>
        <v>0</v>
      </c>
      <c r="U11" s="64">
        <f t="shared" si="75"/>
        <v>0</v>
      </c>
      <c r="V11" s="64">
        <f t="shared" si="75"/>
        <v>0</v>
      </c>
      <c r="W11" s="64">
        <f t="shared" si="75"/>
        <v>0</v>
      </c>
      <c r="X11" s="64">
        <f t="shared" si="75"/>
        <v>0</v>
      </c>
      <c r="Y11" s="64">
        <f t="shared" si="75"/>
        <v>0</v>
      </c>
      <c r="Z11" s="64">
        <f t="shared" ref="Z11:AE11" si="76">Z259</f>
        <v>0</v>
      </c>
      <c r="AA11" s="64">
        <f t="shared" si="76"/>
        <v>0</v>
      </c>
      <c r="AB11" s="64">
        <f t="shared" si="76"/>
        <v>0</v>
      </c>
      <c r="AC11" s="64">
        <f t="shared" si="76"/>
        <v>0</v>
      </c>
      <c r="AD11" s="64">
        <f t="shared" si="76"/>
        <v>0</v>
      </c>
      <c r="AE11" s="64">
        <f t="shared" si="76"/>
        <v>0</v>
      </c>
      <c r="AF11" s="64">
        <f t="shared" ref="AF11:AL11" si="77">AF259</f>
        <v>0</v>
      </c>
      <c r="AG11" s="64">
        <f t="shared" si="77"/>
        <v>0</v>
      </c>
      <c r="AH11" s="64">
        <f t="shared" si="77"/>
        <v>0</v>
      </c>
      <c r="AI11" s="64">
        <f t="shared" si="77"/>
        <v>0</v>
      </c>
      <c r="AJ11" s="64">
        <f t="shared" si="77"/>
        <v>0</v>
      </c>
      <c r="AK11" s="64">
        <f t="shared" si="77"/>
        <v>0</v>
      </c>
      <c r="AL11" s="64">
        <f t="shared" si="77"/>
        <v>0</v>
      </c>
      <c r="AM11" s="64">
        <f t="shared" ref="AM11:BB11" si="78">AM259</f>
        <v>0</v>
      </c>
      <c r="AN11" s="64">
        <f t="shared" si="78"/>
        <v>0</v>
      </c>
      <c r="AO11" s="64">
        <f t="shared" si="78"/>
        <v>0</v>
      </c>
      <c r="AP11" s="64">
        <f t="shared" si="78"/>
        <v>0</v>
      </c>
      <c r="AQ11" s="64">
        <f>AQ259</f>
        <v>0</v>
      </c>
      <c r="AR11" s="64">
        <f>AR259</f>
        <v>0</v>
      </c>
      <c r="AS11" s="64">
        <f t="shared" ref="AS11:AY11" si="79">AS259</f>
        <v>0</v>
      </c>
      <c r="AT11" s="64">
        <f t="shared" si="79"/>
        <v>0</v>
      </c>
      <c r="AU11" s="64">
        <f>AU259</f>
        <v>0</v>
      </c>
      <c r="AV11" s="64">
        <f t="shared" si="79"/>
        <v>0</v>
      </c>
      <c r="AW11" s="64">
        <f t="shared" si="79"/>
        <v>0</v>
      </c>
      <c r="AX11" s="64">
        <f t="shared" si="79"/>
        <v>0</v>
      </c>
      <c r="AY11" s="64">
        <f t="shared" si="79"/>
        <v>0</v>
      </c>
      <c r="AZ11" s="64">
        <f>AZ259</f>
        <v>0</v>
      </c>
      <c r="BA11" s="64">
        <f t="shared" si="78"/>
        <v>0</v>
      </c>
      <c r="BB11" s="64">
        <f t="shared" si="78"/>
        <v>0</v>
      </c>
      <c r="BC11" s="64">
        <f>BC259</f>
        <v>0</v>
      </c>
      <c r="BD11" s="64">
        <f>BD259</f>
        <v>0</v>
      </c>
      <c r="BE11" s="64">
        <f t="shared" ref="BE11:BG11" si="80">BE259</f>
        <v>0</v>
      </c>
      <c r="BF11" s="64">
        <f t="shared" si="80"/>
        <v>0</v>
      </c>
      <c r="BG11" s="64">
        <f t="shared" si="80"/>
        <v>0</v>
      </c>
      <c r="BH11" s="64">
        <f t="shared" ref="BH11:BL11" si="81">BH259</f>
        <v>0</v>
      </c>
      <c r="BI11" s="64">
        <f t="shared" si="81"/>
        <v>0</v>
      </c>
      <c r="BJ11" s="64">
        <f t="shared" si="81"/>
        <v>0</v>
      </c>
      <c r="BK11" s="64">
        <f t="shared" si="81"/>
        <v>0</v>
      </c>
      <c r="BL11" s="64">
        <f t="shared" si="81"/>
        <v>0</v>
      </c>
    </row>
    <row r="12" spans="1:64" s="18" customFormat="1" ht="14.1" customHeight="1">
      <c r="A12" s="379">
        <f t="shared" si="73"/>
        <v>6</v>
      </c>
      <c r="B12" s="2" t="s">
        <v>18</v>
      </c>
      <c r="C12" s="16">
        <f t="shared" ref="C12:K12" si="82">SUM(C7:C11)</f>
        <v>-57413104.472561792</v>
      </c>
      <c r="D12" s="16">
        <f t="shared" si="82"/>
        <v>-6200000</v>
      </c>
      <c r="E12" s="16">
        <f t="shared" si="82"/>
        <v>-21011102</v>
      </c>
      <c r="F12" s="16">
        <f t="shared" si="82"/>
        <v>0</v>
      </c>
      <c r="G12" s="16">
        <f t="shared" si="82"/>
        <v>0</v>
      </c>
      <c r="H12" s="16">
        <f t="shared" si="82"/>
        <v>-28786650.5725618</v>
      </c>
      <c r="I12" s="16">
        <f t="shared" si="82"/>
        <v>3204660</v>
      </c>
      <c r="J12" s="16">
        <f t="shared" si="82"/>
        <v>-309086</v>
      </c>
      <c r="K12" s="16">
        <f t="shared" si="82"/>
        <v>2098615</v>
      </c>
      <c r="L12" s="16">
        <f t="shared" ref="L12:Y12" si="83">SUM(L7:L11)</f>
        <v>196263</v>
      </c>
      <c r="M12" s="16">
        <f t="shared" si="83"/>
        <v>-482478</v>
      </c>
      <c r="N12" s="16">
        <f t="shared" si="83"/>
        <v>-370224</v>
      </c>
      <c r="O12" s="16">
        <f t="shared" si="83"/>
        <v>-9504100</v>
      </c>
      <c r="P12" s="16">
        <f t="shared" si="83"/>
        <v>-14546115</v>
      </c>
      <c r="Q12" s="16">
        <f t="shared" si="83"/>
        <v>4254356</v>
      </c>
      <c r="R12" s="16">
        <f t="shared" si="83"/>
        <v>0</v>
      </c>
      <c r="S12" s="16">
        <f t="shared" si="83"/>
        <v>0</v>
      </c>
      <c r="T12" s="16">
        <f>SUM(T7:T11)</f>
        <v>0</v>
      </c>
      <c r="U12" s="16">
        <f t="shared" si="83"/>
        <v>0</v>
      </c>
      <c r="V12" s="16">
        <f t="shared" si="83"/>
        <v>0</v>
      </c>
      <c r="W12" s="16">
        <f t="shared" si="83"/>
        <v>0</v>
      </c>
      <c r="X12" s="16">
        <f t="shared" si="83"/>
        <v>0</v>
      </c>
      <c r="Y12" s="16">
        <f t="shared" si="83"/>
        <v>0</v>
      </c>
      <c r="Z12" s="16">
        <f t="shared" ref="Z12:AE12" si="84">SUM(Z7:Z11)</f>
        <v>-2058187</v>
      </c>
      <c r="AA12" s="16">
        <f t="shared" si="84"/>
        <v>0</v>
      </c>
      <c r="AB12" s="16">
        <f t="shared" si="84"/>
        <v>0</v>
      </c>
      <c r="AC12" s="16">
        <f t="shared" si="84"/>
        <v>0</v>
      </c>
      <c r="AD12" s="16">
        <f t="shared" si="84"/>
        <v>0</v>
      </c>
      <c r="AE12" s="16">
        <f t="shared" si="84"/>
        <v>0</v>
      </c>
      <c r="AF12" s="16">
        <f t="shared" ref="AF12:AL12" si="85">SUM(AF7:AF11)</f>
        <v>0</v>
      </c>
      <c r="AG12" s="16">
        <f t="shared" si="85"/>
        <v>0</v>
      </c>
      <c r="AH12" s="16">
        <f t="shared" si="85"/>
        <v>0</v>
      </c>
      <c r="AI12" s="16">
        <f t="shared" si="85"/>
        <v>0</v>
      </c>
      <c r="AJ12" s="16">
        <f t="shared" si="85"/>
        <v>0</v>
      </c>
      <c r="AK12" s="16">
        <f t="shared" si="85"/>
        <v>0</v>
      </c>
      <c r="AL12" s="16">
        <f t="shared" si="85"/>
        <v>0</v>
      </c>
      <c r="AM12" s="16">
        <f t="shared" ref="AM12:BB12" si="86">SUM(AM7:AM11)</f>
        <v>0</v>
      </c>
      <c r="AN12" s="16">
        <f t="shared" si="86"/>
        <v>-214197.6</v>
      </c>
      <c r="AO12" s="16">
        <f t="shared" si="86"/>
        <v>630046</v>
      </c>
      <c r="AP12" s="16">
        <f t="shared" si="86"/>
        <v>0</v>
      </c>
      <c r="AQ12" s="16">
        <f>SUM(AQ7:AQ11)</f>
        <v>0</v>
      </c>
      <c r="AR12" s="16">
        <f>SUM(AR7:AR11)</f>
        <v>0</v>
      </c>
      <c r="AS12" s="16">
        <f t="shared" ref="AS12:AY12" si="87">SUM(AS7:AS11)</f>
        <v>0</v>
      </c>
      <c r="AT12" s="16">
        <f t="shared" si="87"/>
        <v>0</v>
      </c>
      <c r="AU12" s="16">
        <f>SUM(AU7:AU11)</f>
        <v>283945</v>
      </c>
      <c r="AV12" s="16">
        <f t="shared" si="87"/>
        <v>0</v>
      </c>
      <c r="AW12" s="16">
        <f t="shared" si="87"/>
        <v>0</v>
      </c>
      <c r="AX12" s="16">
        <f t="shared" si="87"/>
        <v>0</v>
      </c>
      <c r="AY12" s="16">
        <f t="shared" si="87"/>
        <v>0</v>
      </c>
      <c r="AZ12" s="16">
        <f>SUM(AZ7:AZ11)</f>
        <v>0</v>
      </c>
      <c r="BA12" s="16">
        <f t="shared" si="86"/>
        <v>0</v>
      </c>
      <c r="BB12" s="16">
        <f t="shared" si="86"/>
        <v>0</v>
      </c>
      <c r="BC12" s="16">
        <f>SUM(BC7:BC11)</f>
        <v>0</v>
      </c>
      <c r="BD12" s="16">
        <f>SUM(BD7:BD11)</f>
        <v>9739266.6999999993</v>
      </c>
      <c r="BE12" s="16">
        <f t="shared" ref="BE12:BG12" si="88">SUM(BE7:BE11)</f>
        <v>0</v>
      </c>
      <c r="BF12" s="16">
        <f t="shared" si="88"/>
        <v>0</v>
      </c>
      <c r="BG12" s="16">
        <f t="shared" si="88"/>
        <v>0</v>
      </c>
      <c r="BH12" s="16">
        <f t="shared" ref="BH12:BL12" si="89">SUM(BH7:BH11)</f>
        <v>5661884</v>
      </c>
      <c r="BI12" s="16">
        <f t="shared" si="89"/>
        <v>0</v>
      </c>
      <c r="BJ12" s="16">
        <f t="shared" si="89"/>
        <v>0</v>
      </c>
      <c r="BK12" s="16">
        <f t="shared" si="89"/>
        <v>0</v>
      </c>
      <c r="BL12" s="16">
        <f t="shared" si="89"/>
        <v>0</v>
      </c>
    </row>
    <row r="13" spans="1:64" s="18" customFormat="1" ht="14.1" customHeight="1">
      <c r="A13" s="379">
        <f t="shared" si="73"/>
        <v>7</v>
      </c>
      <c r="B13" s="6"/>
      <c r="C13" s="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4.1" customHeight="1">
      <c r="A14" s="379">
        <f t="shared" si="73"/>
        <v>8</v>
      </c>
      <c r="B14" s="3" t="s">
        <v>19</v>
      </c>
      <c r="C14" s="3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14.1" customHeight="1">
      <c r="A15" s="379">
        <f t="shared" si="73"/>
        <v>9</v>
      </c>
      <c r="B15" s="88" t="s">
        <v>20</v>
      </c>
      <c r="C15" s="38">
        <f t="shared" ref="C15:C22" si="90">SUM(D15:BI15)</f>
        <v>-8940489.3299999982</v>
      </c>
      <c r="D15" s="10">
        <f t="shared" ref="D15:K15" si="91">D325</f>
        <v>0</v>
      </c>
      <c r="E15" s="10">
        <f t="shared" si="91"/>
        <v>18224</v>
      </c>
      <c r="F15" s="10">
        <f t="shared" si="91"/>
        <v>-3843206</v>
      </c>
      <c r="G15" s="10">
        <f t="shared" si="91"/>
        <v>0</v>
      </c>
      <c r="H15" s="10">
        <f t="shared" si="91"/>
        <v>0</v>
      </c>
      <c r="I15" s="10">
        <f t="shared" si="91"/>
        <v>2822903</v>
      </c>
      <c r="J15" s="10">
        <f t="shared" si="91"/>
        <v>0</v>
      </c>
      <c r="K15" s="10">
        <f t="shared" si="91"/>
        <v>-854641</v>
      </c>
      <c r="L15" s="10">
        <f t="shared" ref="L15:Y15" si="92">L325</f>
        <v>0</v>
      </c>
      <c r="M15" s="10">
        <f t="shared" si="92"/>
        <v>0</v>
      </c>
      <c r="N15" s="10">
        <f t="shared" si="92"/>
        <v>0</v>
      </c>
      <c r="O15" s="10">
        <f t="shared" si="92"/>
        <v>-6412416</v>
      </c>
      <c r="P15" s="10">
        <f t="shared" si="92"/>
        <v>-9814264</v>
      </c>
      <c r="Q15" s="10">
        <f t="shared" si="92"/>
        <v>2870414</v>
      </c>
      <c r="R15" s="10">
        <f t="shared" si="92"/>
        <v>0</v>
      </c>
      <c r="S15" s="10">
        <f t="shared" si="92"/>
        <v>0</v>
      </c>
      <c r="T15" s="10">
        <f>T325</f>
        <v>361146</v>
      </c>
      <c r="U15" s="10">
        <f t="shared" si="92"/>
        <v>0</v>
      </c>
      <c r="V15" s="10">
        <f t="shared" si="92"/>
        <v>0</v>
      </c>
      <c r="W15" s="10">
        <f t="shared" si="92"/>
        <v>-44959.33</v>
      </c>
      <c r="X15" s="10">
        <f t="shared" si="92"/>
        <v>0</v>
      </c>
      <c r="Y15" s="10">
        <f t="shared" si="92"/>
        <v>0</v>
      </c>
      <c r="Z15" s="10">
        <f t="shared" ref="Z15:AE15" si="93">Z325</f>
        <v>0</v>
      </c>
      <c r="AA15" s="10">
        <f t="shared" si="93"/>
        <v>0</v>
      </c>
      <c r="AB15" s="10">
        <f t="shared" si="93"/>
        <v>0</v>
      </c>
      <c r="AC15" s="10">
        <f t="shared" si="93"/>
        <v>-1541217</v>
      </c>
      <c r="AD15" s="10">
        <f t="shared" si="93"/>
        <v>-946537</v>
      </c>
      <c r="AE15" s="10">
        <f t="shared" si="93"/>
        <v>0</v>
      </c>
      <c r="AF15" s="10">
        <f t="shared" ref="AF15:AL15" si="94">AF325</f>
        <v>0</v>
      </c>
      <c r="AG15" s="10">
        <f t="shared" si="94"/>
        <v>0</v>
      </c>
      <c r="AH15" s="10">
        <f t="shared" si="94"/>
        <v>0</v>
      </c>
      <c r="AI15" s="10">
        <f t="shared" si="94"/>
        <v>0</v>
      </c>
      <c r="AJ15" s="10">
        <f t="shared" si="94"/>
        <v>0</v>
      </c>
      <c r="AK15" s="10">
        <f t="shared" si="94"/>
        <v>0</v>
      </c>
      <c r="AL15" s="10">
        <f t="shared" si="94"/>
        <v>0</v>
      </c>
      <c r="AM15" s="10">
        <f t="shared" ref="AM15:BB15" si="95">AM325</f>
        <v>0</v>
      </c>
      <c r="AN15" s="10">
        <f t="shared" si="95"/>
        <v>0</v>
      </c>
      <c r="AO15" s="10">
        <f t="shared" si="95"/>
        <v>0</v>
      </c>
      <c r="AP15" s="10">
        <f t="shared" si="95"/>
        <v>0</v>
      </c>
      <c r="AQ15" s="10">
        <f>AQ325</f>
        <v>0</v>
      </c>
      <c r="AR15" s="10">
        <f>AR325</f>
        <v>1695513</v>
      </c>
      <c r="AS15" s="10">
        <f t="shared" ref="AS15:AY15" si="96">AS325</f>
        <v>0</v>
      </c>
      <c r="AT15" s="10">
        <f t="shared" si="96"/>
        <v>0</v>
      </c>
      <c r="AU15" s="10">
        <f>AU325</f>
        <v>0</v>
      </c>
      <c r="AV15" s="10">
        <f t="shared" si="96"/>
        <v>-64729</v>
      </c>
      <c r="AW15" s="10">
        <f t="shared" si="96"/>
        <v>0</v>
      </c>
      <c r="AX15" s="10">
        <f t="shared" si="96"/>
        <v>919331</v>
      </c>
      <c r="AY15" s="10">
        <f t="shared" si="96"/>
        <v>232065</v>
      </c>
      <c r="AZ15" s="10">
        <f>AZ325</f>
        <v>0</v>
      </c>
      <c r="BA15" s="10">
        <f t="shared" si="95"/>
        <v>0</v>
      </c>
      <c r="BB15" s="10">
        <f t="shared" si="95"/>
        <v>0</v>
      </c>
      <c r="BC15" s="10">
        <f>BC325</f>
        <v>0</v>
      </c>
      <c r="BD15" s="10">
        <f>BD325</f>
        <v>0</v>
      </c>
      <c r="BE15" s="10">
        <f t="shared" ref="BE15:BG15" si="97">BE325</f>
        <v>0</v>
      </c>
      <c r="BF15" s="10">
        <f t="shared" si="97"/>
        <v>0</v>
      </c>
      <c r="BG15" s="10">
        <f t="shared" si="97"/>
        <v>0</v>
      </c>
      <c r="BH15" s="10">
        <f t="shared" ref="BH15:BL15" si="98">BH325</f>
        <v>5661884</v>
      </c>
      <c r="BI15" s="10">
        <f t="shared" si="98"/>
        <v>0</v>
      </c>
      <c r="BJ15" s="10">
        <f t="shared" si="98"/>
        <v>0</v>
      </c>
      <c r="BK15" s="10">
        <f t="shared" si="98"/>
        <v>0</v>
      </c>
      <c r="BL15" s="10">
        <f t="shared" si="98"/>
        <v>0</v>
      </c>
    </row>
    <row r="16" spans="1:64" ht="14.1" customHeight="1">
      <c r="A16" s="379">
        <f t="shared" si="73"/>
        <v>10</v>
      </c>
      <c r="B16" s="88" t="s">
        <v>21</v>
      </c>
      <c r="C16" s="38">
        <f t="shared" si="90"/>
        <v>15368953.82</v>
      </c>
      <c r="D16" s="10">
        <f t="shared" ref="D16:K16" si="99">D352</f>
        <v>0</v>
      </c>
      <c r="E16" s="10">
        <f t="shared" si="99"/>
        <v>0</v>
      </c>
      <c r="F16" s="10">
        <f t="shared" si="99"/>
        <v>0</v>
      </c>
      <c r="G16" s="10">
        <f t="shared" si="99"/>
        <v>0</v>
      </c>
      <c r="H16" s="10">
        <f t="shared" si="99"/>
        <v>0</v>
      </c>
      <c r="I16" s="10">
        <f t="shared" si="99"/>
        <v>0</v>
      </c>
      <c r="J16" s="10">
        <f t="shared" si="99"/>
        <v>0</v>
      </c>
      <c r="K16" s="10">
        <f t="shared" si="99"/>
        <v>2953255</v>
      </c>
      <c r="L16" s="10">
        <f t="shared" ref="L16:Y16" si="100">L352</f>
        <v>0</v>
      </c>
      <c r="M16" s="10">
        <f t="shared" si="100"/>
        <v>0</v>
      </c>
      <c r="N16" s="10">
        <f t="shared" si="100"/>
        <v>0</v>
      </c>
      <c r="O16" s="10">
        <f t="shared" si="100"/>
        <v>0</v>
      </c>
      <c r="P16" s="10">
        <f t="shared" si="100"/>
        <v>0</v>
      </c>
      <c r="Q16" s="10">
        <f t="shared" si="100"/>
        <v>0</v>
      </c>
      <c r="R16" s="10">
        <f t="shared" si="100"/>
        <v>0</v>
      </c>
      <c r="S16" s="10">
        <f t="shared" si="100"/>
        <v>0</v>
      </c>
      <c r="T16" s="10">
        <f>T352</f>
        <v>0</v>
      </c>
      <c r="U16" s="10">
        <f t="shared" si="100"/>
        <v>0</v>
      </c>
      <c r="V16" s="10">
        <f t="shared" si="100"/>
        <v>0</v>
      </c>
      <c r="W16" s="10">
        <f t="shared" si="100"/>
        <v>-35.18</v>
      </c>
      <c r="X16" s="10">
        <f t="shared" si="100"/>
        <v>0</v>
      </c>
      <c r="Y16" s="10">
        <f t="shared" si="100"/>
        <v>0</v>
      </c>
      <c r="Z16" s="10">
        <f t="shared" ref="Z16:AE16" si="101">Z352</f>
        <v>12240862</v>
      </c>
      <c r="AA16" s="10">
        <f t="shared" si="101"/>
        <v>208436</v>
      </c>
      <c r="AB16" s="10">
        <f t="shared" si="101"/>
        <v>0</v>
      </c>
      <c r="AC16" s="10">
        <f t="shared" si="101"/>
        <v>0</v>
      </c>
      <c r="AD16" s="10">
        <f t="shared" si="101"/>
        <v>-401</v>
      </c>
      <c r="AE16" s="10">
        <f t="shared" si="101"/>
        <v>0</v>
      </c>
      <c r="AF16" s="10">
        <f t="shared" ref="AF16:AL16" si="102">AF352</f>
        <v>0</v>
      </c>
      <c r="AG16" s="10">
        <f t="shared" si="102"/>
        <v>0</v>
      </c>
      <c r="AH16" s="10">
        <f t="shared" si="102"/>
        <v>0</v>
      </c>
      <c r="AI16" s="10">
        <f t="shared" si="102"/>
        <v>0</v>
      </c>
      <c r="AJ16" s="10">
        <f t="shared" si="102"/>
        <v>0</v>
      </c>
      <c r="AK16" s="10">
        <f t="shared" si="102"/>
        <v>0</v>
      </c>
      <c r="AL16" s="10">
        <f t="shared" si="102"/>
        <v>0</v>
      </c>
      <c r="AM16" s="10">
        <f t="shared" ref="AM16:BB16" si="103">AM352</f>
        <v>0</v>
      </c>
      <c r="AN16" s="10">
        <f t="shared" si="103"/>
        <v>0</v>
      </c>
      <c r="AO16" s="10">
        <f t="shared" si="103"/>
        <v>0</v>
      </c>
      <c r="AP16" s="10">
        <f t="shared" si="103"/>
        <v>0</v>
      </c>
      <c r="AQ16" s="10">
        <f>AQ352</f>
        <v>0</v>
      </c>
      <c r="AR16" s="10">
        <f>AR352</f>
        <v>0</v>
      </c>
      <c r="AS16" s="10">
        <f t="shared" ref="AS16:AY16" si="104">AS352</f>
        <v>0</v>
      </c>
      <c r="AT16" s="10">
        <f t="shared" si="104"/>
        <v>-33163</v>
      </c>
      <c r="AU16" s="10">
        <f>AU352</f>
        <v>0</v>
      </c>
      <c r="AV16" s="10">
        <f t="shared" si="104"/>
        <v>0</v>
      </c>
      <c r="AW16" s="10">
        <f t="shared" si="104"/>
        <v>0</v>
      </c>
      <c r="AX16" s="10">
        <f t="shared" si="104"/>
        <v>0</v>
      </c>
      <c r="AY16" s="10">
        <f t="shared" si="104"/>
        <v>0</v>
      </c>
      <c r="AZ16" s="10">
        <f>AZ352</f>
        <v>0</v>
      </c>
      <c r="BA16" s="10">
        <f t="shared" si="103"/>
        <v>0</v>
      </c>
      <c r="BB16" s="10">
        <f t="shared" si="103"/>
        <v>0</v>
      </c>
      <c r="BC16" s="10">
        <f>BC352</f>
        <v>0</v>
      </c>
      <c r="BD16" s="10">
        <f>BD352</f>
        <v>0</v>
      </c>
      <c r="BE16" s="10">
        <f t="shared" ref="BE16:BG16" si="105">BE352</f>
        <v>0</v>
      </c>
      <c r="BF16" s="10">
        <f t="shared" si="105"/>
        <v>0</v>
      </c>
      <c r="BG16" s="10">
        <f t="shared" si="105"/>
        <v>0</v>
      </c>
      <c r="BH16" s="10">
        <f t="shared" ref="BH16:BL16" si="106">BH352</f>
        <v>0</v>
      </c>
      <c r="BI16" s="10">
        <f t="shared" si="106"/>
        <v>0</v>
      </c>
      <c r="BJ16" s="10">
        <f t="shared" si="106"/>
        <v>0</v>
      </c>
      <c r="BK16" s="10">
        <f t="shared" si="106"/>
        <v>0</v>
      </c>
      <c r="BL16" s="10">
        <f t="shared" si="106"/>
        <v>0</v>
      </c>
    </row>
    <row r="17" spans="1:64" ht="14.1" customHeight="1">
      <c r="A17" s="379">
        <f t="shared" si="73"/>
        <v>11</v>
      </c>
      <c r="B17" s="88" t="s">
        <v>22</v>
      </c>
      <c r="C17" s="38">
        <f t="shared" si="90"/>
        <v>28506.320000000065</v>
      </c>
      <c r="D17" s="10">
        <f t="shared" ref="D17:K17" si="107">D380</f>
        <v>0</v>
      </c>
      <c r="E17" s="10">
        <f t="shared" si="107"/>
        <v>0</v>
      </c>
      <c r="F17" s="10">
        <f t="shared" si="107"/>
        <v>0</v>
      </c>
      <c r="G17" s="10">
        <f t="shared" si="107"/>
        <v>0</v>
      </c>
      <c r="H17" s="10">
        <f t="shared" si="107"/>
        <v>0</v>
      </c>
      <c r="I17" s="10">
        <f t="shared" si="107"/>
        <v>0</v>
      </c>
      <c r="J17" s="10">
        <f t="shared" si="107"/>
        <v>0</v>
      </c>
      <c r="K17" s="10">
        <f t="shared" si="107"/>
        <v>0</v>
      </c>
      <c r="L17" s="10">
        <f t="shared" ref="L17:Y17" si="108">L380</f>
        <v>0</v>
      </c>
      <c r="M17" s="10">
        <f t="shared" si="108"/>
        <v>0</v>
      </c>
      <c r="N17" s="10">
        <f t="shared" si="108"/>
        <v>0</v>
      </c>
      <c r="O17" s="10">
        <f t="shared" si="108"/>
        <v>0</v>
      </c>
      <c r="P17" s="10">
        <f t="shared" si="108"/>
        <v>0</v>
      </c>
      <c r="Q17" s="10">
        <f t="shared" si="108"/>
        <v>0</v>
      </c>
      <c r="R17" s="10">
        <f t="shared" si="108"/>
        <v>0</v>
      </c>
      <c r="S17" s="10">
        <f t="shared" si="108"/>
        <v>511729</v>
      </c>
      <c r="T17" s="10">
        <f>T380</f>
        <v>0</v>
      </c>
      <c r="U17" s="10">
        <f t="shared" si="108"/>
        <v>0</v>
      </c>
      <c r="V17" s="10">
        <f t="shared" si="108"/>
        <v>0</v>
      </c>
      <c r="W17" s="10">
        <f t="shared" si="108"/>
        <v>-109811.67999999996</v>
      </c>
      <c r="X17" s="10">
        <f t="shared" si="108"/>
        <v>0</v>
      </c>
      <c r="Y17" s="10">
        <f t="shared" si="108"/>
        <v>0</v>
      </c>
      <c r="Z17" s="10">
        <f t="shared" ref="Z17:AE17" si="109">Z380</f>
        <v>0</v>
      </c>
      <c r="AA17" s="10">
        <f t="shared" si="109"/>
        <v>0</v>
      </c>
      <c r="AB17" s="10">
        <f t="shared" si="109"/>
        <v>0</v>
      </c>
      <c r="AC17" s="10">
        <f t="shared" si="109"/>
        <v>0</v>
      </c>
      <c r="AD17" s="10">
        <f t="shared" si="109"/>
        <v>-250197</v>
      </c>
      <c r="AE17" s="10">
        <f t="shared" si="109"/>
        <v>-8148</v>
      </c>
      <c r="AF17" s="10">
        <f t="shared" ref="AF17:AL17" si="110">AF380</f>
        <v>0</v>
      </c>
      <c r="AG17" s="10">
        <f t="shared" si="110"/>
        <v>0</v>
      </c>
      <c r="AH17" s="10">
        <f t="shared" si="110"/>
        <v>0</v>
      </c>
      <c r="AI17" s="10">
        <f t="shared" si="110"/>
        <v>0</v>
      </c>
      <c r="AJ17" s="10">
        <f t="shared" si="110"/>
        <v>0</v>
      </c>
      <c r="AK17" s="10">
        <f t="shared" si="110"/>
        <v>0</v>
      </c>
      <c r="AL17" s="10">
        <f t="shared" si="110"/>
        <v>0</v>
      </c>
      <c r="AM17" s="10">
        <f t="shared" ref="AM17:BB17" si="111">AM380</f>
        <v>0</v>
      </c>
      <c r="AN17" s="10">
        <f t="shared" si="111"/>
        <v>0</v>
      </c>
      <c r="AO17" s="10">
        <f t="shared" si="111"/>
        <v>0</v>
      </c>
      <c r="AP17" s="10">
        <f t="shared" si="111"/>
        <v>-263353</v>
      </c>
      <c r="AQ17" s="10">
        <f>AQ380</f>
        <v>0</v>
      </c>
      <c r="AR17" s="10">
        <f>AR380</f>
        <v>0</v>
      </c>
      <c r="AS17" s="10">
        <f t="shared" ref="AS17:AY17" si="112">AS380</f>
        <v>0</v>
      </c>
      <c r="AT17" s="10">
        <f t="shared" si="112"/>
        <v>0</v>
      </c>
      <c r="AU17" s="10">
        <f>AU380</f>
        <v>226538</v>
      </c>
      <c r="AV17" s="10">
        <f t="shared" si="112"/>
        <v>-78251</v>
      </c>
      <c r="AW17" s="10">
        <f t="shared" si="112"/>
        <v>0</v>
      </c>
      <c r="AX17" s="10">
        <f t="shared" si="112"/>
        <v>0</v>
      </c>
      <c r="AY17" s="10">
        <f t="shared" si="112"/>
        <v>0</v>
      </c>
      <c r="AZ17" s="10">
        <f>AZ380</f>
        <v>0</v>
      </c>
      <c r="BA17" s="10">
        <f t="shared" si="111"/>
        <v>0</v>
      </c>
      <c r="BB17" s="10">
        <f t="shared" si="111"/>
        <v>0</v>
      </c>
      <c r="BC17" s="10">
        <f>BC380</f>
        <v>0</v>
      </c>
      <c r="BD17" s="10">
        <f>BD380</f>
        <v>0</v>
      </c>
      <c r="BE17" s="10">
        <f t="shared" ref="BE17:BG17" si="113">BE380</f>
        <v>0</v>
      </c>
      <c r="BF17" s="10">
        <f t="shared" si="113"/>
        <v>0</v>
      </c>
      <c r="BG17" s="10">
        <f t="shared" si="113"/>
        <v>0</v>
      </c>
      <c r="BH17" s="10">
        <f t="shared" ref="BH17:BL17" si="114">BH380</f>
        <v>0</v>
      </c>
      <c r="BI17" s="10">
        <f t="shared" si="114"/>
        <v>0</v>
      </c>
      <c r="BJ17" s="10">
        <f t="shared" si="114"/>
        <v>0</v>
      </c>
      <c r="BK17" s="10">
        <f t="shared" si="114"/>
        <v>0</v>
      </c>
      <c r="BL17" s="10">
        <f t="shared" si="114"/>
        <v>0</v>
      </c>
    </row>
    <row r="18" spans="1:64" ht="14.1" customHeight="1">
      <c r="A18" s="379">
        <f t="shared" si="73"/>
        <v>12</v>
      </c>
      <c r="B18" s="88" t="s">
        <v>23</v>
      </c>
      <c r="C18" s="38">
        <f t="shared" si="90"/>
        <v>-50555.31</v>
      </c>
      <c r="D18" s="10">
        <f t="shared" ref="D18:K18" si="115">D389</f>
        <v>0</v>
      </c>
      <c r="E18" s="10">
        <f t="shared" si="115"/>
        <v>0</v>
      </c>
      <c r="F18" s="10">
        <f t="shared" si="115"/>
        <v>0</v>
      </c>
      <c r="G18" s="10">
        <f t="shared" si="115"/>
        <v>0</v>
      </c>
      <c r="H18" s="10">
        <f t="shared" si="115"/>
        <v>0</v>
      </c>
      <c r="I18" s="10">
        <f t="shared" si="115"/>
        <v>0</v>
      </c>
      <c r="J18" s="10">
        <f t="shared" si="115"/>
        <v>0</v>
      </c>
      <c r="K18" s="10">
        <f t="shared" si="115"/>
        <v>0</v>
      </c>
      <c r="L18" s="10">
        <f t="shared" ref="L18:Y18" si="116">L389</f>
        <v>0</v>
      </c>
      <c r="M18" s="10">
        <f t="shared" si="116"/>
        <v>0</v>
      </c>
      <c r="N18" s="10">
        <f t="shared" si="116"/>
        <v>0</v>
      </c>
      <c r="O18" s="10">
        <f t="shared" si="116"/>
        <v>0</v>
      </c>
      <c r="P18" s="10">
        <f t="shared" si="116"/>
        <v>0</v>
      </c>
      <c r="Q18" s="10">
        <f t="shared" si="116"/>
        <v>0</v>
      </c>
      <c r="R18" s="10">
        <f t="shared" si="116"/>
        <v>0</v>
      </c>
      <c r="S18" s="10">
        <f t="shared" si="116"/>
        <v>0</v>
      </c>
      <c r="T18" s="10">
        <f>T389</f>
        <v>0</v>
      </c>
      <c r="U18" s="10">
        <f t="shared" si="116"/>
        <v>0</v>
      </c>
      <c r="V18" s="10">
        <f t="shared" si="116"/>
        <v>0</v>
      </c>
      <c r="W18" s="10">
        <f t="shared" si="116"/>
        <v>-18053.310000000001</v>
      </c>
      <c r="X18" s="10">
        <f t="shared" si="116"/>
        <v>0</v>
      </c>
      <c r="Y18" s="10">
        <f t="shared" si="116"/>
        <v>0</v>
      </c>
      <c r="Z18" s="10">
        <f t="shared" ref="Z18:AE18" si="117">Z389</f>
        <v>0</v>
      </c>
      <c r="AA18" s="10">
        <f t="shared" si="117"/>
        <v>0</v>
      </c>
      <c r="AB18" s="10">
        <f t="shared" si="117"/>
        <v>0</v>
      </c>
      <c r="AC18" s="10">
        <f t="shared" si="117"/>
        <v>0</v>
      </c>
      <c r="AD18" s="10">
        <f t="shared" si="117"/>
        <v>-74209</v>
      </c>
      <c r="AE18" s="10">
        <f t="shared" si="117"/>
        <v>0</v>
      </c>
      <c r="AF18" s="10">
        <f t="shared" ref="AF18:AL18" si="118">AF389</f>
        <v>0</v>
      </c>
      <c r="AG18" s="10">
        <f t="shared" si="118"/>
        <v>0</v>
      </c>
      <c r="AH18" s="10">
        <f t="shared" si="118"/>
        <v>0</v>
      </c>
      <c r="AI18" s="10">
        <f t="shared" si="118"/>
        <v>0</v>
      </c>
      <c r="AJ18" s="10">
        <f t="shared" si="118"/>
        <v>0</v>
      </c>
      <c r="AK18" s="10">
        <f t="shared" si="118"/>
        <v>0</v>
      </c>
      <c r="AL18" s="10">
        <f t="shared" si="118"/>
        <v>0</v>
      </c>
      <c r="AM18" s="10">
        <f t="shared" ref="AM18:BB18" si="119">AM389</f>
        <v>0</v>
      </c>
      <c r="AN18" s="10">
        <f t="shared" si="119"/>
        <v>0</v>
      </c>
      <c r="AO18" s="10">
        <f t="shared" si="119"/>
        <v>0</v>
      </c>
      <c r="AP18" s="10">
        <f t="shared" si="119"/>
        <v>0</v>
      </c>
      <c r="AQ18" s="10">
        <f>AQ389</f>
        <v>0</v>
      </c>
      <c r="AR18" s="10">
        <f>AR389</f>
        <v>0</v>
      </c>
      <c r="AS18" s="10">
        <f t="shared" ref="AS18:AY18" si="120">AS389</f>
        <v>0</v>
      </c>
      <c r="AT18" s="10">
        <f t="shared" si="120"/>
        <v>0</v>
      </c>
      <c r="AU18" s="10">
        <f>AU389</f>
        <v>0</v>
      </c>
      <c r="AV18" s="10">
        <f t="shared" si="120"/>
        <v>0</v>
      </c>
      <c r="AW18" s="10">
        <f t="shared" si="120"/>
        <v>41707</v>
      </c>
      <c r="AX18" s="10">
        <f t="shared" si="120"/>
        <v>0</v>
      </c>
      <c r="AY18" s="10">
        <f t="shared" si="120"/>
        <v>0</v>
      </c>
      <c r="AZ18" s="10">
        <f>AZ389</f>
        <v>0</v>
      </c>
      <c r="BA18" s="10">
        <f t="shared" si="119"/>
        <v>0</v>
      </c>
      <c r="BB18" s="10">
        <f t="shared" si="119"/>
        <v>0</v>
      </c>
      <c r="BC18" s="10">
        <f>BC389</f>
        <v>0</v>
      </c>
      <c r="BD18" s="10">
        <f>BD389</f>
        <v>0</v>
      </c>
      <c r="BE18" s="10">
        <f t="shared" ref="BE18:BG18" si="121">BE389</f>
        <v>0</v>
      </c>
      <c r="BF18" s="10">
        <f t="shared" si="121"/>
        <v>0</v>
      </c>
      <c r="BG18" s="10">
        <f t="shared" si="121"/>
        <v>0</v>
      </c>
      <c r="BH18" s="10">
        <f t="shared" ref="BH18:BL18" si="122">BH389</f>
        <v>0</v>
      </c>
      <c r="BI18" s="10">
        <f t="shared" si="122"/>
        <v>0</v>
      </c>
      <c r="BJ18" s="10">
        <f t="shared" si="122"/>
        <v>0</v>
      </c>
      <c r="BK18" s="10">
        <f t="shared" si="122"/>
        <v>0</v>
      </c>
      <c r="BL18" s="10">
        <f t="shared" si="122"/>
        <v>0</v>
      </c>
    </row>
    <row r="19" spans="1:64" ht="14.1" customHeight="1">
      <c r="A19" s="379">
        <f t="shared" si="73"/>
        <v>13</v>
      </c>
      <c r="B19" s="88" t="s">
        <v>24</v>
      </c>
      <c r="C19" s="38">
        <f t="shared" si="90"/>
        <v>0</v>
      </c>
      <c r="D19" s="10">
        <f t="shared" ref="D19:K19" si="123">D403</f>
        <v>0</v>
      </c>
      <c r="E19" s="10">
        <f t="shared" si="123"/>
        <v>0</v>
      </c>
      <c r="F19" s="10">
        <f t="shared" si="123"/>
        <v>0</v>
      </c>
      <c r="G19" s="10">
        <f t="shared" si="123"/>
        <v>0</v>
      </c>
      <c r="H19" s="10">
        <f t="shared" si="123"/>
        <v>0</v>
      </c>
      <c r="I19" s="10">
        <f t="shared" si="123"/>
        <v>0</v>
      </c>
      <c r="J19" s="10">
        <f t="shared" si="123"/>
        <v>0</v>
      </c>
      <c r="K19" s="10">
        <f t="shared" si="123"/>
        <v>0</v>
      </c>
      <c r="L19" s="10">
        <f t="shared" ref="L19:Y19" si="124">L403</f>
        <v>0</v>
      </c>
      <c r="M19" s="10">
        <f t="shared" si="124"/>
        <v>0</v>
      </c>
      <c r="N19" s="10">
        <f t="shared" si="124"/>
        <v>0</v>
      </c>
      <c r="O19" s="10">
        <f t="shared" si="124"/>
        <v>0</v>
      </c>
      <c r="P19" s="10">
        <f t="shared" si="124"/>
        <v>0</v>
      </c>
      <c r="Q19" s="10">
        <f t="shared" si="124"/>
        <v>0</v>
      </c>
      <c r="R19" s="10">
        <f t="shared" si="124"/>
        <v>0</v>
      </c>
      <c r="S19" s="10">
        <f t="shared" si="124"/>
        <v>0</v>
      </c>
      <c r="T19" s="10">
        <f>T403</f>
        <v>0</v>
      </c>
      <c r="U19" s="10">
        <f t="shared" si="124"/>
        <v>0</v>
      </c>
      <c r="V19" s="10">
        <f t="shared" si="124"/>
        <v>0</v>
      </c>
      <c r="W19" s="10">
        <f t="shared" si="124"/>
        <v>0</v>
      </c>
      <c r="X19" s="10">
        <f t="shared" si="124"/>
        <v>0</v>
      </c>
      <c r="Y19" s="10">
        <f t="shared" si="124"/>
        <v>0</v>
      </c>
      <c r="Z19" s="10">
        <f t="shared" ref="Z19:AE19" si="125">Z403</f>
        <v>0</v>
      </c>
      <c r="AA19" s="10">
        <f t="shared" si="125"/>
        <v>0</v>
      </c>
      <c r="AB19" s="10">
        <f t="shared" si="125"/>
        <v>0</v>
      </c>
      <c r="AC19" s="10">
        <f t="shared" si="125"/>
        <v>0</v>
      </c>
      <c r="AD19" s="10">
        <f t="shared" si="125"/>
        <v>0</v>
      </c>
      <c r="AE19" s="10">
        <f t="shared" si="125"/>
        <v>0</v>
      </c>
      <c r="AF19" s="10">
        <f t="shared" ref="AF19:AL19" si="126">AF403</f>
        <v>0</v>
      </c>
      <c r="AG19" s="10">
        <f t="shared" si="126"/>
        <v>0</v>
      </c>
      <c r="AH19" s="10">
        <f t="shared" si="126"/>
        <v>0</v>
      </c>
      <c r="AI19" s="10">
        <f t="shared" si="126"/>
        <v>0</v>
      </c>
      <c r="AJ19" s="10">
        <f t="shared" si="126"/>
        <v>0</v>
      </c>
      <c r="AK19" s="10">
        <f t="shared" si="126"/>
        <v>0</v>
      </c>
      <c r="AL19" s="10">
        <f t="shared" si="126"/>
        <v>0</v>
      </c>
      <c r="AM19" s="10">
        <f t="shared" ref="AM19:BB19" si="127">AM403</f>
        <v>0</v>
      </c>
      <c r="AN19" s="10">
        <f t="shared" si="127"/>
        <v>0</v>
      </c>
      <c r="AO19" s="10">
        <f t="shared" si="127"/>
        <v>0</v>
      </c>
      <c r="AP19" s="10">
        <f t="shared" si="127"/>
        <v>0</v>
      </c>
      <c r="AQ19" s="10">
        <f>AQ403</f>
        <v>0</v>
      </c>
      <c r="AR19" s="10">
        <f>AR403</f>
        <v>0</v>
      </c>
      <c r="AS19" s="10">
        <f t="shared" ref="AS19:AY19" si="128">AS403</f>
        <v>0</v>
      </c>
      <c r="AT19" s="10">
        <f t="shared" si="128"/>
        <v>0</v>
      </c>
      <c r="AU19" s="10">
        <f>AU403</f>
        <v>0</v>
      </c>
      <c r="AV19" s="10">
        <f t="shared" si="128"/>
        <v>0</v>
      </c>
      <c r="AW19" s="10">
        <f t="shared" si="128"/>
        <v>0</v>
      </c>
      <c r="AX19" s="10">
        <f t="shared" si="128"/>
        <v>0</v>
      </c>
      <c r="AY19" s="10">
        <f t="shared" si="128"/>
        <v>0</v>
      </c>
      <c r="AZ19" s="10">
        <f>AZ403</f>
        <v>0</v>
      </c>
      <c r="BA19" s="10">
        <f t="shared" si="127"/>
        <v>0</v>
      </c>
      <c r="BB19" s="10">
        <f t="shared" si="127"/>
        <v>0</v>
      </c>
      <c r="BC19" s="10">
        <f>BC403</f>
        <v>0</v>
      </c>
      <c r="BD19" s="10">
        <f>BD403</f>
        <v>0</v>
      </c>
      <c r="BE19" s="10">
        <f t="shared" ref="BE19:BG19" si="129">BE403</f>
        <v>0</v>
      </c>
      <c r="BF19" s="10">
        <f t="shared" si="129"/>
        <v>0</v>
      </c>
      <c r="BG19" s="10">
        <f t="shared" si="129"/>
        <v>0</v>
      </c>
      <c r="BH19" s="10">
        <f t="shared" ref="BH19:BL19" si="130">BH403</f>
        <v>0</v>
      </c>
      <c r="BI19" s="10">
        <f t="shared" si="130"/>
        <v>0</v>
      </c>
      <c r="BJ19" s="10">
        <f t="shared" si="130"/>
        <v>0</v>
      </c>
      <c r="BK19" s="10">
        <f t="shared" si="130"/>
        <v>0</v>
      </c>
      <c r="BL19" s="10">
        <f t="shared" si="130"/>
        <v>0</v>
      </c>
    </row>
    <row r="20" spans="1:64" ht="14.1" customHeight="1">
      <c r="A20" s="379">
        <f t="shared" si="73"/>
        <v>14</v>
      </c>
      <c r="B20" s="88" t="s">
        <v>25</v>
      </c>
      <c r="C20" s="38">
        <f t="shared" si="90"/>
        <v>-387302.06</v>
      </c>
      <c r="D20" s="10">
        <f t="shared" ref="D20:K20" si="131">D396</f>
        <v>0</v>
      </c>
      <c r="E20" s="10">
        <f t="shared" si="131"/>
        <v>0</v>
      </c>
      <c r="F20" s="10">
        <f t="shared" si="131"/>
        <v>0</v>
      </c>
      <c r="G20" s="10">
        <f t="shared" si="131"/>
        <v>0</v>
      </c>
      <c r="H20" s="10">
        <f t="shared" si="131"/>
        <v>0</v>
      </c>
      <c r="I20" s="10">
        <f t="shared" si="131"/>
        <v>0</v>
      </c>
      <c r="J20" s="10">
        <f t="shared" si="131"/>
        <v>0</v>
      </c>
      <c r="K20" s="10">
        <f t="shared" si="131"/>
        <v>0</v>
      </c>
      <c r="L20" s="10">
        <f t="shared" ref="L20:Y20" si="132">L396</f>
        <v>497876</v>
      </c>
      <c r="M20" s="10">
        <f t="shared" si="132"/>
        <v>-482478</v>
      </c>
      <c r="N20" s="10">
        <f t="shared" si="132"/>
        <v>-370224</v>
      </c>
      <c r="O20" s="10">
        <f t="shared" si="132"/>
        <v>0</v>
      </c>
      <c r="P20" s="10">
        <f t="shared" si="132"/>
        <v>0</v>
      </c>
      <c r="Q20" s="10">
        <f t="shared" si="132"/>
        <v>0</v>
      </c>
      <c r="R20" s="10">
        <f t="shared" si="132"/>
        <v>0</v>
      </c>
      <c r="S20" s="10">
        <f t="shared" si="132"/>
        <v>0</v>
      </c>
      <c r="T20" s="10">
        <f>T396</f>
        <v>0</v>
      </c>
      <c r="U20" s="10">
        <f t="shared" si="132"/>
        <v>0</v>
      </c>
      <c r="V20" s="10">
        <f t="shared" si="132"/>
        <v>0</v>
      </c>
      <c r="W20" s="10">
        <f t="shared" si="132"/>
        <v>-804.06</v>
      </c>
      <c r="X20" s="10">
        <f t="shared" si="132"/>
        <v>0</v>
      </c>
      <c r="Y20" s="10">
        <f t="shared" si="132"/>
        <v>0</v>
      </c>
      <c r="Z20" s="10">
        <f t="shared" ref="Z20:AE20" si="133">Z396</f>
        <v>0</v>
      </c>
      <c r="AA20" s="10">
        <f t="shared" si="133"/>
        <v>0</v>
      </c>
      <c r="AB20" s="10">
        <f t="shared" si="133"/>
        <v>0</v>
      </c>
      <c r="AC20" s="10">
        <f t="shared" si="133"/>
        <v>0</v>
      </c>
      <c r="AD20" s="10">
        <f t="shared" si="133"/>
        <v>-10543</v>
      </c>
      <c r="AE20" s="10">
        <f t="shared" si="133"/>
        <v>-18120</v>
      </c>
      <c r="AF20" s="10">
        <f t="shared" ref="AF20:AL20" si="134">AF396</f>
        <v>0</v>
      </c>
      <c r="AG20" s="10">
        <f t="shared" si="134"/>
        <v>0</v>
      </c>
      <c r="AH20" s="10">
        <f t="shared" si="134"/>
        <v>0</v>
      </c>
      <c r="AI20" s="10">
        <f t="shared" si="134"/>
        <v>0</v>
      </c>
      <c r="AJ20" s="10">
        <f t="shared" si="134"/>
        <v>0</v>
      </c>
      <c r="AK20" s="10">
        <f t="shared" si="134"/>
        <v>0</v>
      </c>
      <c r="AL20" s="10">
        <f t="shared" si="134"/>
        <v>0</v>
      </c>
      <c r="AM20" s="10">
        <f t="shared" ref="AM20:BB20" si="135">AM396</f>
        <v>0</v>
      </c>
      <c r="AN20" s="10">
        <f t="shared" si="135"/>
        <v>0</v>
      </c>
      <c r="AO20" s="10">
        <f t="shared" si="135"/>
        <v>0</v>
      </c>
      <c r="AP20" s="10">
        <f t="shared" si="135"/>
        <v>0</v>
      </c>
      <c r="AQ20" s="10">
        <f>AQ396</f>
        <v>-3009</v>
      </c>
      <c r="AR20" s="10">
        <f>AR396</f>
        <v>0</v>
      </c>
      <c r="AS20" s="10">
        <f t="shared" ref="AS20:AY20" si="136">AS396</f>
        <v>0</v>
      </c>
      <c r="AT20" s="10">
        <f t="shared" si="136"/>
        <v>0</v>
      </c>
      <c r="AU20" s="10">
        <f>AU396</f>
        <v>0</v>
      </c>
      <c r="AV20" s="10">
        <f t="shared" si="136"/>
        <v>0</v>
      </c>
      <c r="AW20" s="10">
        <f t="shared" si="136"/>
        <v>0</v>
      </c>
      <c r="AX20" s="10">
        <f t="shared" si="136"/>
        <v>0</v>
      </c>
      <c r="AY20" s="10">
        <f t="shared" si="136"/>
        <v>0</v>
      </c>
      <c r="AZ20" s="10">
        <f>AZ396</f>
        <v>0</v>
      </c>
      <c r="BA20" s="10">
        <f t="shared" si="135"/>
        <v>0</v>
      </c>
      <c r="BB20" s="10">
        <f t="shared" si="135"/>
        <v>0</v>
      </c>
      <c r="BC20" s="10">
        <f>BC396</f>
        <v>0</v>
      </c>
      <c r="BD20" s="10">
        <f>BD396</f>
        <v>0</v>
      </c>
      <c r="BE20" s="10">
        <f t="shared" ref="BE20:BG20" si="137">BE396</f>
        <v>0</v>
      </c>
      <c r="BF20" s="10">
        <f t="shared" si="137"/>
        <v>0</v>
      </c>
      <c r="BG20" s="10">
        <f t="shared" si="137"/>
        <v>0</v>
      </c>
      <c r="BH20" s="10">
        <f t="shared" ref="BH20:BL20" si="138">BH396</f>
        <v>0</v>
      </c>
      <c r="BI20" s="10">
        <f t="shared" si="138"/>
        <v>0</v>
      </c>
      <c r="BJ20" s="10">
        <f t="shared" si="138"/>
        <v>0</v>
      </c>
      <c r="BK20" s="10">
        <f t="shared" si="138"/>
        <v>0</v>
      </c>
      <c r="BL20" s="10">
        <f t="shared" si="138"/>
        <v>0</v>
      </c>
    </row>
    <row r="21" spans="1:64" ht="14.1" customHeight="1">
      <c r="A21" s="379">
        <f t="shared" si="73"/>
        <v>15</v>
      </c>
      <c r="B21" s="88" t="s">
        <v>26</v>
      </c>
      <c r="C21" s="38">
        <f t="shared" si="90"/>
        <v>-557786.99</v>
      </c>
      <c r="D21" s="10">
        <f t="shared" ref="D21:K21" si="139">D424</f>
        <v>0</v>
      </c>
      <c r="E21" s="10">
        <f t="shared" si="139"/>
        <v>-18223</v>
      </c>
      <c r="F21" s="10">
        <f t="shared" si="139"/>
        <v>0</v>
      </c>
      <c r="G21" s="10">
        <f t="shared" si="139"/>
        <v>0</v>
      </c>
      <c r="H21" s="10">
        <f t="shared" si="139"/>
        <v>0</v>
      </c>
      <c r="I21" s="10">
        <f t="shared" si="139"/>
        <v>0</v>
      </c>
      <c r="J21" s="10">
        <f t="shared" si="139"/>
        <v>0</v>
      </c>
      <c r="K21" s="10">
        <f t="shared" si="139"/>
        <v>0</v>
      </c>
      <c r="L21" s="10">
        <f t="shared" ref="L21:Y21" si="140">L424</f>
        <v>0</v>
      </c>
      <c r="M21" s="10">
        <f t="shared" si="140"/>
        <v>0</v>
      </c>
      <c r="N21" s="10">
        <f t="shared" si="140"/>
        <v>0</v>
      </c>
      <c r="O21" s="10">
        <f t="shared" si="140"/>
        <v>0</v>
      </c>
      <c r="P21" s="10">
        <f t="shared" si="140"/>
        <v>0</v>
      </c>
      <c r="Q21" s="10">
        <f t="shared" si="140"/>
        <v>0</v>
      </c>
      <c r="R21" s="10">
        <f t="shared" si="140"/>
        <v>0</v>
      </c>
      <c r="S21" s="10">
        <f t="shared" si="140"/>
        <v>0</v>
      </c>
      <c r="T21" s="10">
        <f>T424</f>
        <v>0</v>
      </c>
      <c r="U21" s="10">
        <f t="shared" si="140"/>
        <v>527792</v>
      </c>
      <c r="V21" s="10">
        <f t="shared" si="140"/>
        <v>-111982</v>
      </c>
      <c r="W21" s="10">
        <f t="shared" si="140"/>
        <v>64007.009999999995</v>
      </c>
      <c r="X21" s="10">
        <f t="shared" si="140"/>
        <v>-8840</v>
      </c>
      <c r="Y21" s="10">
        <f t="shared" si="140"/>
        <v>-383644</v>
      </c>
      <c r="Z21" s="10">
        <f t="shared" ref="Z21:AE21" si="141">Z424</f>
        <v>0</v>
      </c>
      <c r="AA21" s="10">
        <f t="shared" si="141"/>
        <v>0</v>
      </c>
      <c r="AB21" s="10">
        <f t="shared" si="141"/>
        <v>0</v>
      </c>
      <c r="AC21" s="10">
        <f t="shared" si="141"/>
        <v>0</v>
      </c>
      <c r="AD21" s="10">
        <f t="shared" si="141"/>
        <v>-212316</v>
      </c>
      <c r="AE21" s="10">
        <f t="shared" si="141"/>
        <v>-1288</v>
      </c>
      <c r="AF21" s="10">
        <f t="shared" ref="AF21:AL21" si="142">AF424</f>
        <v>0</v>
      </c>
      <c r="AG21" s="10">
        <f t="shared" si="142"/>
        <v>0</v>
      </c>
      <c r="AH21" s="10">
        <f t="shared" si="142"/>
        <v>0</v>
      </c>
      <c r="AI21" s="10">
        <f t="shared" si="142"/>
        <v>0</v>
      </c>
      <c r="AJ21" s="10">
        <f t="shared" si="142"/>
        <v>0</v>
      </c>
      <c r="AK21" s="10">
        <f t="shared" si="142"/>
        <v>0</v>
      </c>
      <c r="AL21" s="10">
        <f t="shared" si="142"/>
        <v>0</v>
      </c>
      <c r="AM21" s="10">
        <f t="shared" ref="AM21:BB21" si="143">AM424</f>
        <v>0</v>
      </c>
      <c r="AN21" s="10">
        <f t="shared" si="143"/>
        <v>0</v>
      </c>
      <c r="AO21" s="10">
        <f t="shared" si="143"/>
        <v>0</v>
      </c>
      <c r="AP21" s="10">
        <f t="shared" si="143"/>
        <v>0</v>
      </c>
      <c r="AQ21" s="10">
        <f>AQ424</f>
        <v>-6487</v>
      </c>
      <c r="AR21" s="10">
        <f>AR424</f>
        <v>0</v>
      </c>
      <c r="AS21" s="10">
        <f t="shared" ref="AS21:AY21" si="144">AS424</f>
        <v>51527</v>
      </c>
      <c r="AT21" s="10">
        <f t="shared" si="144"/>
        <v>0</v>
      </c>
      <c r="AU21" s="10">
        <f>AU424</f>
        <v>0</v>
      </c>
      <c r="AV21" s="10">
        <f t="shared" si="144"/>
        <v>0</v>
      </c>
      <c r="AW21" s="10">
        <f t="shared" si="144"/>
        <v>0</v>
      </c>
      <c r="AX21" s="10">
        <f t="shared" si="144"/>
        <v>0</v>
      </c>
      <c r="AY21" s="10">
        <f t="shared" si="144"/>
        <v>0</v>
      </c>
      <c r="AZ21" s="10">
        <f>AZ424</f>
        <v>0</v>
      </c>
      <c r="BA21" s="10">
        <f t="shared" si="143"/>
        <v>0</v>
      </c>
      <c r="BB21" s="10">
        <f t="shared" si="143"/>
        <v>0</v>
      </c>
      <c r="BC21" s="10">
        <f>BC424</f>
        <v>0</v>
      </c>
      <c r="BD21" s="10">
        <f>BD424</f>
        <v>0</v>
      </c>
      <c r="BE21" s="10">
        <f t="shared" ref="BE21:BG21" si="145">BE424</f>
        <v>0</v>
      </c>
      <c r="BF21" s="10">
        <f t="shared" si="145"/>
        <v>0</v>
      </c>
      <c r="BG21" s="10">
        <f t="shared" si="145"/>
        <v>0</v>
      </c>
      <c r="BH21" s="10">
        <f t="shared" ref="BH21:BL21" si="146">BH424</f>
        <v>0</v>
      </c>
      <c r="BI21" s="10">
        <f t="shared" si="146"/>
        <v>-458333</v>
      </c>
      <c r="BJ21" s="10">
        <f t="shared" si="146"/>
        <v>0</v>
      </c>
      <c r="BK21" s="10">
        <f t="shared" si="146"/>
        <v>0</v>
      </c>
      <c r="BL21" s="10">
        <f t="shared" si="146"/>
        <v>0</v>
      </c>
    </row>
    <row r="22" spans="1:64" ht="14.1" customHeight="1">
      <c r="A22" s="379">
        <f t="shared" si="73"/>
        <v>16</v>
      </c>
      <c r="B22" s="56" t="s">
        <v>27</v>
      </c>
      <c r="C22" s="206">
        <f t="shared" si="90"/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4">
        <v>0</v>
      </c>
      <c r="BI22" s="64">
        <v>0</v>
      </c>
      <c r="BJ22" s="64">
        <v>0</v>
      </c>
      <c r="BK22" s="64">
        <v>0</v>
      </c>
      <c r="BL22" s="64">
        <v>0</v>
      </c>
    </row>
    <row r="23" spans="1:64" s="18" customFormat="1" ht="14.1" customHeight="1">
      <c r="A23" s="379">
        <f t="shared" si="73"/>
        <v>17</v>
      </c>
      <c r="B23" s="2" t="s">
        <v>28</v>
      </c>
      <c r="C23" s="16">
        <f t="shared" ref="C23:K23" si="147">SUM(C15:C22)</f>
        <v>5461326.450000003</v>
      </c>
      <c r="D23" s="16">
        <f t="shared" si="147"/>
        <v>0</v>
      </c>
      <c r="E23" s="16">
        <f t="shared" si="147"/>
        <v>1</v>
      </c>
      <c r="F23" s="16">
        <f t="shared" si="147"/>
        <v>-3843206</v>
      </c>
      <c r="G23" s="16">
        <f t="shared" si="147"/>
        <v>0</v>
      </c>
      <c r="H23" s="16">
        <f t="shared" si="147"/>
        <v>0</v>
      </c>
      <c r="I23" s="16">
        <f t="shared" si="147"/>
        <v>2822903</v>
      </c>
      <c r="J23" s="16">
        <f t="shared" si="147"/>
        <v>0</v>
      </c>
      <c r="K23" s="16">
        <f t="shared" si="147"/>
        <v>2098614</v>
      </c>
      <c r="L23" s="16">
        <f t="shared" ref="L23:Y23" si="148">SUM(L15:L22)</f>
        <v>497876</v>
      </c>
      <c r="M23" s="16">
        <f t="shared" si="148"/>
        <v>-482478</v>
      </c>
      <c r="N23" s="16">
        <f t="shared" si="148"/>
        <v>-370224</v>
      </c>
      <c r="O23" s="16">
        <f t="shared" si="148"/>
        <v>-6412416</v>
      </c>
      <c r="P23" s="16">
        <f t="shared" si="148"/>
        <v>-9814264</v>
      </c>
      <c r="Q23" s="16">
        <f t="shared" si="148"/>
        <v>2870414</v>
      </c>
      <c r="R23" s="16">
        <f t="shared" si="148"/>
        <v>0</v>
      </c>
      <c r="S23" s="16">
        <f t="shared" si="148"/>
        <v>511729</v>
      </c>
      <c r="T23" s="16">
        <f>SUM(T15:T22)</f>
        <v>361146</v>
      </c>
      <c r="U23" s="16">
        <f t="shared" si="148"/>
        <v>527792</v>
      </c>
      <c r="V23" s="16">
        <f t="shared" si="148"/>
        <v>-111982</v>
      </c>
      <c r="W23" s="16">
        <f t="shared" si="148"/>
        <v>-109656.54999999997</v>
      </c>
      <c r="X23" s="16">
        <f t="shared" si="148"/>
        <v>-8840</v>
      </c>
      <c r="Y23" s="16">
        <f t="shared" si="148"/>
        <v>-383644</v>
      </c>
      <c r="Z23" s="16">
        <f t="shared" ref="Z23:AE23" si="149">SUM(Z15:Z22)</f>
        <v>12240862</v>
      </c>
      <c r="AA23" s="16">
        <f t="shared" si="149"/>
        <v>208436</v>
      </c>
      <c r="AB23" s="16">
        <f t="shared" si="149"/>
        <v>0</v>
      </c>
      <c r="AC23" s="16">
        <f t="shared" si="149"/>
        <v>-1541217</v>
      </c>
      <c r="AD23" s="16">
        <f t="shared" si="149"/>
        <v>-1494203</v>
      </c>
      <c r="AE23" s="16">
        <f t="shared" si="149"/>
        <v>-27556</v>
      </c>
      <c r="AF23" s="16">
        <f t="shared" ref="AF23:AL23" si="150">SUM(AF15:AF22)</f>
        <v>0</v>
      </c>
      <c r="AG23" s="16">
        <f t="shared" si="150"/>
        <v>0</v>
      </c>
      <c r="AH23" s="16">
        <f t="shared" si="150"/>
        <v>0</v>
      </c>
      <c r="AI23" s="16">
        <f t="shared" si="150"/>
        <v>0</v>
      </c>
      <c r="AJ23" s="16">
        <f t="shared" si="150"/>
        <v>0</v>
      </c>
      <c r="AK23" s="16">
        <f t="shared" si="150"/>
        <v>0</v>
      </c>
      <c r="AL23" s="16">
        <f t="shared" si="150"/>
        <v>0</v>
      </c>
      <c r="AM23" s="16">
        <f t="shared" ref="AM23:BB23" si="151">SUM(AM15:AM22)</f>
        <v>0</v>
      </c>
      <c r="AN23" s="16">
        <f t="shared" si="151"/>
        <v>0</v>
      </c>
      <c r="AO23" s="16">
        <f t="shared" si="151"/>
        <v>0</v>
      </c>
      <c r="AP23" s="16">
        <f t="shared" si="151"/>
        <v>-263353</v>
      </c>
      <c r="AQ23" s="16">
        <f>SUM(AQ15:AQ22)</f>
        <v>-9496</v>
      </c>
      <c r="AR23" s="16">
        <f>SUM(AR15:AR22)</f>
        <v>1695513</v>
      </c>
      <c r="AS23" s="16">
        <f t="shared" ref="AS23:AY23" si="152">SUM(AS15:AS22)</f>
        <v>51527</v>
      </c>
      <c r="AT23" s="16">
        <f t="shared" si="152"/>
        <v>-33163</v>
      </c>
      <c r="AU23" s="16">
        <f>SUM(AU15:AU22)</f>
        <v>226538</v>
      </c>
      <c r="AV23" s="16">
        <f t="shared" si="152"/>
        <v>-142980</v>
      </c>
      <c r="AW23" s="16">
        <f t="shared" si="152"/>
        <v>41707</v>
      </c>
      <c r="AX23" s="16">
        <f t="shared" si="152"/>
        <v>919331</v>
      </c>
      <c r="AY23" s="16">
        <f t="shared" si="152"/>
        <v>232065</v>
      </c>
      <c r="AZ23" s="16">
        <f>SUM(AZ15:AZ22)</f>
        <v>0</v>
      </c>
      <c r="BA23" s="16">
        <f t="shared" si="151"/>
        <v>0</v>
      </c>
      <c r="BB23" s="16">
        <f t="shared" si="151"/>
        <v>0</v>
      </c>
      <c r="BC23" s="16">
        <f>SUM(BC15:BC22)</f>
        <v>0</v>
      </c>
      <c r="BD23" s="16">
        <f>SUM(BD15:BD22)</f>
        <v>0</v>
      </c>
      <c r="BE23" s="16">
        <f t="shared" ref="BE23:BG23" si="153">SUM(BE15:BE22)</f>
        <v>0</v>
      </c>
      <c r="BF23" s="16">
        <f t="shared" si="153"/>
        <v>0</v>
      </c>
      <c r="BG23" s="16">
        <f t="shared" si="153"/>
        <v>0</v>
      </c>
      <c r="BH23" s="16">
        <f t="shared" ref="BH23:BL23" si="154">SUM(BH15:BH22)</f>
        <v>5661884</v>
      </c>
      <c r="BI23" s="16">
        <f t="shared" si="154"/>
        <v>-458333</v>
      </c>
      <c r="BJ23" s="16">
        <f t="shared" si="154"/>
        <v>0</v>
      </c>
      <c r="BK23" s="16">
        <f t="shared" si="154"/>
        <v>0</v>
      </c>
      <c r="BL23" s="16">
        <f t="shared" si="154"/>
        <v>0</v>
      </c>
    </row>
    <row r="24" spans="1:64" s="18" customFormat="1" ht="14.1" customHeight="1">
      <c r="A24" s="379">
        <f t="shared" si="73"/>
        <v>18</v>
      </c>
      <c r="B24" s="6"/>
      <c r="C24" s="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4.1" customHeight="1">
      <c r="A25" s="379">
        <f t="shared" si="73"/>
        <v>19</v>
      </c>
      <c r="B25" s="88" t="s">
        <v>29</v>
      </c>
      <c r="C25" s="38">
        <f>SUM(D25:BI25)</f>
        <v>-9396653</v>
      </c>
      <c r="D25" s="10">
        <f t="shared" ref="D25:K25" si="155">D457</f>
        <v>0</v>
      </c>
      <c r="E25" s="10">
        <f t="shared" si="155"/>
        <v>-6002692</v>
      </c>
      <c r="F25" s="10">
        <f t="shared" si="155"/>
        <v>-9199006</v>
      </c>
      <c r="G25" s="10">
        <f t="shared" si="155"/>
        <v>0</v>
      </c>
      <c r="H25" s="10">
        <f t="shared" si="155"/>
        <v>457503</v>
      </c>
      <c r="I25" s="10">
        <f t="shared" si="155"/>
        <v>0</v>
      </c>
      <c r="J25" s="10">
        <f t="shared" si="155"/>
        <v>0</v>
      </c>
      <c r="K25" s="10">
        <f t="shared" si="155"/>
        <v>0</v>
      </c>
      <c r="L25" s="10">
        <f t="shared" ref="L25:Y25" si="156">L457</f>
        <v>0</v>
      </c>
      <c r="M25" s="10">
        <f t="shared" si="156"/>
        <v>0</v>
      </c>
      <c r="N25" s="10">
        <f t="shared" si="156"/>
        <v>0</v>
      </c>
      <c r="O25" s="10">
        <f t="shared" si="156"/>
        <v>0</v>
      </c>
      <c r="P25" s="10">
        <f t="shared" si="156"/>
        <v>0</v>
      </c>
      <c r="Q25" s="10">
        <f t="shared" si="156"/>
        <v>0</v>
      </c>
      <c r="R25" s="10">
        <f t="shared" si="156"/>
        <v>0</v>
      </c>
      <c r="S25" s="10">
        <f t="shared" si="156"/>
        <v>0</v>
      </c>
      <c r="T25" s="10">
        <f>T457</f>
        <v>0</v>
      </c>
      <c r="U25" s="10">
        <f t="shared" si="156"/>
        <v>0</v>
      </c>
      <c r="V25" s="10">
        <f t="shared" si="156"/>
        <v>0</v>
      </c>
      <c r="W25" s="10">
        <f t="shared" si="156"/>
        <v>0</v>
      </c>
      <c r="X25" s="10">
        <f t="shared" si="156"/>
        <v>0</v>
      </c>
      <c r="Y25" s="10">
        <f t="shared" si="156"/>
        <v>0</v>
      </c>
      <c r="Z25" s="10">
        <f t="shared" ref="Z25:AE25" si="157">Z457</f>
        <v>0</v>
      </c>
      <c r="AA25" s="10">
        <f t="shared" si="157"/>
        <v>0</v>
      </c>
      <c r="AB25" s="10">
        <f t="shared" si="157"/>
        <v>103143</v>
      </c>
      <c r="AC25" s="10">
        <f t="shared" si="157"/>
        <v>0</v>
      </c>
      <c r="AD25" s="10">
        <f t="shared" si="157"/>
        <v>0</v>
      </c>
      <c r="AE25" s="10">
        <f t="shared" si="157"/>
        <v>0</v>
      </c>
      <c r="AF25" s="10">
        <f t="shared" ref="AF25:AL25" si="158">AF457</f>
        <v>5192765</v>
      </c>
      <c r="AG25" s="10">
        <f t="shared" si="158"/>
        <v>51634</v>
      </c>
      <c r="AH25" s="10">
        <f t="shared" si="158"/>
        <v>0</v>
      </c>
      <c r="AI25" s="10">
        <f t="shared" si="158"/>
        <v>0</v>
      </c>
      <c r="AJ25" s="10">
        <f t="shared" si="158"/>
        <v>0</v>
      </c>
      <c r="AK25" s="10">
        <f t="shared" si="158"/>
        <v>0</v>
      </c>
      <c r="AL25" s="10">
        <f t="shared" si="158"/>
        <v>0</v>
      </c>
      <c r="AM25" s="10">
        <f t="shared" ref="AM25:BB25" si="159">AM457</f>
        <v>0</v>
      </c>
      <c r="AN25" s="10">
        <f t="shared" si="159"/>
        <v>0</v>
      </c>
      <c r="AO25" s="10">
        <f t="shared" si="159"/>
        <v>0</v>
      </c>
      <c r="AP25" s="10">
        <f t="shared" si="159"/>
        <v>0</v>
      </c>
      <c r="AQ25" s="10">
        <f>AQ457</f>
        <v>0</v>
      </c>
      <c r="AR25" s="10">
        <f>AR457</f>
        <v>0</v>
      </c>
      <c r="AS25" s="10">
        <f t="shared" ref="AS25:AY25" si="160">AS457</f>
        <v>0</v>
      </c>
      <c r="AT25" s="10">
        <f t="shared" si="160"/>
        <v>0</v>
      </c>
      <c r="AU25" s="10">
        <f>AU457</f>
        <v>0</v>
      </c>
      <c r="AV25" s="10">
        <f t="shared" si="160"/>
        <v>0</v>
      </c>
      <c r="AW25" s="10">
        <f t="shared" si="160"/>
        <v>0</v>
      </c>
      <c r="AX25" s="10">
        <f t="shared" si="160"/>
        <v>0</v>
      </c>
      <c r="AY25" s="10">
        <f t="shared" si="160"/>
        <v>0</v>
      </c>
      <c r="AZ25" s="10">
        <f>AZ457</f>
        <v>0</v>
      </c>
      <c r="BA25" s="10">
        <f t="shared" si="159"/>
        <v>0</v>
      </c>
      <c r="BB25" s="10">
        <f t="shared" si="159"/>
        <v>0</v>
      </c>
      <c r="BC25" s="10">
        <f>BC457</f>
        <v>0</v>
      </c>
      <c r="BD25" s="10">
        <f>BD457</f>
        <v>0</v>
      </c>
      <c r="BE25" s="10">
        <f t="shared" ref="BE25:BG25" si="161">BE457</f>
        <v>0</v>
      </c>
      <c r="BF25" s="10">
        <f t="shared" si="161"/>
        <v>0</v>
      </c>
      <c r="BG25" s="10">
        <f t="shared" si="161"/>
        <v>0</v>
      </c>
      <c r="BH25" s="10">
        <f t="shared" ref="BH25:BL25" si="162">BH457</f>
        <v>0</v>
      </c>
      <c r="BI25" s="10">
        <f t="shared" si="162"/>
        <v>0</v>
      </c>
      <c r="BJ25" s="10">
        <f t="shared" si="162"/>
        <v>0</v>
      </c>
      <c r="BK25" s="10">
        <f t="shared" si="162"/>
        <v>0</v>
      </c>
      <c r="BL25" s="10">
        <f t="shared" si="162"/>
        <v>0</v>
      </c>
    </row>
    <row r="26" spans="1:64" ht="14.1" customHeight="1">
      <c r="A26" s="379">
        <f t="shared" si="73"/>
        <v>20</v>
      </c>
      <c r="B26" s="88" t="s">
        <v>30</v>
      </c>
      <c r="C26" s="38">
        <f>SUM(D26:BI26)</f>
        <v>799766</v>
      </c>
      <c r="D26" s="10">
        <f t="shared" ref="D26:K26" si="163">D476</f>
        <v>0</v>
      </c>
      <c r="E26" s="10">
        <f t="shared" si="163"/>
        <v>0</v>
      </c>
      <c r="F26" s="10">
        <f t="shared" si="163"/>
        <v>-189598</v>
      </c>
      <c r="G26" s="10">
        <f t="shared" si="163"/>
        <v>0</v>
      </c>
      <c r="H26" s="10">
        <f t="shared" si="163"/>
        <v>0</v>
      </c>
      <c r="I26" s="10">
        <f t="shared" si="163"/>
        <v>0</v>
      </c>
      <c r="J26" s="10">
        <f t="shared" si="163"/>
        <v>0</v>
      </c>
      <c r="K26" s="10">
        <f t="shared" si="163"/>
        <v>0</v>
      </c>
      <c r="L26" s="10">
        <f t="shared" ref="L26:Y26" si="164">L476</f>
        <v>0</v>
      </c>
      <c r="M26" s="10">
        <f t="shared" si="164"/>
        <v>0</v>
      </c>
      <c r="N26" s="10">
        <f t="shared" si="164"/>
        <v>0</v>
      </c>
      <c r="O26" s="10">
        <f t="shared" si="164"/>
        <v>0</v>
      </c>
      <c r="P26" s="10">
        <f t="shared" si="164"/>
        <v>0</v>
      </c>
      <c r="Q26" s="10">
        <f t="shared" si="164"/>
        <v>0</v>
      </c>
      <c r="R26" s="10">
        <f t="shared" si="164"/>
        <v>0</v>
      </c>
      <c r="S26" s="10">
        <f t="shared" si="164"/>
        <v>0</v>
      </c>
      <c r="T26" s="10">
        <f>T476</f>
        <v>0</v>
      </c>
      <c r="U26" s="10">
        <f t="shared" si="164"/>
        <v>0</v>
      </c>
      <c r="V26" s="10">
        <f t="shared" si="164"/>
        <v>0</v>
      </c>
      <c r="W26" s="10">
        <f t="shared" si="164"/>
        <v>0</v>
      </c>
      <c r="X26" s="10">
        <f t="shared" si="164"/>
        <v>0</v>
      </c>
      <c r="Y26" s="10">
        <f t="shared" si="164"/>
        <v>0</v>
      </c>
      <c r="Z26" s="10">
        <f t="shared" ref="Z26:AE26" si="165">Z476</f>
        <v>0</v>
      </c>
      <c r="AA26" s="10">
        <f t="shared" si="165"/>
        <v>0</v>
      </c>
      <c r="AB26" s="10">
        <f t="shared" si="165"/>
        <v>0</v>
      </c>
      <c r="AC26" s="10">
        <f t="shared" si="165"/>
        <v>0</v>
      </c>
      <c r="AD26" s="10">
        <f t="shared" si="165"/>
        <v>-96919</v>
      </c>
      <c r="AE26" s="10">
        <f t="shared" si="165"/>
        <v>0</v>
      </c>
      <c r="AF26" s="10">
        <f t="shared" ref="AF26:AL26" si="166">AF476</f>
        <v>0</v>
      </c>
      <c r="AG26" s="10">
        <f t="shared" si="166"/>
        <v>0</v>
      </c>
      <c r="AH26" s="10">
        <f t="shared" si="166"/>
        <v>0</v>
      </c>
      <c r="AI26" s="10">
        <f t="shared" si="166"/>
        <v>5435</v>
      </c>
      <c r="AJ26" s="10">
        <f t="shared" si="166"/>
        <v>0</v>
      </c>
      <c r="AK26" s="10">
        <f t="shared" si="166"/>
        <v>0</v>
      </c>
      <c r="AL26" s="10">
        <f t="shared" si="166"/>
        <v>0</v>
      </c>
      <c r="AM26" s="10">
        <f t="shared" ref="AM26:BB26" si="167">AM476</f>
        <v>0</v>
      </c>
      <c r="AN26" s="10">
        <f t="shared" si="167"/>
        <v>0</v>
      </c>
      <c r="AO26" s="10">
        <f t="shared" si="167"/>
        <v>0</v>
      </c>
      <c r="AP26" s="10">
        <f t="shared" si="167"/>
        <v>0</v>
      </c>
      <c r="AQ26" s="10">
        <f>AQ476</f>
        <v>0</v>
      </c>
      <c r="AR26" s="10">
        <f>AR476</f>
        <v>0</v>
      </c>
      <c r="AS26" s="10">
        <f t="shared" ref="AS26:AY26" si="168">AS476</f>
        <v>0</v>
      </c>
      <c r="AT26" s="10">
        <f t="shared" si="168"/>
        <v>0</v>
      </c>
      <c r="AU26" s="10">
        <f>AU476</f>
        <v>0</v>
      </c>
      <c r="AV26" s="10">
        <f t="shared" si="168"/>
        <v>0</v>
      </c>
      <c r="AW26" s="10">
        <f t="shared" si="168"/>
        <v>0</v>
      </c>
      <c r="AX26" s="10">
        <f t="shared" si="168"/>
        <v>0</v>
      </c>
      <c r="AY26" s="10">
        <f t="shared" si="168"/>
        <v>0</v>
      </c>
      <c r="AZ26" s="10">
        <f>AZ476</f>
        <v>1527835</v>
      </c>
      <c r="BA26" s="10">
        <f t="shared" si="167"/>
        <v>-407790</v>
      </c>
      <c r="BB26" s="10">
        <f t="shared" si="167"/>
        <v>-39197</v>
      </c>
      <c r="BC26" s="10">
        <f>BC476</f>
        <v>0</v>
      </c>
      <c r="BD26" s="10">
        <f>BD476</f>
        <v>0</v>
      </c>
      <c r="BE26" s="10">
        <f t="shared" ref="BE26:BG26" si="169">BE476</f>
        <v>0</v>
      </c>
      <c r="BF26" s="10">
        <f t="shared" si="169"/>
        <v>0</v>
      </c>
      <c r="BG26" s="10">
        <f t="shared" si="169"/>
        <v>0</v>
      </c>
      <c r="BH26" s="10">
        <f t="shared" ref="BH26:BL26" si="170">BH476</f>
        <v>0</v>
      </c>
      <c r="BI26" s="10">
        <f t="shared" si="170"/>
        <v>0</v>
      </c>
      <c r="BJ26" s="10">
        <f t="shared" si="170"/>
        <v>0</v>
      </c>
      <c r="BK26" s="10">
        <f t="shared" si="170"/>
        <v>0</v>
      </c>
      <c r="BL26" s="10">
        <f t="shared" si="170"/>
        <v>0</v>
      </c>
    </row>
    <row r="27" spans="1:64" ht="14.1" customHeight="1">
      <c r="A27" s="379">
        <f t="shared" si="73"/>
        <v>21</v>
      </c>
      <c r="B27" s="88" t="s">
        <v>31</v>
      </c>
      <c r="C27" s="38">
        <f>SUM(D27:BI27)</f>
        <v>-2719628</v>
      </c>
      <c r="D27" s="10">
        <f t="shared" ref="D27:K27" si="171">D498</f>
        <v>-362979</v>
      </c>
      <c r="E27" s="10">
        <f t="shared" si="171"/>
        <v>-1226032</v>
      </c>
      <c r="F27" s="10">
        <f t="shared" si="171"/>
        <v>774656</v>
      </c>
      <c r="G27" s="10">
        <f t="shared" si="171"/>
        <v>0</v>
      </c>
      <c r="H27" s="10">
        <f t="shared" si="171"/>
        <v>-1685314</v>
      </c>
      <c r="I27" s="10">
        <f t="shared" si="171"/>
        <v>22350</v>
      </c>
      <c r="J27" s="10">
        <f t="shared" si="171"/>
        <v>-18095</v>
      </c>
      <c r="K27" s="10">
        <f t="shared" si="171"/>
        <v>0</v>
      </c>
      <c r="L27" s="10">
        <f t="shared" ref="L27:Y27" si="172">L498</f>
        <v>-17658</v>
      </c>
      <c r="M27" s="10">
        <f t="shared" si="172"/>
        <v>0</v>
      </c>
      <c r="N27" s="10">
        <f t="shared" si="172"/>
        <v>0</v>
      </c>
      <c r="O27" s="10">
        <f t="shared" si="172"/>
        <v>-181003</v>
      </c>
      <c r="P27" s="10">
        <f t="shared" si="172"/>
        <v>-277026</v>
      </c>
      <c r="Q27" s="10">
        <f t="shared" si="172"/>
        <v>81023</v>
      </c>
      <c r="R27" s="10">
        <f t="shared" si="172"/>
        <v>12921</v>
      </c>
      <c r="S27" s="10">
        <f t="shared" si="172"/>
        <v>-29959</v>
      </c>
      <c r="T27" s="10">
        <f>T498</f>
        <v>-21143</v>
      </c>
      <c r="U27" s="10">
        <f t="shared" si="172"/>
        <v>-30900</v>
      </c>
      <c r="V27" s="10">
        <f t="shared" si="172"/>
        <v>6556</v>
      </c>
      <c r="W27" s="10">
        <f t="shared" si="172"/>
        <v>6420</v>
      </c>
      <c r="X27" s="10">
        <f t="shared" si="172"/>
        <v>0</v>
      </c>
      <c r="Y27" s="10">
        <f t="shared" si="172"/>
        <v>22460</v>
      </c>
      <c r="Z27" s="10">
        <f t="shared" ref="Z27:AE27" si="173">Z498</f>
        <v>-837138</v>
      </c>
      <c r="AA27" s="10">
        <f t="shared" si="173"/>
        <v>-12203</v>
      </c>
      <c r="AB27" s="10">
        <f t="shared" si="173"/>
        <v>11015</v>
      </c>
      <c r="AC27" s="10">
        <f t="shared" si="173"/>
        <v>90231</v>
      </c>
      <c r="AD27" s="10">
        <f t="shared" si="173"/>
        <v>119704</v>
      </c>
      <c r="AE27" s="10">
        <f t="shared" si="173"/>
        <v>1613</v>
      </c>
      <c r="AF27" s="10">
        <f t="shared" ref="AF27:AL27" si="174">AF498</f>
        <v>0</v>
      </c>
      <c r="AG27" s="10">
        <f t="shared" si="174"/>
        <v>0</v>
      </c>
      <c r="AH27" s="10">
        <f t="shared" si="174"/>
        <v>0</v>
      </c>
      <c r="AI27" s="10">
        <f t="shared" si="174"/>
        <v>-318</v>
      </c>
      <c r="AJ27" s="10">
        <f t="shared" si="174"/>
        <v>441404</v>
      </c>
      <c r="AK27" s="10">
        <f t="shared" si="174"/>
        <v>0</v>
      </c>
      <c r="AL27" s="10">
        <f t="shared" si="174"/>
        <v>0</v>
      </c>
      <c r="AM27" s="10">
        <f t="shared" ref="AM27:BB27" si="175">AM498</f>
        <v>0</v>
      </c>
      <c r="AN27" s="10">
        <f t="shared" si="175"/>
        <v>-12540</v>
      </c>
      <c r="AO27" s="10">
        <f t="shared" si="175"/>
        <v>36886</v>
      </c>
      <c r="AP27" s="10">
        <f t="shared" si="175"/>
        <v>15418</v>
      </c>
      <c r="AQ27" s="10">
        <f>AQ498</f>
        <v>556</v>
      </c>
      <c r="AR27" s="10">
        <f>AR498</f>
        <v>-99264</v>
      </c>
      <c r="AS27" s="10">
        <f t="shared" ref="AS27:AY27" si="176">AS498</f>
        <v>-3017</v>
      </c>
      <c r="AT27" s="10">
        <f t="shared" si="176"/>
        <v>0</v>
      </c>
      <c r="AU27" s="10">
        <f>AU498</f>
        <v>3361</v>
      </c>
      <c r="AV27" s="10">
        <f t="shared" si="176"/>
        <v>8371</v>
      </c>
      <c r="AW27" s="10">
        <f t="shared" si="176"/>
        <v>-2442</v>
      </c>
      <c r="AX27" s="10">
        <f t="shared" si="176"/>
        <v>-53822</v>
      </c>
      <c r="AY27" s="10">
        <f t="shared" si="176"/>
        <v>-13586</v>
      </c>
      <c r="AZ27" s="10">
        <f>AZ498</f>
        <v>-89447</v>
      </c>
      <c r="BA27" s="10">
        <f t="shared" si="175"/>
        <v>0</v>
      </c>
      <c r="BB27" s="10">
        <f t="shared" si="175"/>
        <v>2295</v>
      </c>
      <c r="BC27" s="10">
        <f>BC498</f>
        <v>0</v>
      </c>
      <c r="BD27" s="10">
        <f>BD498</f>
        <v>570185</v>
      </c>
      <c r="BE27" s="10">
        <f t="shared" ref="BE27:BG27" si="177">BE498</f>
        <v>0</v>
      </c>
      <c r="BF27" s="10">
        <f t="shared" si="177"/>
        <v>0</v>
      </c>
      <c r="BG27" s="10">
        <f t="shared" si="177"/>
        <v>0</v>
      </c>
      <c r="BH27" s="10">
        <f t="shared" ref="BH27:BL27" si="178">BH498</f>
        <v>0</v>
      </c>
      <c r="BI27" s="10">
        <f t="shared" si="178"/>
        <v>26833</v>
      </c>
      <c r="BJ27" s="10">
        <f t="shared" si="178"/>
        <v>0</v>
      </c>
      <c r="BK27" s="10">
        <f t="shared" si="178"/>
        <v>0</v>
      </c>
      <c r="BL27" s="10">
        <f t="shared" si="178"/>
        <v>0</v>
      </c>
    </row>
    <row r="28" spans="1:64" ht="14.1" customHeight="1">
      <c r="A28" s="379">
        <f t="shared" si="73"/>
        <v>22</v>
      </c>
      <c r="B28" s="88" t="s">
        <v>32</v>
      </c>
      <c r="C28" s="38">
        <f>SUM(D28:BI28)</f>
        <v>-220699</v>
      </c>
      <c r="D28" s="10">
        <f t="shared" ref="D28:K28" si="179">D483</f>
        <v>0</v>
      </c>
      <c r="E28" s="10">
        <f t="shared" si="179"/>
        <v>0</v>
      </c>
      <c r="F28" s="10">
        <f t="shared" si="179"/>
        <v>0</v>
      </c>
      <c r="G28" s="10">
        <f t="shared" si="179"/>
        <v>0</v>
      </c>
      <c r="H28" s="10">
        <f t="shared" si="179"/>
        <v>0</v>
      </c>
      <c r="I28" s="10">
        <f t="shared" si="179"/>
        <v>0</v>
      </c>
      <c r="J28" s="10">
        <f t="shared" si="179"/>
        <v>0</v>
      </c>
      <c r="K28" s="10">
        <f t="shared" si="179"/>
        <v>0</v>
      </c>
      <c r="L28" s="10">
        <f t="shared" ref="L28:Y28" si="180">L483</f>
        <v>0</v>
      </c>
      <c r="M28" s="10">
        <f t="shared" si="180"/>
        <v>0</v>
      </c>
      <c r="N28" s="10">
        <f t="shared" si="180"/>
        <v>0</v>
      </c>
      <c r="O28" s="10">
        <f t="shared" si="180"/>
        <v>0</v>
      </c>
      <c r="P28" s="10">
        <f t="shared" si="180"/>
        <v>0</v>
      </c>
      <c r="Q28" s="10">
        <f t="shared" si="180"/>
        <v>0</v>
      </c>
      <c r="R28" s="10">
        <f>R483</f>
        <v>-220699</v>
      </c>
      <c r="S28" s="10">
        <f t="shared" si="180"/>
        <v>0</v>
      </c>
      <c r="T28" s="10">
        <f>T483</f>
        <v>0</v>
      </c>
      <c r="U28" s="10">
        <f t="shared" si="180"/>
        <v>0</v>
      </c>
      <c r="V28" s="10">
        <f t="shared" si="180"/>
        <v>0</v>
      </c>
      <c r="W28" s="10">
        <f t="shared" si="180"/>
        <v>0</v>
      </c>
      <c r="X28" s="10">
        <f t="shared" si="180"/>
        <v>0</v>
      </c>
      <c r="Y28" s="10">
        <f t="shared" si="180"/>
        <v>0</v>
      </c>
      <c r="Z28" s="10">
        <f t="shared" ref="Z28:AE28" si="181">Z483</f>
        <v>0</v>
      </c>
      <c r="AA28" s="10">
        <f t="shared" si="181"/>
        <v>0</v>
      </c>
      <c r="AB28" s="10">
        <f t="shared" si="181"/>
        <v>0</v>
      </c>
      <c r="AC28" s="10">
        <f t="shared" si="181"/>
        <v>0</v>
      </c>
      <c r="AD28" s="10">
        <f t="shared" si="181"/>
        <v>0</v>
      </c>
      <c r="AE28" s="10">
        <f t="shared" si="181"/>
        <v>0</v>
      </c>
      <c r="AF28" s="10">
        <f t="shared" ref="AF28:AL28" si="182">AF483</f>
        <v>0</v>
      </c>
      <c r="AG28" s="10">
        <f t="shared" si="182"/>
        <v>0</v>
      </c>
      <c r="AH28" s="10">
        <f t="shared" si="182"/>
        <v>0</v>
      </c>
      <c r="AI28" s="10">
        <f t="shared" si="182"/>
        <v>0</v>
      </c>
      <c r="AJ28" s="10">
        <f t="shared" si="182"/>
        <v>0</v>
      </c>
      <c r="AK28" s="10">
        <f t="shared" si="182"/>
        <v>0</v>
      </c>
      <c r="AL28" s="10">
        <f t="shared" si="182"/>
        <v>0</v>
      </c>
      <c r="AM28" s="10">
        <f>AM483</f>
        <v>0</v>
      </c>
      <c r="AN28" s="10">
        <f t="shared" ref="AN28:BB28" si="183">AN483</f>
        <v>0</v>
      </c>
      <c r="AO28" s="10">
        <f t="shared" si="183"/>
        <v>0</v>
      </c>
      <c r="AP28" s="10">
        <f t="shared" si="183"/>
        <v>0</v>
      </c>
      <c r="AQ28" s="10">
        <f>AQ483</f>
        <v>0</v>
      </c>
      <c r="AR28" s="10">
        <f>AR483</f>
        <v>0</v>
      </c>
      <c r="AS28" s="10">
        <f t="shared" ref="AS28:AY28" si="184">AS483</f>
        <v>0</v>
      </c>
      <c r="AT28" s="10">
        <f t="shared" si="184"/>
        <v>0</v>
      </c>
      <c r="AU28" s="10">
        <f>AU483</f>
        <v>0</v>
      </c>
      <c r="AV28" s="10">
        <f t="shared" si="184"/>
        <v>0</v>
      </c>
      <c r="AW28" s="10">
        <f t="shared" si="184"/>
        <v>0</v>
      </c>
      <c r="AX28" s="10">
        <f t="shared" si="184"/>
        <v>0</v>
      </c>
      <c r="AY28" s="10">
        <f t="shared" si="184"/>
        <v>0</v>
      </c>
      <c r="AZ28" s="10">
        <f>AZ483</f>
        <v>0</v>
      </c>
      <c r="BA28" s="10">
        <f t="shared" si="183"/>
        <v>0</v>
      </c>
      <c r="BB28" s="10">
        <f t="shared" si="183"/>
        <v>0</v>
      </c>
      <c r="BC28" s="10">
        <f>BC483</f>
        <v>0</v>
      </c>
      <c r="BD28" s="10">
        <f>BD483</f>
        <v>0</v>
      </c>
      <c r="BE28" s="10">
        <f t="shared" ref="BE28:BG28" si="185">BE483</f>
        <v>0</v>
      </c>
      <c r="BF28" s="10">
        <f t="shared" si="185"/>
        <v>0</v>
      </c>
      <c r="BG28" s="10">
        <f t="shared" si="185"/>
        <v>0</v>
      </c>
      <c r="BH28" s="10">
        <f t="shared" ref="BH28:BL28" si="186">BH483</f>
        <v>0</v>
      </c>
      <c r="BI28" s="10">
        <f t="shared" si="186"/>
        <v>0</v>
      </c>
      <c r="BJ28" s="10">
        <f t="shared" si="186"/>
        <v>0</v>
      </c>
      <c r="BK28" s="10">
        <f t="shared" si="186"/>
        <v>0</v>
      </c>
      <c r="BL28" s="10">
        <f t="shared" si="186"/>
        <v>0</v>
      </c>
    </row>
    <row r="29" spans="1:64" ht="14.1" customHeight="1">
      <c r="A29" s="379">
        <f t="shared" si="73"/>
        <v>23</v>
      </c>
      <c r="B29" s="56" t="s">
        <v>33</v>
      </c>
      <c r="C29" s="206">
        <f>SUM(D29:BI29)</f>
        <v>-150304</v>
      </c>
      <c r="D29" s="64">
        <f t="shared" ref="D29:K29" si="187">D494</f>
        <v>0</v>
      </c>
      <c r="E29" s="64">
        <f t="shared" si="187"/>
        <v>0</v>
      </c>
      <c r="F29" s="64">
        <f t="shared" si="187"/>
        <v>0</v>
      </c>
      <c r="G29" s="64">
        <f t="shared" si="187"/>
        <v>0</v>
      </c>
      <c r="H29" s="64">
        <f t="shared" si="187"/>
        <v>0</v>
      </c>
      <c r="I29" s="64">
        <f t="shared" si="187"/>
        <v>0</v>
      </c>
      <c r="J29" s="64">
        <f t="shared" si="187"/>
        <v>0</v>
      </c>
      <c r="K29" s="64">
        <f t="shared" si="187"/>
        <v>0</v>
      </c>
      <c r="L29" s="64">
        <f t="shared" ref="L29:Y29" si="188">L494</f>
        <v>0</v>
      </c>
      <c r="M29" s="64">
        <f t="shared" si="188"/>
        <v>0</v>
      </c>
      <c r="N29" s="64">
        <f t="shared" si="188"/>
        <v>0</v>
      </c>
      <c r="O29" s="64">
        <f t="shared" si="188"/>
        <v>0</v>
      </c>
      <c r="P29" s="64">
        <f t="shared" si="188"/>
        <v>0</v>
      </c>
      <c r="Q29" s="64">
        <f t="shared" si="188"/>
        <v>0</v>
      </c>
      <c r="R29" s="64">
        <f t="shared" si="188"/>
        <v>0</v>
      </c>
      <c r="S29" s="64">
        <f t="shared" si="188"/>
        <v>0</v>
      </c>
      <c r="T29" s="64">
        <f>T494</f>
        <v>0</v>
      </c>
      <c r="U29" s="64">
        <f t="shared" si="188"/>
        <v>0</v>
      </c>
      <c r="V29" s="64">
        <f t="shared" si="188"/>
        <v>0</v>
      </c>
      <c r="W29" s="64">
        <f t="shared" si="188"/>
        <v>0</v>
      </c>
      <c r="X29" s="64">
        <f t="shared" si="188"/>
        <v>0</v>
      </c>
      <c r="Y29" s="64">
        <f t="shared" si="188"/>
        <v>0</v>
      </c>
      <c r="Z29" s="64">
        <f t="shared" ref="Z29:AE29" si="189">Z494</f>
        <v>0</v>
      </c>
      <c r="AA29" s="64">
        <f t="shared" si="189"/>
        <v>0</v>
      </c>
      <c r="AB29" s="64">
        <f t="shared" si="189"/>
        <v>0</v>
      </c>
      <c r="AC29" s="64">
        <f t="shared" si="189"/>
        <v>0</v>
      </c>
      <c r="AD29" s="64">
        <f t="shared" si="189"/>
        <v>0</v>
      </c>
      <c r="AE29" s="64">
        <f t="shared" si="189"/>
        <v>0</v>
      </c>
      <c r="AF29" s="64">
        <f t="shared" ref="AF29:AL29" si="190">AF494</f>
        <v>0</v>
      </c>
      <c r="AG29" s="64">
        <f t="shared" si="190"/>
        <v>0</v>
      </c>
      <c r="AH29" s="64">
        <f t="shared" si="190"/>
        <v>-150304</v>
      </c>
      <c r="AI29" s="64">
        <f t="shared" si="190"/>
        <v>0</v>
      </c>
      <c r="AJ29" s="64">
        <f t="shared" si="190"/>
        <v>0</v>
      </c>
      <c r="AK29" s="64">
        <f t="shared" si="190"/>
        <v>0</v>
      </c>
      <c r="AL29" s="64">
        <f t="shared" si="190"/>
        <v>0</v>
      </c>
      <c r="AM29" s="64">
        <f t="shared" ref="AM29:BB29" si="191">AM494</f>
        <v>0</v>
      </c>
      <c r="AN29" s="64">
        <f t="shared" si="191"/>
        <v>0</v>
      </c>
      <c r="AO29" s="64">
        <f t="shared" si="191"/>
        <v>0</v>
      </c>
      <c r="AP29" s="64">
        <f t="shared" si="191"/>
        <v>0</v>
      </c>
      <c r="AQ29" s="64">
        <f>AQ494</f>
        <v>0</v>
      </c>
      <c r="AR29" s="64">
        <f>AR494</f>
        <v>0</v>
      </c>
      <c r="AS29" s="64">
        <f t="shared" ref="AS29:AY29" si="192">AS494</f>
        <v>0</v>
      </c>
      <c r="AT29" s="64">
        <f t="shared" si="192"/>
        <v>0</v>
      </c>
      <c r="AU29" s="64">
        <f>AU494</f>
        <v>0</v>
      </c>
      <c r="AV29" s="64">
        <f t="shared" si="192"/>
        <v>0</v>
      </c>
      <c r="AW29" s="64">
        <f t="shared" si="192"/>
        <v>0</v>
      </c>
      <c r="AX29" s="64">
        <f t="shared" si="192"/>
        <v>0</v>
      </c>
      <c r="AY29" s="64">
        <f t="shared" si="192"/>
        <v>0</v>
      </c>
      <c r="AZ29" s="64">
        <f>AZ494</f>
        <v>0</v>
      </c>
      <c r="BA29" s="64">
        <f t="shared" si="191"/>
        <v>0</v>
      </c>
      <c r="BB29" s="64">
        <f t="shared" si="191"/>
        <v>0</v>
      </c>
      <c r="BC29" s="64">
        <f>BC494</f>
        <v>0</v>
      </c>
      <c r="BD29" s="64">
        <f>BD494</f>
        <v>0</v>
      </c>
      <c r="BE29" s="64">
        <f t="shared" ref="BE29:BG29" si="193">BE494</f>
        <v>0</v>
      </c>
      <c r="BF29" s="64">
        <f t="shared" si="193"/>
        <v>0</v>
      </c>
      <c r="BG29" s="64">
        <f t="shared" si="193"/>
        <v>0</v>
      </c>
      <c r="BH29" s="64">
        <f t="shared" ref="BH29:BL29" si="194">BH494</f>
        <v>0</v>
      </c>
      <c r="BI29" s="64">
        <f t="shared" si="194"/>
        <v>0</v>
      </c>
      <c r="BJ29" s="64">
        <f t="shared" si="194"/>
        <v>0</v>
      </c>
      <c r="BK29" s="64">
        <f t="shared" si="194"/>
        <v>0</v>
      </c>
      <c r="BL29" s="64">
        <f t="shared" si="194"/>
        <v>0</v>
      </c>
    </row>
    <row r="30" spans="1:64" s="18" customFormat="1" ht="14.1" customHeight="1">
      <c r="A30" s="379">
        <f t="shared" si="73"/>
        <v>24</v>
      </c>
      <c r="B30" s="2" t="s">
        <v>34</v>
      </c>
      <c r="C30" s="16">
        <f t="shared" ref="C30:H30" si="195">SUM(C12)-SUM(C23:C29)</f>
        <v>-51186912.922561795</v>
      </c>
      <c r="D30" s="16">
        <f t="shared" si="195"/>
        <v>-5837021</v>
      </c>
      <c r="E30" s="16">
        <f>SUM(E12)-SUM(E23:E29)</f>
        <v>-13782379</v>
      </c>
      <c r="F30" s="16">
        <f>SUM(F12)-SUM(F23:F29)</f>
        <v>12457154</v>
      </c>
      <c r="G30" s="16">
        <f>SUM(G12)-SUM(G23:G29)</f>
        <v>0</v>
      </c>
      <c r="H30" s="16">
        <f t="shared" si="195"/>
        <v>-27558839.5725618</v>
      </c>
      <c r="I30" s="16">
        <f>SUM(I12)-SUM(I23:I29)</f>
        <v>359407</v>
      </c>
      <c r="J30" s="16">
        <f>SUM(J12)-SUM(J23:J29)</f>
        <v>-290991</v>
      </c>
      <c r="K30" s="16">
        <f>SUM(K12)-SUM(K23:K29)</f>
        <v>1</v>
      </c>
      <c r="L30" s="16">
        <f t="shared" ref="L30:Y30" si="196">SUM(L12)-SUM(L23:L29)</f>
        <v>-283955</v>
      </c>
      <c r="M30" s="16">
        <f t="shared" si="196"/>
        <v>0</v>
      </c>
      <c r="N30" s="16">
        <f t="shared" si="196"/>
        <v>0</v>
      </c>
      <c r="O30" s="16">
        <f t="shared" si="196"/>
        <v>-2910681</v>
      </c>
      <c r="P30" s="16">
        <f t="shared" si="196"/>
        <v>-4454825</v>
      </c>
      <c r="Q30" s="16">
        <f t="shared" si="196"/>
        <v>1302919</v>
      </c>
      <c r="R30" s="16">
        <f t="shared" si="196"/>
        <v>207778</v>
      </c>
      <c r="S30" s="16">
        <f t="shared" si="196"/>
        <v>-481770</v>
      </c>
      <c r="T30" s="16">
        <f>SUM(T12)-SUM(T23:T29)</f>
        <v>-340003</v>
      </c>
      <c r="U30" s="16">
        <f t="shared" si="196"/>
        <v>-496892</v>
      </c>
      <c r="V30" s="16">
        <f t="shared" si="196"/>
        <v>105426</v>
      </c>
      <c r="W30" s="16">
        <f t="shared" si="196"/>
        <v>103236.54999999997</v>
      </c>
      <c r="X30" s="16">
        <f t="shared" si="196"/>
        <v>8840</v>
      </c>
      <c r="Y30" s="16">
        <f t="shared" si="196"/>
        <v>361184</v>
      </c>
      <c r="Z30" s="16">
        <f t="shared" ref="Z30:AC30" si="197">SUM(Z12)-SUM(Z23:Z29)</f>
        <v>-13461911</v>
      </c>
      <c r="AA30" s="16">
        <f t="shared" si="197"/>
        <v>-196233</v>
      </c>
      <c r="AB30" s="16">
        <f t="shared" si="197"/>
        <v>-114158</v>
      </c>
      <c r="AC30" s="16">
        <f t="shared" si="197"/>
        <v>1450986</v>
      </c>
      <c r="AD30" s="16">
        <f t="shared" ref="AD30:AL30" si="198">SUM(AD12)-SUM(AD23:AD29)</f>
        <v>1471418</v>
      </c>
      <c r="AE30" s="16">
        <f t="shared" si="198"/>
        <v>25943</v>
      </c>
      <c r="AF30" s="16">
        <f t="shared" si="198"/>
        <v>-5192765</v>
      </c>
      <c r="AG30" s="16">
        <f t="shared" si="198"/>
        <v>-51634</v>
      </c>
      <c r="AH30" s="16">
        <f t="shared" si="198"/>
        <v>150304</v>
      </c>
      <c r="AI30" s="16">
        <f t="shared" si="198"/>
        <v>-5117</v>
      </c>
      <c r="AJ30" s="16">
        <f t="shared" si="198"/>
        <v>-441404</v>
      </c>
      <c r="AK30" s="16">
        <f t="shared" si="198"/>
        <v>0</v>
      </c>
      <c r="AL30" s="16">
        <f t="shared" si="198"/>
        <v>0</v>
      </c>
      <c r="AM30" s="16">
        <f t="shared" ref="AM30:BB30" si="199">SUM(AM12)-SUM(AM23:AM29)</f>
        <v>0</v>
      </c>
      <c r="AN30" s="16">
        <f t="shared" si="199"/>
        <v>-201657.60000000001</v>
      </c>
      <c r="AO30" s="16">
        <f t="shared" si="199"/>
        <v>593160</v>
      </c>
      <c r="AP30" s="16">
        <f t="shared" si="199"/>
        <v>247935</v>
      </c>
      <c r="AQ30" s="16">
        <f>SUM(AQ12)-SUM(AQ23:AQ29)</f>
        <v>8940</v>
      </c>
      <c r="AR30" s="16">
        <f>SUM(AR12)-SUM(AR23:AR29)</f>
        <v>-1596249</v>
      </c>
      <c r="AS30" s="16">
        <f t="shared" ref="AS30:AY30" si="200">SUM(AS12)-SUM(AS23:AS29)</f>
        <v>-48510</v>
      </c>
      <c r="AT30" s="16">
        <f t="shared" si="200"/>
        <v>33163</v>
      </c>
      <c r="AU30" s="16">
        <f>SUM(AU12)-SUM(AU23:AU29)</f>
        <v>54046</v>
      </c>
      <c r="AV30" s="16">
        <f t="shared" si="200"/>
        <v>134609</v>
      </c>
      <c r="AW30" s="16">
        <f t="shared" si="200"/>
        <v>-39265</v>
      </c>
      <c r="AX30" s="16">
        <f t="shared" si="200"/>
        <v>-865509</v>
      </c>
      <c r="AY30" s="16">
        <f t="shared" si="200"/>
        <v>-218479</v>
      </c>
      <c r="AZ30" s="16">
        <f>SUM(AZ12)-SUM(AZ23:AZ29)</f>
        <v>-1438388</v>
      </c>
      <c r="BA30" s="16">
        <f t="shared" si="199"/>
        <v>407790</v>
      </c>
      <c r="BB30" s="16">
        <f t="shared" si="199"/>
        <v>36902</v>
      </c>
      <c r="BC30" s="16">
        <f>SUM(BC12)-SUM(BC23:BC29)</f>
        <v>0</v>
      </c>
      <c r="BD30" s="16">
        <f>SUM(BD12)-SUM(BD23:BD29)</f>
        <v>9169081.6999999993</v>
      </c>
      <c r="BE30" s="16">
        <f t="shared" ref="BE30:BG30" si="201">SUM(BE12)-SUM(BE23:BE29)</f>
        <v>0</v>
      </c>
      <c r="BF30" s="16">
        <f t="shared" si="201"/>
        <v>0</v>
      </c>
      <c r="BG30" s="16">
        <f t="shared" si="201"/>
        <v>0</v>
      </c>
      <c r="BH30" s="16">
        <f t="shared" ref="BH30:BL30" si="202">SUM(BH12)-SUM(BH23:BH29)</f>
        <v>0</v>
      </c>
      <c r="BI30" s="16">
        <f t="shared" si="202"/>
        <v>431500</v>
      </c>
      <c r="BJ30" s="16">
        <f t="shared" si="202"/>
        <v>0</v>
      </c>
      <c r="BK30" s="16">
        <f t="shared" si="202"/>
        <v>0</v>
      </c>
      <c r="BL30" s="16">
        <f t="shared" si="202"/>
        <v>0</v>
      </c>
    </row>
    <row r="31" spans="1:64" s="18" customFormat="1" ht="14.1" customHeight="1">
      <c r="A31" s="379">
        <f t="shared" si="73"/>
        <v>25</v>
      </c>
      <c r="B31" s="6"/>
      <c r="C31" s="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4.1" customHeight="1">
      <c r="A32" s="379">
        <f t="shared" si="73"/>
        <v>26</v>
      </c>
      <c r="B32" s="3" t="s">
        <v>35</v>
      </c>
      <c r="C32" s="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4.1" customHeight="1">
      <c r="A33" s="379">
        <f t="shared" si="73"/>
        <v>27</v>
      </c>
      <c r="B33" s="88" t="s">
        <v>36</v>
      </c>
      <c r="C33" s="38">
        <f>SUM(D33:BI33)</f>
        <v>-9184154</v>
      </c>
      <c r="D33" s="10">
        <f>D499</f>
        <v>-1225774</v>
      </c>
      <c r="E33" s="10">
        <f>E499</f>
        <v>-4140292</v>
      </c>
      <c r="F33" s="10">
        <f>F499</f>
        <v>2616002</v>
      </c>
      <c r="G33" s="10">
        <f>G499</f>
        <v>0</v>
      </c>
      <c r="H33" s="10">
        <f>H499</f>
        <v>-5691281</v>
      </c>
      <c r="I33" s="10">
        <f t="shared" ref="I33:J36" si="203">I499</f>
        <v>75475</v>
      </c>
      <c r="J33" s="10">
        <f t="shared" si="203"/>
        <v>-61108</v>
      </c>
      <c r="K33" s="10">
        <f>K499</f>
        <v>0</v>
      </c>
      <c r="L33" s="10">
        <f t="shared" ref="L33:Y33" si="204">L499</f>
        <v>-59631</v>
      </c>
      <c r="M33" s="10">
        <f t="shared" si="204"/>
        <v>0</v>
      </c>
      <c r="N33" s="10">
        <f t="shared" si="204"/>
        <v>0</v>
      </c>
      <c r="O33" s="10">
        <f t="shared" si="204"/>
        <v>-611243</v>
      </c>
      <c r="P33" s="10">
        <f t="shared" si="204"/>
        <v>-935513</v>
      </c>
      <c r="Q33" s="10">
        <f t="shared" si="204"/>
        <v>273613</v>
      </c>
      <c r="R33" s="10">
        <f t="shared" si="204"/>
        <v>43633</v>
      </c>
      <c r="S33" s="10">
        <f t="shared" si="204"/>
        <v>-101172</v>
      </c>
      <c r="T33" s="10">
        <f>T499</f>
        <v>-71401</v>
      </c>
      <c r="U33" s="10">
        <f t="shared" si="204"/>
        <v>-104347</v>
      </c>
      <c r="V33" s="10">
        <f t="shared" si="204"/>
        <v>22139</v>
      </c>
      <c r="W33" s="10">
        <f t="shared" si="204"/>
        <v>21680</v>
      </c>
      <c r="X33" s="10">
        <f t="shared" si="204"/>
        <v>0</v>
      </c>
      <c r="Y33" s="10">
        <f t="shared" si="204"/>
        <v>75849</v>
      </c>
      <c r="Z33" s="10">
        <f t="shared" ref="Z33:Z36" si="205">Z499</f>
        <v>-2827001</v>
      </c>
      <c r="AA33" s="10">
        <f t="shared" ref="AA33:AB36" si="206">AA499</f>
        <v>-41209</v>
      </c>
      <c r="AB33" s="10">
        <f t="shared" si="206"/>
        <v>37199</v>
      </c>
      <c r="AC33" s="10">
        <f t="shared" ref="AC33:AD36" si="207">AC499</f>
        <v>304707</v>
      </c>
      <c r="AD33" s="10">
        <f t="shared" si="207"/>
        <v>404237</v>
      </c>
      <c r="AE33" s="10">
        <f>AE499</f>
        <v>5448</v>
      </c>
      <c r="AF33" s="10">
        <f t="shared" ref="AF33:AJ33" si="208">AF499</f>
        <v>0</v>
      </c>
      <c r="AG33" s="10">
        <f t="shared" si="208"/>
        <v>0</v>
      </c>
      <c r="AH33" s="10">
        <f t="shared" si="208"/>
        <v>0</v>
      </c>
      <c r="AI33" s="10">
        <f t="shared" si="208"/>
        <v>-1075</v>
      </c>
      <c r="AJ33" s="10">
        <f t="shared" si="208"/>
        <v>1490607</v>
      </c>
      <c r="AK33" s="10">
        <f t="shared" ref="AK33:AL36" si="209">AK499</f>
        <v>0</v>
      </c>
      <c r="AL33" s="10">
        <f t="shared" si="209"/>
        <v>0</v>
      </c>
      <c r="AM33" s="10">
        <f t="shared" ref="AM33:AM36" si="210">AM499</f>
        <v>0</v>
      </c>
      <c r="AN33" s="10">
        <f t="shared" ref="AN33:BB36" si="211">AN499</f>
        <v>-42348</v>
      </c>
      <c r="AO33" s="10">
        <f t="shared" si="211"/>
        <v>124564</v>
      </c>
      <c r="AP33" s="10">
        <f t="shared" si="211"/>
        <v>52066</v>
      </c>
      <c r="AQ33" s="10">
        <f t="shared" ref="AQ33:AR36" si="212">AQ499</f>
        <v>1877</v>
      </c>
      <c r="AR33" s="10">
        <f t="shared" si="212"/>
        <v>-335212</v>
      </c>
      <c r="AS33" s="10">
        <f t="shared" ref="AS33:AY33" si="213">AS499</f>
        <v>-10187</v>
      </c>
      <c r="AT33" s="10">
        <f t="shared" si="213"/>
        <v>0</v>
      </c>
      <c r="AU33" s="10">
        <f>AU499</f>
        <v>11350</v>
      </c>
      <c r="AV33" s="10">
        <f t="shared" si="213"/>
        <v>28268</v>
      </c>
      <c r="AW33" s="10">
        <f t="shared" si="213"/>
        <v>-8246</v>
      </c>
      <c r="AX33" s="10">
        <f t="shared" si="213"/>
        <v>-181757</v>
      </c>
      <c r="AY33" s="10">
        <f t="shared" si="213"/>
        <v>-45881</v>
      </c>
      <c r="AZ33" s="10">
        <f>AZ499</f>
        <v>-302061</v>
      </c>
      <c r="BA33" s="10">
        <f t="shared" si="211"/>
        <v>0</v>
      </c>
      <c r="BB33" s="10">
        <f t="shared" si="211"/>
        <v>7749</v>
      </c>
      <c r="BC33" s="10">
        <f t="shared" ref="BC33:BD36" si="214">BC499</f>
        <v>0</v>
      </c>
      <c r="BD33" s="10">
        <f t="shared" si="214"/>
        <v>1925507</v>
      </c>
      <c r="BE33" s="10">
        <f t="shared" ref="BE33:BG33" si="215">BE499</f>
        <v>0</v>
      </c>
      <c r="BF33" s="10">
        <f t="shared" si="215"/>
        <v>0</v>
      </c>
      <c r="BG33" s="10">
        <f t="shared" si="215"/>
        <v>0</v>
      </c>
      <c r="BH33" s="10">
        <f t="shared" ref="BH33:BL33" si="216">BH499</f>
        <v>0</v>
      </c>
      <c r="BI33" s="10">
        <f t="shared" si="216"/>
        <v>90615</v>
      </c>
      <c r="BJ33" s="10">
        <f t="shared" si="216"/>
        <v>0</v>
      </c>
      <c r="BK33" s="10">
        <f t="shared" si="216"/>
        <v>0</v>
      </c>
      <c r="BL33" s="10">
        <f t="shared" si="216"/>
        <v>0</v>
      </c>
    </row>
    <row r="34" spans="1:64" ht="14.1" customHeight="1">
      <c r="A34" s="379">
        <f t="shared" si="73"/>
        <v>28</v>
      </c>
      <c r="B34" s="88" t="s">
        <v>37</v>
      </c>
      <c r="C34" s="38">
        <f>SUM(D34:BI34)</f>
        <v>10486154</v>
      </c>
      <c r="D34" s="10">
        <f t="shared" ref="D34:E36" si="217">D500</f>
        <v>0</v>
      </c>
      <c r="E34" s="10">
        <f t="shared" si="217"/>
        <v>1245992</v>
      </c>
      <c r="F34" s="10">
        <f t="shared" ref="F34:H36" si="218">F500</f>
        <v>0</v>
      </c>
      <c r="G34" s="10">
        <f t="shared" si="218"/>
        <v>0</v>
      </c>
      <c r="H34" s="10">
        <f t="shared" si="218"/>
        <v>-96076</v>
      </c>
      <c r="I34" s="10">
        <f t="shared" si="203"/>
        <v>0</v>
      </c>
      <c r="J34" s="10">
        <f t="shared" si="203"/>
        <v>0</v>
      </c>
      <c r="K34" s="10">
        <f>K500</f>
        <v>0</v>
      </c>
      <c r="L34" s="10">
        <f t="shared" ref="L34:Y34" si="219">L500</f>
        <v>0</v>
      </c>
      <c r="M34" s="10">
        <f t="shared" si="219"/>
        <v>0</v>
      </c>
      <c r="N34" s="10">
        <f t="shared" si="219"/>
        <v>0</v>
      </c>
      <c r="O34" s="10">
        <f t="shared" si="219"/>
        <v>0</v>
      </c>
      <c r="P34" s="10">
        <f t="shared" si="219"/>
        <v>0</v>
      </c>
      <c r="Q34" s="10">
        <f t="shared" si="219"/>
        <v>0</v>
      </c>
      <c r="R34" s="10">
        <f t="shared" si="219"/>
        <v>0</v>
      </c>
      <c r="S34" s="10">
        <f t="shared" si="219"/>
        <v>0</v>
      </c>
      <c r="T34" s="10">
        <f>T500</f>
        <v>0</v>
      </c>
      <c r="U34" s="10">
        <f t="shared" si="219"/>
        <v>0</v>
      </c>
      <c r="V34" s="10">
        <f t="shared" si="219"/>
        <v>0</v>
      </c>
      <c r="W34" s="10">
        <f t="shared" si="219"/>
        <v>0</v>
      </c>
      <c r="X34" s="10">
        <f t="shared" si="219"/>
        <v>1857</v>
      </c>
      <c r="Y34" s="10">
        <f t="shared" si="219"/>
        <v>0</v>
      </c>
      <c r="Z34" s="10">
        <f t="shared" si="205"/>
        <v>0</v>
      </c>
      <c r="AA34" s="10">
        <f t="shared" si="206"/>
        <v>0</v>
      </c>
      <c r="AB34" s="10">
        <f t="shared" si="206"/>
        <v>-61172</v>
      </c>
      <c r="AC34" s="10">
        <f t="shared" si="207"/>
        <v>0</v>
      </c>
      <c r="AD34" s="10">
        <f t="shared" si="207"/>
        <v>-95239</v>
      </c>
      <c r="AE34" s="10">
        <f>AE500</f>
        <v>0</v>
      </c>
      <c r="AF34" s="10">
        <f t="shared" ref="AF34:AJ34" si="220">AF500</f>
        <v>-976309</v>
      </c>
      <c r="AG34" s="10">
        <f t="shared" si="220"/>
        <v>-10843</v>
      </c>
      <c r="AH34" s="10">
        <f t="shared" si="220"/>
        <v>31564</v>
      </c>
      <c r="AI34" s="10">
        <f t="shared" si="220"/>
        <v>0</v>
      </c>
      <c r="AJ34" s="10">
        <f t="shared" si="220"/>
        <v>0</v>
      </c>
      <c r="AK34" s="10">
        <f t="shared" si="209"/>
        <v>95271</v>
      </c>
      <c r="AL34" s="10">
        <f t="shared" si="209"/>
        <v>0</v>
      </c>
      <c r="AM34" s="10">
        <f t="shared" si="210"/>
        <v>0</v>
      </c>
      <c r="AN34" s="10">
        <f t="shared" ref="AN34:AP36" si="221">AN500</f>
        <v>0</v>
      </c>
      <c r="AO34" s="10">
        <f t="shared" si="221"/>
        <v>0</v>
      </c>
      <c r="AP34" s="10">
        <f t="shared" si="221"/>
        <v>0</v>
      </c>
      <c r="AQ34" s="10">
        <f t="shared" si="212"/>
        <v>0</v>
      </c>
      <c r="AR34" s="10">
        <f t="shared" si="212"/>
        <v>0</v>
      </c>
      <c r="AS34" s="10">
        <f t="shared" ref="AS34:AY34" si="222">AS500</f>
        <v>0</v>
      </c>
      <c r="AT34" s="10">
        <f t="shared" si="222"/>
        <v>6964</v>
      </c>
      <c r="AU34" s="10">
        <f>AU500</f>
        <v>0</v>
      </c>
      <c r="AV34" s="10">
        <f t="shared" si="222"/>
        <v>0</v>
      </c>
      <c r="AW34" s="10">
        <f t="shared" si="222"/>
        <v>0</v>
      </c>
      <c r="AX34" s="10">
        <f t="shared" si="222"/>
        <v>0</v>
      </c>
      <c r="AY34" s="10">
        <f t="shared" si="222"/>
        <v>0</v>
      </c>
      <c r="AZ34" s="10">
        <f>AZ500</f>
        <v>0</v>
      </c>
      <c r="BA34" s="10">
        <f t="shared" si="211"/>
        <v>85636</v>
      </c>
      <c r="BB34" s="10">
        <f t="shared" si="211"/>
        <v>0</v>
      </c>
      <c r="BC34" s="10">
        <f t="shared" si="214"/>
        <v>10258509</v>
      </c>
      <c r="BD34" s="10">
        <f t="shared" si="214"/>
        <v>0</v>
      </c>
      <c r="BE34" s="10">
        <f t="shared" ref="BE34:BG34" si="223">BE500</f>
        <v>0</v>
      </c>
      <c r="BF34" s="10">
        <f t="shared" si="223"/>
        <v>0</v>
      </c>
      <c r="BG34" s="10">
        <f t="shared" si="223"/>
        <v>0</v>
      </c>
      <c r="BH34" s="10">
        <f t="shared" ref="BH34:BL34" si="224">BH500</f>
        <v>0</v>
      </c>
      <c r="BI34" s="10">
        <f t="shared" si="224"/>
        <v>0</v>
      </c>
      <c r="BJ34" s="10">
        <f t="shared" si="224"/>
        <v>0</v>
      </c>
      <c r="BK34" s="10">
        <f t="shared" si="224"/>
        <v>0</v>
      </c>
      <c r="BL34" s="10">
        <f t="shared" si="224"/>
        <v>0</v>
      </c>
    </row>
    <row r="35" spans="1:64" s="22" customFormat="1" ht="14.1" customHeight="1">
      <c r="A35" s="379">
        <f t="shared" si="73"/>
        <v>29</v>
      </c>
      <c r="B35" s="22" t="s">
        <v>38</v>
      </c>
      <c r="C35" s="38">
        <f>SUM(D35:BI35)</f>
        <v>0</v>
      </c>
      <c r="D35" s="43">
        <f t="shared" si="217"/>
        <v>0</v>
      </c>
      <c r="E35" s="43">
        <f t="shared" si="217"/>
        <v>0</v>
      </c>
      <c r="F35" s="43">
        <f t="shared" si="218"/>
        <v>0</v>
      </c>
      <c r="G35" s="43">
        <f t="shared" si="218"/>
        <v>0</v>
      </c>
      <c r="H35" s="43">
        <f t="shared" si="218"/>
        <v>0</v>
      </c>
      <c r="I35" s="43">
        <f t="shared" si="203"/>
        <v>0</v>
      </c>
      <c r="J35" s="43">
        <f t="shared" si="203"/>
        <v>0</v>
      </c>
      <c r="K35" s="43">
        <f>K501</f>
        <v>0</v>
      </c>
      <c r="L35" s="43">
        <f t="shared" ref="L35:Y35" si="225">L501</f>
        <v>0</v>
      </c>
      <c r="M35" s="43">
        <f t="shared" si="225"/>
        <v>0</v>
      </c>
      <c r="N35" s="43">
        <f t="shared" si="225"/>
        <v>0</v>
      </c>
      <c r="O35" s="43">
        <f t="shared" si="225"/>
        <v>0</v>
      </c>
      <c r="P35" s="43">
        <f t="shared" si="225"/>
        <v>0</v>
      </c>
      <c r="Q35" s="43">
        <f t="shared" si="225"/>
        <v>0</v>
      </c>
      <c r="R35" s="43">
        <f t="shared" si="225"/>
        <v>0</v>
      </c>
      <c r="S35" s="43">
        <f t="shared" si="225"/>
        <v>0</v>
      </c>
      <c r="T35" s="43">
        <f>T501</f>
        <v>0</v>
      </c>
      <c r="U35" s="43">
        <f t="shared" si="225"/>
        <v>0</v>
      </c>
      <c r="V35" s="43">
        <f t="shared" si="225"/>
        <v>0</v>
      </c>
      <c r="W35" s="43">
        <f t="shared" si="225"/>
        <v>0</v>
      </c>
      <c r="X35" s="43">
        <f t="shared" si="225"/>
        <v>0</v>
      </c>
      <c r="Y35" s="43">
        <f t="shared" si="225"/>
        <v>0</v>
      </c>
      <c r="Z35" s="43">
        <f t="shared" si="205"/>
        <v>0</v>
      </c>
      <c r="AA35" s="43">
        <f t="shared" si="206"/>
        <v>0</v>
      </c>
      <c r="AB35" s="43">
        <f t="shared" si="206"/>
        <v>0</v>
      </c>
      <c r="AC35" s="43">
        <f t="shared" si="207"/>
        <v>0</v>
      </c>
      <c r="AD35" s="43">
        <f t="shared" si="207"/>
        <v>0</v>
      </c>
      <c r="AE35" s="43">
        <f>AE501</f>
        <v>0</v>
      </c>
      <c r="AF35" s="43">
        <f t="shared" ref="AF35:AJ35" si="226">AF501</f>
        <v>0</v>
      </c>
      <c r="AG35" s="43">
        <f t="shared" si="226"/>
        <v>0</v>
      </c>
      <c r="AH35" s="43">
        <f t="shared" si="226"/>
        <v>0</v>
      </c>
      <c r="AI35" s="43">
        <f t="shared" si="226"/>
        <v>0</v>
      </c>
      <c r="AJ35" s="43">
        <f t="shared" si="226"/>
        <v>0</v>
      </c>
      <c r="AK35" s="43">
        <f t="shared" si="209"/>
        <v>0</v>
      </c>
      <c r="AL35" s="43">
        <f t="shared" si="209"/>
        <v>0</v>
      </c>
      <c r="AM35" s="43">
        <f t="shared" si="210"/>
        <v>0</v>
      </c>
      <c r="AN35" s="43">
        <f t="shared" si="221"/>
        <v>0</v>
      </c>
      <c r="AO35" s="43">
        <f t="shared" si="221"/>
        <v>0</v>
      </c>
      <c r="AP35" s="43">
        <f t="shared" si="221"/>
        <v>0</v>
      </c>
      <c r="AQ35" s="43">
        <f t="shared" si="212"/>
        <v>0</v>
      </c>
      <c r="AR35" s="43">
        <f t="shared" si="212"/>
        <v>0</v>
      </c>
      <c r="AS35" s="43">
        <f t="shared" ref="AS35:AY35" si="227">AS501</f>
        <v>0</v>
      </c>
      <c r="AT35" s="43">
        <f t="shared" si="227"/>
        <v>0</v>
      </c>
      <c r="AU35" s="43">
        <f>AU501</f>
        <v>0</v>
      </c>
      <c r="AV35" s="43">
        <f t="shared" si="227"/>
        <v>0</v>
      </c>
      <c r="AW35" s="43">
        <f t="shared" si="227"/>
        <v>0</v>
      </c>
      <c r="AX35" s="43">
        <f t="shared" si="227"/>
        <v>0</v>
      </c>
      <c r="AY35" s="43">
        <f t="shared" si="227"/>
        <v>0</v>
      </c>
      <c r="AZ35" s="43">
        <f>AZ501</f>
        <v>0</v>
      </c>
      <c r="BA35" s="43">
        <f t="shared" si="211"/>
        <v>0</v>
      </c>
      <c r="BB35" s="43">
        <f t="shared" si="211"/>
        <v>0</v>
      </c>
      <c r="BC35" s="43">
        <f t="shared" si="214"/>
        <v>0</v>
      </c>
      <c r="BD35" s="43">
        <f t="shared" si="214"/>
        <v>0</v>
      </c>
      <c r="BE35" s="43">
        <f t="shared" ref="BE35:BG35" si="228">BE501</f>
        <v>0</v>
      </c>
      <c r="BF35" s="43">
        <f t="shared" si="228"/>
        <v>0</v>
      </c>
      <c r="BG35" s="43">
        <f t="shared" si="228"/>
        <v>0</v>
      </c>
      <c r="BH35" s="43">
        <f t="shared" ref="BH35:BL35" si="229">BH501</f>
        <v>0</v>
      </c>
      <c r="BI35" s="43">
        <f t="shared" si="229"/>
        <v>0</v>
      </c>
      <c r="BJ35" s="43">
        <f t="shared" si="229"/>
        <v>0</v>
      </c>
      <c r="BK35" s="43">
        <f t="shared" si="229"/>
        <v>0</v>
      </c>
      <c r="BL35" s="43">
        <f t="shared" si="229"/>
        <v>0</v>
      </c>
    </row>
    <row r="36" spans="1:64" s="22" customFormat="1" ht="14.1" customHeight="1">
      <c r="A36" s="379">
        <f t="shared" si="73"/>
        <v>30</v>
      </c>
      <c r="B36" s="56" t="s">
        <v>390</v>
      </c>
      <c r="C36" s="206">
        <f>SUM(D36:BI36)</f>
        <v>0</v>
      </c>
      <c r="D36" s="43">
        <f t="shared" si="217"/>
        <v>0</v>
      </c>
      <c r="E36" s="43">
        <f t="shared" si="217"/>
        <v>0</v>
      </c>
      <c r="F36" s="43">
        <f t="shared" si="218"/>
        <v>0</v>
      </c>
      <c r="G36" s="43">
        <f t="shared" si="218"/>
        <v>0</v>
      </c>
      <c r="H36" s="43">
        <f t="shared" si="218"/>
        <v>0</v>
      </c>
      <c r="I36" s="43">
        <f t="shared" si="203"/>
        <v>0</v>
      </c>
      <c r="J36" s="43">
        <f t="shared" si="203"/>
        <v>0</v>
      </c>
      <c r="K36" s="43">
        <f>K502</f>
        <v>0</v>
      </c>
      <c r="L36" s="43">
        <f t="shared" ref="L36:Y36" si="230">L502</f>
        <v>0</v>
      </c>
      <c r="M36" s="43">
        <f t="shared" si="230"/>
        <v>0</v>
      </c>
      <c r="N36" s="43">
        <f t="shared" si="230"/>
        <v>0</v>
      </c>
      <c r="O36" s="43">
        <f t="shared" si="230"/>
        <v>0</v>
      </c>
      <c r="P36" s="43">
        <f t="shared" si="230"/>
        <v>0</v>
      </c>
      <c r="Q36" s="43">
        <f t="shared" si="230"/>
        <v>0</v>
      </c>
      <c r="R36" s="43">
        <f t="shared" si="230"/>
        <v>0</v>
      </c>
      <c r="S36" s="43">
        <f t="shared" si="230"/>
        <v>0</v>
      </c>
      <c r="T36" s="43">
        <f>T502</f>
        <v>0</v>
      </c>
      <c r="U36" s="43">
        <f t="shared" si="230"/>
        <v>0</v>
      </c>
      <c r="V36" s="43">
        <f t="shared" si="230"/>
        <v>0</v>
      </c>
      <c r="W36" s="43">
        <f t="shared" si="230"/>
        <v>0</v>
      </c>
      <c r="X36" s="43">
        <f t="shared" si="230"/>
        <v>0</v>
      </c>
      <c r="Y36" s="43">
        <f t="shared" si="230"/>
        <v>0</v>
      </c>
      <c r="Z36" s="43">
        <f t="shared" si="205"/>
        <v>0</v>
      </c>
      <c r="AA36" s="43">
        <f t="shared" si="206"/>
        <v>0</v>
      </c>
      <c r="AB36" s="43">
        <f t="shared" si="206"/>
        <v>0</v>
      </c>
      <c r="AC36" s="43">
        <f t="shared" si="207"/>
        <v>0</v>
      </c>
      <c r="AD36" s="43">
        <f t="shared" si="207"/>
        <v>0</v>
      </c>
      <c r="AE36" s="43">
        <f>AE502</f>
        <v>0</v>
      </c>
      <c r="AF36" s="43">
        <f t="shared" ref="AF36:AJ36" si="231">AF502</f>
        <v>0</v>
      </c>
      <c r="AG36" s="43">
        <f t="shared" si="231"/>
        <v>0</v>
      </c>
      <c r="AH36" s="43">
        <f t="shared" si="231"/>
        <v>0</v>
      </c>
      <c r="AI36" s="43">
        <f t="shared" si="231"/>
        <v>0</v>
      </c>
      <c r="AJ36" s="43">
        <f t="shared" si="231"/>
        <v>0</v>
      </c>
      <c r="AK36" s="43">
        <f t="shared" si="209"/>
        <v>0</v>
      </c>
      <c r="AL36" s="43">
        <f t="shared" si="209"/>
        <v>0</v>
      </c>
      <c r="AM36" s="43">
        <f t="shared" si="210"/>
        <v>0</v>
      </c>
      <c r="AN36" s="43">
        <f t="shared" si="221"/>
        <v>0</v>
      </c>
      <c r="AO36" s="43">
        <f t="shared" si="221"/>
        <v>0</v>
      </c>
      <c r="AP36" s="43">
        <f t="shared" si="221"/>
        <v>0</v>
      </c>
      <c r="AQ36" s="43">
        <f t="shared" si="212"/>
        <v>0</v>
      </c>
      <c r="AR36" s="43">
        <f t="shared" si="212"/>
        <v>0</v>
      </c>
      <c r="AS36" s="43">
        <f t="shared" ref="AS36:AY36" si="232">AS502</f>
        <v>0</v>
      </c>
      <c r="AT36" s="43">
        <f t="shared" si="232"/>
        <v>0</v>
      </c>
      <c r="AU36" s="43">
        <f>AU502</f>
        <v>0</v>
      </c>
      <c r="AV36" s="43">
        <f t="shared" si="232"/>
        <v>0</v>
      </c>
      <c r="AW36" s="43">
        <f t="shared" si="232"/>
        <v>0</v>
      </c>
      <c r="AX36" s="43">
        <f t="shared" si="232"/>
        <v>0</v>
      </c>
      <c r="AY36" s="43">
        <f t="shared" si="232"/>
        <v>0</v>
      </c>
      <c r="AZ36" s="43">
        <f>AZ502</f>
        <v>0</v>
      </c>
      <c r="BA36" s="43">
        <f t="shared" si="211"/>
        <v>0</v>
      </c>
      <c r="BB36" s="43">
        <f t="shared" si="211"/>
        <v>0</v>
      </c>
      <c r="BC36" s="43">
        <f t="shared" si="214"/>
        <v>0</v>
      </c>
      <c r="BD36" s="43">
        <f t="shared" si="214"/>
        <v>0</v>
      </c>
      <c r="BE36" s="43">
        <f t="shared" ref="BE36:BG36" si="233">BE502</f>
        <v>0</v>
      </c>
      <c r="BF36" s="43">
        <f t="shared" si="233"/>
        <v>0</v>
      </c>
      <c r="BG36" s="43">
        <f t="shared" si="233"/>
        <v>0</v>
      </c>
      <c r="BH36" s="43">
        <f t="shared" ref="BH36:BL36" si="234">BH502</f>
        <v>0</v>
      </c>
      <c r="BI36" s="43">
        <f t="shared" si="234"/>
        <v>0</v>
      </c>
      <c r="BJ36" s="43">
        <f t="shared" si="234"/>
        <v>0</v>
      </c>
      <c r="BK36" s="43">
        <f t="shared" si="234"/>
        <v>0</v>
      </c>
      <c r="BL36" s="43">
        <f t="shared" si="234"/>
        <v>0</v>
      </c>
    </row>
    <row r="37" spans="1:64" s="134" customFormat="1" ht="14.1" customHeight="1">
      <c r="A37" s="379">
        <f t="shared" si="73"/>
        <v>31</v>
      </c>
      <c r="B37" s="2" t="s">
        <v>39</v>
      </c>
      <c r="C37" s="85">
        <f t="shared" ref="C37:K37" si="235">SUM(C32:C36)</f>
        <v>1302000</v>
      </c>
      <c r="D37" s="85">
        <f t="shared" si="235"/>
        <v>-1225774</v>
      </c>
      <c r="E37" s="85">
        <f t="shared" si="235"/>
        <v>-2894300</v>
      </c>
      <c r="F37" s="85">
        <f t="shared" si="235"/>
        <v>2616002</v>
      </c>
      <c r="G37" s="85">
        <f t="shared" si="235"/>
        <v>0</v>
      </c>
      <c r="H37" s="85">
        <f t="shared" si="235"/>
        <v>-5787357</v>
      </c>
      <c r="I37" s="85">
        <f t="shared" si="235"/>
        <v>75475</v>
      </c>
      <c r="J37" s="85">
        <f t="shared" si="235"/>
        <v>-61108</v>
      </c>
      <c r="K37" s="85">
        <f t="shared" si="235"/>
        <v>0</v>
      </c>
      <c r="L37" s="85">
        <f t="shared" ref="L37:Y37" si="236">SUM(L32:L36)</f>
        <v>-59631</v>
      </c>
      <c r="M37" s="85">
        <f t="shared" si="236"/>
        <v>0</v>
      </c>
      <c r="N37" s="85">
        <f t="shared" si="236"/>
        <v>0</v>
      </c>
      <c r="O37" s="85">
        <f t="shared" si="236"/>
        <v>-611243</v>
      </c>
      <c r="P37" s="85">
        <f t="shared" si="236"/>
        <v>-935513</v>
      </c>
      <c r="Q37" s="85">
        <f t="shared" si="236"/>
        <v>273613</v>
      </c>
      <c r="R37" s="85">
        <f t="shared" si="236"/>
        <v>43633</v>
      </c>
      <c r="S37" s="85">
        <f t="shared" si="236"/>
        <v>-101172</v>
      </c>
      <c r="T37" s="85">
        <f>SUM(T32:T36)</f>
        <v>-71401</v>
      </c>
      <c r="U37" s="85">
        <f t="shared" si="236"/>
        <v>-104347</v>
      </c>
      <c r="V37" s="85">
        <f t="shared" si="236"/>
        <v>22139</v>
      </c>
      <c r="W37" s="85">
        <f t="shared" si="236"/>
        <v>21680</v>
      </c>
      <c r="X37" s="85">
        <f t="shared" si="236"/>
        <v>1857</v>
      </c>
      <c r="Y37" s="85">
        <f t="shared" si="236"/>
        <v>75849</v>
      </c>
      <c r="Z37" s="85">
        <f t="shared" ref="Z37:AE37" si="237">SUM(Z32:Z36)</f>
        <v>-2827001</v>
      </c>
      <c r="AA37" s="85">
        <f t="shared" si="237"/>
        <v>-41209</v>
      </c>
      <c r="AB37" s="85">
        <f t="shared" si="237"/>
        <v>-23973</v>
      </c>
      <c r="AC37" s="85">
        <f t="shared" si="237"/>
        <v>304707</v>
      </c>
      <c r="AD37" s="85">
        <f t="shared" si="237"/>
        <v>308998</v>
      </c>
      <c r="AE37" s="85">
        <f t="shared" si="237"/>
        <v>5448</v>
      </c>
      <c r="AF37" s="85">
        <f t="shared" ref="AF37:AL37" si="238">SUM(AF32:AF36)</f>
        <v>-976309</v>
      </c>
      <c r="AG37" s="85">
        <f t="shared" si="238"/>
        <v>-10843</v>
      </c>
      <c r="AH37" s="85">
        <f t="shared" si="238"/>
        <v>31564</v>
      </c>
      <c r="AI37" s="85">
        <f t="shared" si="238"/>
        <v>-1075</v>
      </c>
      <c r="AJ37" s="85">
        <f t="shared" si="238"/>
        <v>1490607</v>
      </c>
      <c r="AK37" s="85">
        <f t="shared" si="238"/>
        <v>95271</v>
      </c>
      <c r="AL37" s="85">
        <f t="shared" si="238"/>
        <v>0</v>
      </c>
      <c r="AM37" s="85">
        <f t="shared" ref="AM37:BB37" si="239">SUM(AM32:AM36)</f>
        <v>0</v>
      </c>
      <c r="AN37" s="85">
        <f t="shared" si="239"/>
        <v>-42348</v>
      </c>
      <c r="AO37" s="85">
        <f t="shared" si="239"/>
        <v>124564</v>
      </c>
      <c r="AP37" s="85">
        <f t="shared" si="239"/>
        <v>52066</v>
      </c>
      <c r="AQ37" s="85">
        <f>SUM(AQ32:AQ36)</f>
        <v>1877</v>
      </c>
      <c r="AR37" s="85">
        <f>SUM(AR32:AR36)</f>
        <v>-335212</v>
      </c>
      <c r="AS37" s="85">
        <f t="shared" ref="AS37:AY37" si="240">SUM(AS32:AS36)</f>
        <v>-10187</v>
      </c>
      <c r="AT37" s="85">
        <f t="shared" si="240"/>
        <v>6964</v>
      </c>
      <c r="AU37" s="85">
        <f>SUM(AU32:AU36)</f>
        <v>11350</v>
      </c>
      <c r="AV37" s="85">
        <f t="shared" si="240"/>
        <v>28268</v>
      </c>
      <c r="AW37" s="85">
        <f t="shared" si="240"/>
        <v>-8246</v>
      </c>
      <c r="AX37" s="85">
        <f t="shared" si="240"/>
        <v>-181757</v>
      </c>
      <c r="AY37" s="85">
        <f t="shared" si="240"/>
        <v>-45881</v>
      </c>
      <c r="AZ37" s="85">
        <f>SUM(AZ32:AZ36)</f>
        <v>-302061</v>
      </c>
      <c r="BA37" s="85">
        <f t="shared" si="239"/>
        <v>85636</v>
      </c>
      <c r="BB37" s="85">
        <f t="shared" si="239"/>
        <v>7749</v>
      </c>
      <c r="BC37" s="85">
        <f>SUM(BC32:BC36)</f>
        <v>10258509</v>
      </c>
      <c r="BD37" s="85">
        <f>SUM(BD32:BD36)</f>
        <v>1925507</v>
      </c>
      <c r="BE37" s="85">
        <f t="shared" ref="BE37:BG37" si="241">SUM(BE32:BE36)</f>
        <v>0</v>
      </c>
      <c r="BF37" s="85">
        <f t="shared" si="241"/>
        <v>0</v>
      </c>
      <c r="BG37" s="85">
        <f t="shared" si="241"/>
        <v>0</v>
      </c>
      <c r="BH37" s="85">
        <f t="shared" ref="BH37:BL37" si="242">SUM(BH32:BH36)</f>
        <v>0</v>
      </c>
      <c r="BI37" s="85">
        <f t="shared" si="242"/>
        <v>90615</v>
      </c>
      <c r="BJ37" s="85">
        <f t="shared" si="242"/>
        <v>0</v>
      </c>
      <c r="BK37" s="85">
        <f t="shared" si="242"/>
        <v>0</v>
      </c>
      <c r="BL37" s="85">
        <f t="shared" si="242"/>
        <v>0</v>
      </c>
    </row>
    <row r="38" spans="1:64" s="18" customFormat="1" ht="14.1" customHeight="1">
      <c r="A38" s="379">
        <f t="shared" si="73"/>
        <v>32</v>
      </c>
      <c r="B38" s="6"/>
      <c r="C38" s="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s="379" customFormat="1" ht="14.1" customHeight="1">
      <c r="A39" s="379">
        <f t="shared" si="73"/>
        <v>33</v>
      </c>
      <c r="B39" s="115" t="s">
        <v>40</v>
      </c>
      <c r="C39" s="38">
        <f>SUM(D39:BI39)</f>
        <v>-52488912.922561809</v>
      </c>
      <c r="D39" s="43">
        <f t="shared" ref="D39:K39" si="243">D30-D37</f>
        <v>-4611247</v>
      </c>
      <c r="E39" s="43">
        <f t="shared" si="243"/>
        <v>-10888079</v>
      </c>
      <c r="F39" s="43">
        <f t="shared" si="243"/>
        <v>9841152</v>
      </c>
      <c r="G39" s="43">
        <f t="shared" si="243"/>
        <v>0</v>
      </c>
      <c r="H39" s="43">
        <f t="shared" si="243"/>
        <v>-21771482.5725618</v>
      </c>
      <c r="I39" s="43">
        <f t="shared" si="243"/>
        <v>283932</v>
      </c>
      <c r="J39" s="43">
        <f t="shared" si="243"/>
        <v>-229883</v>
      </c>
      <c r="K39" s="43">
        <f t="shared" si="243"/>
        <v>1</v>
      </c>
      <c r="L39" s="43">
        <f t="shared" ref="L39:Y39" si="244">L30-L37</f>
        <v>-224324</v>
      </c>
      <c r="M39" s="43">
        <f t="shared" si="244"/>
        <v>0</v>
      </c>
      <c r="N39" s="43">
        <f t="shared" si="244"/>
        <v>0</v>
      </c>
      <c r="O39" s="43">
        <f t="shared" si="244"/>
        <v>-2299438</v>
      </c>
      <c r="P39" s="43">
        <f t="shared" si="244"/>
        <v>-3519312</v>
      </c>
      <c r="Q39" s="43">
        <f t="shared" si="244"/>
        <v>1029306</v>
      </c>
      <c r="R39" s="43">
        <f t="shared" si="244"/>
        <v>164145</v>
      </c>
      <c r="S39" s="43">
        <f t="shared" si="244"/>
        <v>-380598</v>
      </c>
      <c r="T39" s="43">
        <f>T30-T37</f>
        <v>-268602</v>
      </c>
      <c r="U39" s="43">
        <f t="shared" si="244"/>
        <v>-392545</v>
      </c>
      <c r="V39" s="43">
        <f t="shared" si="244"/>
        <v>83287</v>
      </c>
      <c r="W39" s="43">
        <f t="shared" si="244"/>
        <v>81556.549999999974</v>
      </c>
      <c r="X39" s="43">
        <f t="shared" si="244"/>
        <v>6983</v>
      </c>
      <c r="Y39" s="43">
        <f t="shared" si="244"/>
        <v>285335</v>
      </c>
      <c r="Z39" s="43">
        <f t="shared" ref="Z39:AE39" si="245">Z30-Z37</f>
        <v>-10634910</v>
      </c>
      <c r="AA39" s="43">
        <f t="shared" si="245"/>
        <v>-155024</v>
      </c>
      <c r="AB39" s="43">
        <f t="shared" si="245"/>
        <v>-90185</v>
      </c>
      <c r="AC39" s="43">
        <f t="shared" si="245"/>
        <v>1146279</v>
      </c>
      <c r="AD39" s="43">
        <f t="shared" si="245"/>
        <v>1162420</v>
      </c>
      <c r="AE39" s="43">
        <f t="shared" si="245"/>
        <v>20495</v>
      </c>
      <c r="AF39" s="43">
        <f t="shared" ref="AF39:AL39" si="246">AF30-AF37</f>
        <v>-4216456</v>
      </c>
      <c r="AG39" s="43">
        <f t="shared" si="246"/>
        <v>-40791</v>
      </c>
      <c r="AH39" s="43">
        <f t="shared" si="246"/>
        <v>118740</v>
      </c>
      <c r="AI39" s="43">
        <f t="shared" si="246"/>
        <v>-4042</v>
      </c>
      <c r="AJ39" s="43">
        <f t="shared" si="246"/>
        <v>-1932011</v>
      </c>
      <c r="AK39" s="43">
        <f>AK30-AK37</f>
        <v>-95271</v>
      </c>
      <c r="AL39" s="43">
        <f t="shared" si="246"/>
        <v>0</v>
      </c>
      <c r="AM39" s="43">
        <f t="shared" ref="AM39:BB39" si="247">AM30-AM37</f>
        <v>0</v>
      </c>
      <c r="AN39" s="43">
        <f t="shared" si="247"/>
        <v>-159309.6</v>
      </c>
      <c r="AO39" s="43">
        <f t="shared" si="247"/>
        <v>468596</v>
      </c>
      <c r="AP39" s="43">
        <f t="shared" si="247"/>
        <v>195869</v>
      </c>
      <c r="AQ39" s="43">
        <f>AQ30-AQ37</f>
        <v>7063</v>
      </c>
      <c r="AR39" s="43">
        <f>AR30-AR37</f>
        <v>-1261037</v>
      </c>
      <c r="AS39" s="43">
        <f t="shared" ref="AS39:AY39" si="248">AS30-AS37</f>
        <v>-38323</v>
      </c>
      <c r="AT39" s="43">
        <f t="shared" si="248"/>
        <v>26199</v>
      </c>
      <c r="AU39" s="43">
        <f>AU30-AU37</f>
        <v>42696</v>
      </c>
      <c r="AV39" s="43">
        <f t="shared" si="248"/>
        <v>106341</v>
      </c>
      <c r="AW39" s="43">
        <f t="shared" si="248"/>
        <v>-31019</v>
      </c>
      <c r="AX39" s="43">
        <f t="shared" si="248"/>
        <v>-683752</v>
      </c>
      <c r="AY39" s="43">
        <f t="shared" si="248"/>
        <v>-172598</v>
      </c>
      <c r="AZ39" s="43">
        <f>AZ30-AZ37</f>
        <v>-1136327</v>
      </c>
      <c r="BA39" s="43">
        <f t="shared" si="247"/>
        <v>322154</v>
      </c>
      <c r="BB39" s="43">
        <f t="shared" si="247"/>
        <v>29153</v>
      </c>
      <c r="BC39" s="43">
        <f>BC30-BC37</f>
        <v>-10258509</v>
      </c>
      <c r="BD39" s="43">
        <f>BD30-BD37</f>
        <v>7243574.6999999993</v>
      </c>
      <c r="BE39" s="43">
        <f t="shared" ref="BE39:BG39" si="249">BE30-BE37</f>
        <v>0</v>
      </c>
      <c r="BF39" s="43">
        <f t="shared" si="249"/>
        <v>0</v>
      </c>
      <c r="BG39" s="43">
        <f t="shared" si="249"/>
        <v>0</v>
      </c>
      <c r="BH39" s="43">
        <f t="shared" ref="BH39:BL39" si="250">BH30-BH37</f>
        <v>0</v>
      </c>
      <c r="BI39" s="43">
        <f t="shared" si="250"/>
        <v>340885</v>
      </c>
      <c r="BJ39" s="43">
        <f t="shared" si="250"/>
        <v>0</v>
      </c>
      <c r="BK39" s="43">
        <f t="shared" si="250"/>
        <v>0</v>
      </c>
      <c r="BL39" s="43">
        <f t="shared" si="250"/>
        <v>0</v>
      </c>
    </row>
    <row r="40" spans="1:64" s="379" customFormat="1" ht="14.1" customHeight="1">
      <c r="A40" s="379">
        <f t="shared" si="73"/>
        <v>34</v>
      </c>
      <c r="B40" s="135" t="s">
        <v>330</v>
      </c>
      <c r="C40" s="206">
        <f>SUM(D40:BI40)</f>
        <v>3091136</v>
      </c>
      <c r="D40" s="64">
        <f t="shared" ref="D40:K40" si="251">-D478</f>
        <v>0</v>
      </c>
      <c r="E40" s="64">
        <f t="shared" si="251"/>
        <v>0</v>
      </c>
      <c r="F40" s="64">
        <f t="shared" si="251"/>
        <v>0</v>
      </c>
      <c r="G40" s="64">
        <f t="shared" si="251"/>
        <v>0</v>
      </c>
      <c r="H40" s="64">
        <f t="shared" si="251"/>
        <v>0</v>
      </c>
      <c r="I40" s="64">
        <f t="shared" si="251"/>
        <v>0</v>
      </c>
      <c r="J40" s="64">
        <f t="shared" si="251"/>
        <v>0</v>
      </c>
      <c r="K40" s="64">
        <f t="shared" si="251"/>
        <v>0</v>
      </c>
      <c r="L40" s="64">
        <f t="shared" ref="L40:Y40" si="252">-L478</f>
        <v>0</v>
      </c>
      <c r="M40" s="64">
        <f t="shared" si="252"/>
        <v>0</v>
      </c>
      <c r="N40" s="64">
        <f t="shared" si="252"/>
        <v>0</v>
      </c>
      <c r="O40" s="64">
        <f t="shared" si="252"/>
        <v>0</v>
      </c>
      <c r="P40" s="64">
        <f t="shared" si="252"/>
        <v>0</v>
      </c>
      <c r="Q40" s="64">
        <f t="shared" si="252"/>
        <v>0</v>
      </c>
      <c r="R40" s="64">
        <f t="shared" si="252"/>
        <v>0</v>
      </c>
      <c r="S40" s="64">
        <f t="shared" si="252"/>
        <v>0</v>
      </c>
      <c r="T40" s="64">
        <f>-T478</f>
        <v>0</v>
      </c>
      <c r="U40" s="64">
        <f t="shared" si="252"/>
        <v>0</v>
      </c>
      <c r="V40" s="64">
        <f t="shared" si="252"/>
        <v>0</v>
      </c>
      <c r="W40" s="64">
        <f t="shared" si="252"/>
        <v>0</v>
      </c>
      <c r="X40" s="64">
        <f t="shared" si="252"/>
        <v>0</v>
      </c>
      <c r="Y40" s="64">
        <f t="shared" si="252"/>
        <v>0</v>
      </c>
      <c r="Z40" s="64">
        <f t="shared" ref="Z40:AE40" si="253">-Z478</f>
        <v>0</v>
      </c>
      <c r="AA40" s="64">
        <f t="shared" si="253"/>
        <v>0</v>
      </c>
      <c r="AB40" s="64">
        <f t="shared" si="253"/>
        <v>0</v>
      </c>
      <c r="AC40" s="64">
        <f t="shared" si="253"/>
        <v>0</v>
      </c>
      <c r="AD40" s="64">
        <f t="shared" si="253"/>
        <v>0</v>
      </c>
      <c r="AE40" s="64">
        <f t="shared" si="253"/>
        <v>0</v>
      </c>
      <c r="AF40" s="64">
        <f t="shared" ref="AF40:AL40" si="254">-AF478</f>
        <v>0</v>
      </c>
      <c r="AG40" s="64">
        <f t="shared" si="254"/>
        <v>0</v>
      </c>
      <c r="AH40" s="64">
        <f t="shared" si="254"/>
        <v>0</v>
      </c>
      <c r="AI40" s="64">
        <f t="shared" si="254"/>
        <v>0</v>
      </c>
      <c r="AJ40" s="64">
        <f t="shared" si="254"/>
        <v>0</v>
      </c>
      <c r="AK40" s="64">
        <f t="shared" si="254"/>
        <v>3091136</v>
      </c>
      <c r="AL40" s="64">
        <f t="shared" si="254"/>
        <v>0</v>
      </c>
      <c r="AM40" s="64">
        <f t="shared" ref="AM40:BB40" si="255">-AM478</f>
        <v>0</v>
      </c>
      <c r="AN40" s="64">
        <f t="shared" si="255"/>
        <v>0</v>
      </c>
      <c r="AO40" s="64">
        <f t="shared" si="255"/>
        <v>0</v>
      </c>
      <c r="AP40" s="64">
        <f t="shared" si="255"/>
        <v>0</v>
      </c>
      <c r="AQ40" s="64">
        <f>-AQ478</f>
        <v>0</v>
      </c>
      <c r="AR40" s="64">
        <f>-AR478</f>
        <v>0</v>
      </c>
      <c r="AS40" s="64">
        <f t="shared" ref="AS40:AY40" si="256">-AS478</f>
        <v>0</v>
      </c>
      <c r="AT40" s="64">
        <f t="shared" si="256"/>
        <v>0</v>
      </c>
      <c r="AU40" s="64">
        <f>-AU478</f>
        <v>0</v>
      </c>
      <c r="AV40" s="64">
        <f t="shared" si="256"/>
        <v>0</v>
      </c>
      <c r="AW40" s="64">
        <f t="shared" si="256"/>
        <v>0</v>
      </c>
      <c r="AX40" s="64">
        <f t="shared" si="256"/>
        <v>0</v>
      </c>
      <c r="AY40" s="64">
        <f t="shared" si="256"/>
        <v>0</v>
      </c>
      <c r="AZ40" s="64">
        <f>-AZ478</f>
        <v>0</v>
      </c>
      <c r="BA40" s="64">
        <f t="shared" si="255"/>
        <v>0</v>
      </c>
      <c r="BB40" s="64">
        <f t="shared" si="255"/>
        <v>0</v>
      </c>
      <c r="BC40" s="64">
        <f>-BC478</f>
        <v>0</v>
      </c>
      <c r="BD40" s="64">
        <f>-BD478</f>
        <v>0</v>
      </c>
      <c r="BE40" s="64">
        <f t="shared" ref="BE40:BG40" si="257">-BE478</f>
        <v>0</v>
      </c>
      <c r="BF40" s="64">
        <f t="shared" si="257"/>
        <v>0</v>
      </c>
      <c r="BG40" s="64">
        <f t="shared" si="257"/>
        <v>0</v>
      </c>
      <c r="BH40" s="64">
        <f t="shared" ref="BH40:BL40" si="258">-BH478</f>
        <v>0</v>
      </c>
      <c r="BI40" s="64">
        <f t="shared" si="258"/>
        <v>0</v>
      </c>
      <c r="BJ40" s="64">
        <f t="shared" si="258"/>
        <v>0</v>
      </c>
      <c r="BK40" s="64">
        <f t="shared" si="258"/>
        <v>0</v>
      </c>
      <c r="BL40" s="64">
        <f t="shared" si="258"/>
        <v>0</v>
      </c>
    </row>
    <row r="41" spans="1:64" s="379" customFormat="1" ht="14.1" customHeight="1" thickBot="1">
      <c r="A41" s="379">
        <f t="shared" si="73"/>
        <v>35</v>
      </c>
      <c r="B41" s="4" t="s">
        <v>41</v>
      </c>
      <c r="C41" s="136">
        <f t="shared" ref="C41:K41" si="259">C40+C39</f>
        <v>-49397776.922561809</v>
      </c>
      <c r="D41" s="136">
        <f t="shared" si="259"/>
        <v>-4611247</v>
      </c>
      <c r="E41" s="136">
        <f t="shared" si="259"/>
        <v>-10888079</v>
      </c>
      <c r="F41" s="136">
        <f t="shared" si="259"/>
        <v>9841152</v>
      </c>
      <c r="G41" s="136">
        <f t="shared" si="259"/>
        <v>0</v>
      </c>
      <c r="H41" s="136">
        <f t="shared" si="259"/>
        <v>-21771482.5725618</v>
      </c>
      <c r="I41" s="136">
        <f t="shared" si="259"/>
        <v>283932</v>
      </c>
      <c r="J41" s="136">
        <f t="shared" si="259"/>
        <v>-229883</v>
      </c>
      <c r="K41" s="136">
        <f t="shared" si="259"/>
        <v>1</v>
      </c>
      <c r="L41" s="136">
        <f t="shared" ref="L41:Y41" si="260">L40+L39</f>
        <v>-224324</v>
      </c>
      <c r="M41" s="136">
        <f t="shared" si="260"/>
        <v>0</v>
      </c>
      <c r="N41" s="136">
        <f t="shared" si="260"/>
        <v>0</v>
      </c>
      <c r="O41" s="136">
        <f t="shared" si="260"/>
        <v>-2299438</v>
      </c>
      <c r="P41" s="136">
        <f t="shared" si="260"/>
        <v>-3519312</v>
      </c>
      <c r="Q41" s="136">
        <f t="shared" si="260"/>
        <v>1029306</v>
      </c>
      <c r="R41" s="136">
        <f t="shared" si="260"/>
        <v>164145</v>
      </c>
      <c r="S41" s="136">
        <f t="shared" si="260"/>
        <v>-380598</v>
      </c>
      <c r="T41" s="136">
        <f>T40+T39</f>
        <v>-268602</v>
      </c>
      <c r="U41" s="136">
        <f t="shared" si="260"/>
        <v>-392545</v>
      </c>
      <c r="V41" s="136">
        <f t="shared" si="260"/>
        <v>83287</v>
      </c>
      <c r="W41" s="136">
        <f t="shared" si="260"/>
        <v>81556.549999999974</v>
      </c>
      <c r="X41" s="136">
        <f t="shared" si="260"/>
        <v>6983</v>
      </c>
      <c r="Y41" s="136">
        <f t="shared" si="260"/>
        <v>285335</v>
      </c>
      <c r="Z41" s="136">
        <f t="shared" ref="Z41:AE41" si="261">Z40+Z39</f>
        <v>-10634910</v>
      </c>
      <c r="AA41" s="136">
        <f t="shared" si="261"/>
        <v>-155024</v>
      </c>
      <c r="AB41" s="136">
        <f t="shared" si="261"/>
        <v>-90185</v>
      </c>
      <c r="AC41" s="136">
        <f t="shared" si="261"/>
        <v>1146279</v>
      </c>
      <c r="AD41" s="136">
        <f t="shared" si="261"/>
        <v>1162420</v>
      </c>
      <c r="AE41" s="136">
        <f t="shared" si="261"/>
        <v>20495</v>
      </c>
      <c r="AF41" s="136">
        <f t="shared" ref="AF41:AL41" si="262">AF40+AF39</f>
        <v>-4216456</v>
      </c>
      <c r="AG41" s="136">
        <f t="shared" si="262"/>
        <v>-40791</v>
      </c>
      <c r="AH41" s="136">
        <f t="shared" si="262"/>
        <v>118740</v>
      </c>
      <c r="AI41" s="136">
        <f t="shared" si="262"/>
        <v>-4042</v>
      </c>
      <c r="AJ41" s="136">
        <f t="shared" si="262"/>
        <v>-1932011</v>
      </c>
      <c r="AK41" s="136">
        <f>AK40+AK39</f>
        <v>2995865</v>
      </c>
      <c r="AL41" s="136">
        <f t="shared" si="262"/>
        <v>0</v>
      </c>
      <c r="AM41" s="136">
        <f t="shared" ref="AM41:BB41" si="263">AM40+AM39</f>
        <v>0</v>
      </c>
      <c r="AN41" s="136">
        <f t="shared" si="263"/>
        <v>-159309.6</v>
      </c>
      <c r="AO41" s="136">
        <f t="shared" si="263"/>
        <v>468596</v>
      </c>
      <c r="AP41" s="136">
        <f t="shared" si="263"/>
        <v>195869</v>
      </c>
      <c r="AQ41" s="136">
        <f>AQ40+AQ39</f>
        <v>7063</v>
      </c>
      <c r="AR41" s="136">
        <f>AR40+AR39</f>
        <v>-1261037</v>
      </c>
      <c r="AS41" s="136">
        <f t="shared" ref="AS41:AY41" si="264">AS40+AS39</f>
        <v>-38323</v>
      </c>
      <c r="AT41" s="136">
        <f t="shared" si="264"/>
        <v>26199</v>
      </c>
      <c r="AU41" s="136">
        <f>AU40+AU39</f>
        <v>42696</v>
      </c>
      <c r="AV41" s="136">
        <f t="shared" si="264"/>
        <v>106341</v>
      </c>
      <c r="AW41" s="136">
        <f t="shared" si="264"/>
        <v>-31019</v>
      </c>
      <c r="AX41" s="136">
        <f t="shared" si="264"/>
        <v>-683752</v>
      </c>
      <c r="AY41" s="136">
        <f t="shared" si="264"/>
        <v>-172598</v>
      </c>
      <c r="AZ41" s="136">
        <f>AZ40+AZ39</f>
        <v>-1136327</v>
      </c>
      <c r="BA41" s="136">
        <f t="shared" si="263"/>
        <v>322154</v>
      </c>
      <c r="BB41" s="136">
        <f t="shared" si="263"/>
        <v>29153</v>
      </c>
      <c r="BC41" s="136">
        <f>BC40+BC39</f>
        <v>-10258509</v>
      </c>
      <c r="BD41" s="136">
        <f>BD40+BD39</f>
        <v>7243574.6999999993</v>
      </c>
      <c r="BE41" s="136">
        <f t="shared" ref="BE41:BG41" si="265">BE40+BE39</f>
        <v>0</v>
      </c>
      <c r="BF41" s="136">
        <f t="shared" si="265"/>
        <v>0</v>
      </c>
      <c r="BG41" s="136">
        <f t="shared" si="265"/>
        <v>0</v>
      </c>
      <c r="BH41" s="136">
        <f t="shared" ref="BH41:BL41" si="266">BH40+BH39</f>
        <v>0</v>
      </c>
      <c r="BI41" s="136">
        <f t="shared" si="266"/>
        <v>340885</v>
      </c>
      <c r="BJ41" s="136">
        <f t="shared" si="266"/>
        <v>0</v>
      </c>
      <c r="BK41" s="136">
        <f t="shared" si="266"/>
        <v>0</v>
      </c>
      <c r="BL41" s="136">
        <f t="shared" si="266"/>
        <v>0</v>
      </c>
    </row>
    <row r="42" spans="1:64" s="379" customFormat="1" ht="14.1" customHeight="1" thickTop="1">
      <c r="A42" s="379">
        <f t="shared" si="73"/>
        <v>36</v>
      </c>
      <c r="B42" s="115"/>
      <c r="C42" s="115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ht="14.1" customHeight="1">
      <c r="A43" s="379">
        <f t="shared" si="73"/>
        <v>37</v>
      </c>
      <c r="B43" s="88" t="s">
        <v>42</v>
      </c>
      <c r="C43" s="38">
        <f t="shared" ref="C43:C52" si="267">SUM(D43:BI43)</f>
        <v>-323850066</v>
      </c>
      <c r="D43" s="43">
        <f t="shared" ref="D43:K43" si="268">D171</f>
        <v>0</v>
      </c>
      <c r="E43" s="43">
        <f t="shared" si="268"/>
        <v>0</v>
      </c>
      <c r="F43" s="43">
        <f t="shared" si="268"/>
        <v>0</v>
      </c>
      <c r="G43" s="43">
        <f t="shared" si="268"/>
        <v>-323850066</v>
      </c>
      <c r="H43" s="43">
        <f t="shared" si="268"/>
        <v>0</v>
      </c>
      <c r="I43" s="43">
        <f t="shared" si="268"/>
        <v>0</v>
      </c>
      <c r="J43" s="43">
        <f t="shared" si="268"/>
        <v>0</v>
      </c>
      <c r="K43" s="43">
        <f t="shared" si="268"/>
        <v>0</v>
      </c>
      <c r="L43" s="43">
        <f t="shared" ref="L43:Y43" si="269">L171</f>
        <v>0</v>
      </c>
      <c r="M43" s="43">
        <f t="shared" si="269"/>
        <v>0</v>
      </c>
      <c r="N43" s="43">
        <f t="shared" si="269"/>
        <v>0</v>
      </c>
      <c r="O43" s="43">
        <f t="shared" si="269"/>
        <v>0</v>
      </c>
      <c r="P43" s="43">
        <f t="shared" si="269"/>
        <v>0</v>
      </c>
      <c r="Q43" s="43">
        <f t="shared" si="269"/>
        <v>0</v>
      </c>
      <c r="R43" s="43">
        <f t="shared" si="269"/>
        <v>0</v>
      </c>
      <c r="S43" s="43">
        <f t="shared" si="269"/>
        <v>0</v>
      </c>
      <c r="T43" s="43">
        <f>T171</f>
        <v>0</v>
      </c>
      <c r="U43" s="43">
        <f t="shared" si="269"/>
        <v>0</v>
      </c>
      <c r="V43" s="43">
        <f t="shared" si="269"/>
        <v>0</v>
      </c>
      <c r="W43" s="43">
        <f t="shared" si="269"/>
        <v>0</v>
      </c>
      <c r="X43" s="43">
        <f t="shared" si="269"/>
        <v>0</v>
      </c>
      <c r="Y43" s="43">
        <f t="shared" si="269"/>
        <v>0</v>
      </c>
      <c r="Z43" s="43">
        <f t="shared" ref="Z43:AE43" si="270">Z171</f>
        <v>0</v>
      </c>
      <c r="AA43" s="43">
        <f t="shared" si="270"/>
        <v>0</v>
      </c>
      <c r="AB43" s="43">
        <f t="shared" si="270"/>
        <v>0</v>
      </c>
      <c r="AC43" s="43">
        <f t="shared" si="270"/>
        <v>0</v>
      </c>
      <c r="AD43" s="43">
        <f t="shared" si="270"/>
        <v>0</v>
      </c>
      <c r="AE43" s="43">
        <f t="shared" si="270"/>
        <v>0</v>
      </c>
      <c r="AF43" s="43">
        <f t="shared" ref="AF43:AL43" si="271">AF171</f>
        <v>0</v>
      </c>
      <c r="AG43" s="43">
        <f t="shared" si="271"/>
        <v>0</v>
      </c>
      <c r="AH43" s="43">
        <f t="shared" si="271"/>
        <v>0</v>
      </c>
      <c r="AI43" s="43">
        <f t="shared" si="271"/>
        <v>0</v>
      </c>
      <c r="AJ43" s="43">
        <f t="shared" si="271"/>
        <v>0</v>
      </c>
      <c r="AK43" s="43">
        <f t="shared" si="271"/>
        <v>0</v>
      </c>
      <c r="AL43" s="43">
        <f t="shared" si="271"/>
        <v>0</v>
      </c>
      <c r="AM43" s="43">
        <f t="shared" ref="AM43:BB43" si="272">AM171</f>
        <v>0</v>
      </c>
      <c r="AN43" s="43">
        <f t="shared" si="272"/>
        <v>0</v>
      </c>
      <c r="AO43" s="43">
        <f t="shared" si="272"/>
        <v>0</v>
      </c>
      <c r="AP43" s="43">
        <f t="shared" si="272"/>
        <v>0</v>
      </c>
      <c r="AQ43" s="43">
        <f>AQ171</f>
        <v>0</v>
      </c>
      <c r="AR43" s="43">
        <f>AR171</f>
        <v>0</v>
      </c>
      <c r="AS43" s="43">
        <f t="shared" ref="AS43:AY43" si="273">AS171</f>
        <v>0</v>
      </c>
      <c r="AT43" s="43">
        <f t="shared" si="273"/>
        <v>0</v>
      </c>
      <c r="AU43" s="43">
        <f>AU171</f>
        <v>0</v>
      </c>
      <c r="AV43" s="43">
        <f t="shared" si="273"/>
        <v>0</v>
      </c>
      <c r="AW43" s="43">
        <f t="shared" si="273"/>
        <v>0</v>
      </c>
      <c r="AX43" s="43">
        <f t="shared" si="273"/>
        <v>0</v>
      </c>
      <c r="AY43" s="43">
        <f t="shared" si="273"/>
        <v>0</v>
      </c>
      <c r="AZ43" s="43">
        <f>AZ171</f>
        <v>0</v>
      </c>
      <c r="BA43" s="43">
        <f t="shared" si="272"/>
        <v>0</v>
      </c>
      <c r="BB43" s="43">
        <f t="shared" si="272"/>
        <v>0</v>
      </c>
      <c r="BC43" s="43">
        <f>BC171</f>
        <v>0</v>
      </c>
      <c r="BD43" s="43">
        <f>BD171</f>
        <v>0</v>
      </c>
      <c r="BE43" s="43">
        <f t="shared" ref="BE43:BG43" si="274">BE171</f>
        <v>0</v>
      </c>
      <c r="BF43" s="43">
        <f t="shared" si="274"/>
        <v>0</v>
      </c>
      <c r="BG43" s="43">
        <f t="shared" si="274"/>
        <v>0</v>
      </c>
      <c r="BH43" s="43">
        <f t="shared" ref="BH43:BL43" si="275">BH171</f>
        <v>0</v>
      </c>
      <c r="BI43" s="43">
        <f t="shared" si="275"/>
        <v>0</v>
      </c>
      <c r="BJ43" s="43">
        <f t="shared" si="275"/>
        <v>0</v>
      </c>
      <c r="BK43" s="43">
        <f t="shared" si="275"/>
        <v>0</v>
      </c>
      <c r="BL43" s="43">
        <f t="shared" si="275"/>
        <v>0</v>
      </c>
    </row>
    <row r="44" spans="1:64" ht="14.1" customHeight="1">
      <c r="A44" s="379">
        <f t="shared" si="73"/>
        <v>38</v>
      </c>
      <c r="B44" s="88" t="s">
        <v>43</v>
      </c>
      <c r="C44" s="38">
        <f t="shared" si="267"/>
        <v>121568119</v>
      </c>
      <c r="D44" s="43">
        <f t="shared" ref="D44:K44" si="276">-D178-D186-D189</f>
        <v>0</v>
      </c>
      <c r="E44" s="43">
        <f t="shared" si="276"/>
        <v>0</v>
      </c>
      <c r="F44" s="43">
        <f t="shared" si="276"/>
        <v>0</v>
      </c>
      <c r="G44" s="43">
        <f t="shared" si="276"/>
        <v>121568119</v>
      </c>
      <c r="H44" s="43">
        <f t="shared" si="276"/>
        <v>0</v>
      </c>
      <c r="I44" s="43">
        <f t="shared" si="276"/>
        <v>0</v>
      </c>
      <c r="J44" s="43">
        <f t="shared" si="276"/>
        <v>0</v>
      </c>
      <c r="K44" s="43">
        <f t="shared" si="276"/>
        <v>0</v>
      </c>
      <c r="L44" s="43">
        <f t="shared" ref="L44:Y44" si="277">-L178-L186-L189</f>
        <v>0</v>
      </c>
      <c r="M44" s="43">
        <f t="shared" si="277"/>
        <v>0</v>
      </c>
      <c r="N44" s="43">
        <f t="shared" si="277"/>
        <v>0</v>
      </c>
      <c r="O44" s="43">
        <f t="shared" si="277"/>
        <v>0</v>
      </c>
      <c r="P44" s="43">
        <f t="shared" si="277"/>
        <v>0</v>
      </c>
      <c r="Q44" s="43">
        <f t="shared" si="277"/>
        <v>0</v>
      </c>
      <c r="R44" s="43">
        <f t="shared" si="277"/>
        <v>0</v>
      </c>
      <c r="S44" s="43">
        <f t="shared" si="277"/>
        <v>0</v>
      </c>
      <c r="T44" s="43">
        <f>-T178-T186-T189</f>
        <v>0</v>
      </c>
      <c r="U44" s="43">
        <f t="shared" si="277"/>
        <v>0</v>
      </c>
      <c r="V44" s="43">
        <f t="shared" si="277"/>
        <v>0</v>
      </c>
      <c r="W44" s="43">
        <f t="shared" si="277"/>
        <v>0</v>
      </c>
      <c r="X44" s="43">
        <f t="shared" si="277"/>
        <v>0</v>
      </c>
      <c r="Y44" s="43">
        <f t="shared" si="277"/>
        <v>0</v>
      </c>
      <c r="Z44" s="43">
        <f t="shared" ref="Z44:AE44" si="278">-Z178-Z186-Z189</f>
        <v>0</v>
      </c>
      <c r="AA44" s="43">
        <f t="shared" si="278"/>
        <v>0</v>
      </c>
      <c r="AB44" s="43">
        <f t="shared" si="278"/>
        <v>0</v>
      </c>
      <c r="AC44" s="43">
        <f t="shared" si="278"/>
        <v>0</v>
      </c>
      <c r="AD44" s="43">
        <f t="shared" si="278"/>
        <v>0</v>
      </c>
      <c r="AE44" s="43">
        <f t="shared" si="278"/>
        <v>0</v>
      </c>
      <c r="AF44" s="43">
        <f t="shared" ref="AF44:AL44" si="279">-AF178-AF186-AF189</f>
        <v>0</v>
      </c>
      <c r="AG44" s="43">
        <f t="shared" si="279"/>
        <v>0</v>
      </c>
      <c r="AH44" s="43">
        <f t="shared" si="279"/>
        <v>0</v>
      </c>
      <c r="AI44" s="43">
        <f t="shared" si="279"/>
        <v>0</v>
      </c>
      <c r="AJ44" s="43">
        <f t="shared" si="279"/>
        <v>0</v>
      </c>
      <c r="AK44" s="43">
        <f t="shared" si="279"/>
        <v>0</v>
      </c>
      <c r="AL44" s="43">
        <f t="shared" si="279"/>
        <v>0</v>
      </c>
      <c r="AM44" s="43">
        <f t="shared" ref="AM44:BB44" si="280">-AM178-AM186-AM189</f>
        <v>0</v>
      </c>
      <c r="AN44" s="43">
        <f t="shared" si="280"/>
        <v>0</v>
      </c>
      <c r="AO44" s="43">
        <f t="shared" si="280"/>
        <v>0</v>
      </c>
      <c r="AP44" s="43">
        <f t="shared" si="280"/>
        <v>0</v>
      </c>
      <c r="AQ44" s="43">
        <f>-AQ178-AQ186-AQ189</f>
        <v>0</v>
      </c>
      <c r="AR44" s="43">
        <f>-AR178-AR186-AR189</f>
        <v>0</v>
      </c>
      <c r="AS44" s="43">
        <f t="shared" ref="AS44:AY44" si="281">-AS178-AS186-AS189</f>
        <v>0</v>
      </c>
      <c r="AT44" s="43">
        <f t="shared" si="281"/>
        <v>0</v>
      </c>
      <c r="AU44" s="43">
        <f>-AU178-AU186-AU189</f>
        <v>0</v>
      </c>
      <c r="AV44" s="43">
        <f t="shared" si="281"/>
        <v>0</v>
      </c>
      <c r="AW44" s="43">
        <f t="shared" si="281"/>
        <v>0</v>
      </c>
      <c r="AX44" s="43">
        <f t="shared" si="281"/>
        <v>0</v>
      </c>
      <c r="AY44" s="43">
        <f t="shared" si="281"/>
        <v>0</v>
      </c>
      <c r="AZ44" s="43">
        <f>-AZ178-AZ186-AZ189</f>
        <v>0</v>
      </c>
      <c r="BA44" s="43">
        <f t="shared" si="280"/>
        <v>0</v>
      </c>
      <c r="BB44" s="43">
        <f t="shared" si="280"/>
        <v>0</v>
      </c>
      <c r="BC44" s="43">
        <f>-BC178-BC186-BC189</f>
        <v>0</v>
      </c>
      <c r="BD44" s="43">
        <f>-BD178-BD186-BD189</f>
        <v>0</v>
      </c>
      <c r="BE44" s="43">
        <f t="shared" ref="BE44:BG44" si="282">-BE178-BE186-BE189</f>
        <v>0</v>
      </c>
      <c r="BF44" s="43">
        <f t="shared" si="282"/>
        <v>0</v>
      </c>
      <c r="BG44" s="43">
        <f t="shared" si="282"/>
        <v>0</v>
      </c>
      <c r="BH44" s="43">
        <f t="shared" ref="BH44:BL44" si="283">-BH178-BH186-BH189</f>
        <v>0</v>
      </c>
      <c r="BI44" s="43">
        <f t="shared" si="283"/>
        <v>0</v>
      </c>
      <c r="BJ44" s="43">
        <f t="shared" si="283"/>
        <v>0</v>
      </c>
      <c r="BK44" s="43">
        <f t="shared" si="283"/>
        <v>0</v>
      </c>
      <c r="BL44" s="43">
        <f t="shared" si="283"/>
        <v>0</v>
      </c>
    </row>
    <row r="45" spans="1:64" ht="14.1" customHeight="1">
      <c r="A45" s="379">
        <f t="shared" si="73"/>
        <v>39</v>
      </c>
      <c r="B45" s="13" t="s">
        <v>372</v>
      </c>
      <c r="C45" s="38">
        <f t="shared" si="267"/>
        <v>-202281947</v>
      </c>
      <c r="D45" s="38">
        <f t="shared" ref="D45:K45" si="284">SUM(D43:D44)</f>
        <v>0</v>
      </c>
      <c r="E45" s="38">
        <f t="shared" si="284"/>
        <v>0</v>
      </c>
      <c r="F45" s="38">
        <f t="shared" si="284"/>
        <v>0</v>
      </c>
      <c r="G45" s="38">
        <f t="shared" si="284"/>
        <v>-202281947</v>
      </c>
      <c r="H45" s="38">
        <f t="shared" si="284"/>
        <v>0</v>
      </c>
      <c r="I45" s="38">
        <f t="shared" si="284"/>
        <v>0</v>
      </c>
      <c r="J45" s="38">
        <f t="shared" si="284"/>
        <v>0</v>
      </c>
      <c r="K45" s="38">
        <f t="shared" si="284"/>
        <v>0</v>
      </c>
      <c r="L45" s="38">
        <f t="shared" ref="L45:Y45" si="285">SUM(L43:L44)</f>
        <v>0</v>
      </c>
      <c r="M45" s="38">
        <f t="shared" si="285"/>
        <v>0</v>
      </c>
      <c r="N45" s="38">
        <f t="shared" si="285"/>
        <v>0</v>
      </c>
      <c r="O45" s="38">
        <f t="shared" si="285"/>
        <v>0</v>
      </c>
      <c r="P45" s="38">
        <f t="shared" si="285"/>
        <v>0</v>
      </c>
      <c r="Q45" s="38">
        <f t="shared" si="285"/>
        <v>0</v>
      </c>
      <c r="R45" s="38">
        <f t="shared" si="285"/>
        <v>0</v>
      </c>
      <c r="S45" s="38">
        <f t="shared" si="285"/>
        <v>0</v>
      </c>
      <c r="T45" s="38">
        <f>SUM(T43:T44)</f>
        <v>0</v>
      </c>
      <c r="U45" s="38">
        <f t="shared" si="285"/>
        <v>0</v>
      </c>
      <c r="V45" s="38">
        <f t="shared" si="285"/>
        <v>0</v>
      </c>
      <c r="W45" s="38">
        <f t="shared" si="285"/>
        <v>0</v>
      </c>
      <c r="X45" s="38">
        <f t="shared" si="285"/>
        <v>0</v>
      </c>
      <c r="Y45" s="38">
        <f t="shared" si="285"/>
        <v>0</v>
      </c>
      <c r="Z45" s="38">
        <f t="shared" ref="Z45:AE45" si="286">SUM(Z43:Z44)</f>
        <v>0</v>
      </c>
      <c r="AA45" s="38">
        <f t="shared" si="286"/>
        <v>0</v>
      </c>
      <c r="AB45" s="38">
        <f t="shared" si="286"/>
        <v>0</v>
      </c>
      <c r="AC45" s="38">
        <f t="shared" si="286"/>
        <v>0</v>
      </c>
      <c r="AD45" s="38">
        <f t="shared" si="286"/>
        <v>0</v>
      </c>
      <c r="AE45" s="38">
        <f t="shared" si="286"/>
        <v>0</v>
      </c>
      <c r="AF45" s="38">
        <f t="shared" ref="AF45:AL45" si="287">SUM(AF43:AF44)</f>
        <v>0</v>
      </c>
      <c r="AG45" s="38">
        <f t="shared" si="287"/>
        <v>0</v>
      </c>
      <c r="AH45" s="38">
        <f t="shared" si="287"/>
        <v>0</v>
      </c>
      <c r="AI45" s="38">
        <f t="shared" si="287"/>
        <v>0</v>
      </c>
      <c r="AJ45" s="38">
        <f t="shared" si="287"/>
        <v>0</v>
      </c>
      <c r="AK45" s="38">
        <f t="shared" si="287"/>
        <v>0</v>
      </c>
      <c r="AL45" s="38">
        <f t="shared" si="287"/>
        <v>0</v>
      </c>
      <c r="AM45" s="38">
        <f t="shared" ref="AM45:BB45" si="288">SUM(AM43:AM44)</f>
        <v>0</v>
      </c>
      <c r="AN45" s="38">
        <f t="shared" si="288"/>
        <v>0</v>
      </c>
      <c r="AO45" s="38">
        <f t="shared" si="288"/>
        <v>0</v>
      </c>
      <c r="AP45" s="38">
        <f t="shared" si="288"/>
        <v>0</v>
      </c>
      <c r="AQ45" s="38">
        <f>SUM(AQ43:AQ44)</f>
        <v>0</v>
      </c>
      <c r="AR45" s="38">
        <f>SUM(AR43:AR44)</f>
        <v>0</v>
      </c>
      <c r="AS45" s="38">
        <f t="shared" ref="AS45:AY45" si="289">SUM(AS43:AS44)</f>
        <v>0</v>
      </c>
      <c r="AT45" s="38">
        <f t="shared" si="289"/>
        <v>0</v>
      </c>
      <c r="AU45" s="38">
        <f>SUM(AU43:AU44)</f>
        <v>0</v>
      </c>
      <c r="AV45" s="38">
        <f t="shared" si="289"/>
        <v>0</v>
      </c>
      <c r="AW45" s="38">
        <f t="shared" si="289"/>
        <v>0</v>
      </c>
      <c r="AX45" s="38">
        <f t="shared" si="289"/>
        <v>0</v>
      </c>
      <c r="AY45" s="38">
        <f t="shared" si="289"/>
        <v>0</v>
      </c>
      <c r="AZ45" s="38">
        <f>SUM(AZ43:AZ44)</f>
        <v>0</v>
      </c>
      <c r="BA45" s="38">
        <f t="shared" si="288"/>
        <v>0</v>
      </c>
      <c r="BB45" s="38">
        <f t="shared" si="288"/>
        <v>0</v>
      </c>
      <c r="BC45" s="38">
        <f>SUM(BC43:BC44)</f>
        <v>0</v>
      </c>
      <c r="BD45" s="38">
        <f>SUM(BD43:BD44)</f>
        <v>0</v>
      </c>
      <c r="BE45" s="38">
        <f t="shared" ref="BE45:BG45" si="290">SUM(BE43:BE44)</f>
        <v>0</v>
      </c>
      <c r="BF45" s="38">
        <f>SUM(BF43:BF44)</f>
        <v>0</v>
      </c>
      <c r="BG45" s="38">
        <f t="shared" si="290"/>
        <v>0</v>
      </c>
      <c r="BH45" s="38">
        <f t="shared" ref="BH45:BL45" si="291">SUM(BH43:BH44)</f>
        <v>0</v>
      </c>
      <c r="BI45" s="38">
        <f t="shared" si="291"/>
        <v>0</v>
      </c>
      <c r="BJ45" s="38">
        <f t="shared" si="291"/>
        <v>0</v>
      </c>
      <c r="BK45" s="38">
        <f t="shared" si="291"/>
        <v>0</v>
      </c>
      <c r="BL45" s="38">
        <f t="shared" si="291"/>
        <v>0</v>
      </c>
    </row>
    <row r="46" spans="1:64" ht="14.1" customHeight="1">
      <c r="A46" s="379">
        <f t="shared" si="73"/>
        <v>40</v>
      </c>
      <c r="B46" s="88" t="s">
        <v>45</v>
      </c>
      <c r="C46" s="38">
        <f t="shared" si="267"/>
        <v>0</v>
      </c>
      <c r="D46" s="43">
        <f t="shared" ref="D46:K46" si="292">D223</f>
        <v>0</v>
      </c>
      <c r="E46" s="43">
        <f t="shared" si="292"/>
        <v>0</v>
      </c>
      <c r="F46" s="43">
        <f t="shared" si="292"/>
        <v>0</v>
      </c>
      <c r="G46" s="43">
        <f t="shared" si="292"/>
        <v>0</v>
      </c>
      <c r="H46" s="43">
        <f t="shared" si="292"/>
        <v>0</v>
      </c>
      <c r="I46" s="43">
        <f t="shared" si="292"/>
        <v>0</v>
      </c>
      <c r="J46" s="43">
        <f t="shared" si="292"/>
        <v>0</v>
      </c>
      <c r="K46" s="43">
        <f t="shared" si="292"/>
        <v>0</v>
      </c>
      <c r="L46" s="43">
        <f t="shared" ref="L46:Y46" si="293">L223</f>
        <v>0</v>
      </c>
      <c r="M46" s="43">
        <f t="shared" si="293"/>
        <v>0</v>
      </c>
      <c r="N46" s="43">
        <f t="shared" si="293"/>
        <v>0</v>
      </c>
      <c r="O46" s="43">
        <f t="shared" si="293"/>
        <v>0</v>
      </c>
      <c r="P46" s="43">
        <f t="shared" si="293"/>
        <v>0</v>
      </c>
      <c r="Q46" s="43">
        <f t="shared" si="293"/>
        <v>0</v>
      </c>
      <c r="R46" s="43">
        <f t="shared" si="293"/>
        <v>0</v>
      </c>
      <c r="S46" s="43">
        <f t="shared" si="293"/>
        <v>0</v>
      </c>
      <c r="T46" s="43">
        <f>T223</f>
        <v>0</v>
      </c>
      <c r="U46" s="43">
        <f t="shared" si="293"/>
        <v>0</v>
      </c>
      <c r="V46" s="43">
        <f t="shared" si="293"/>
        <v>0</v>
      </c>
      <c r="W46" s="43">
        <f t="shared" si="293"/>
        <v>0</v>
      </c>
      <c r="X46" s="43">
        <f t="shared" si="293"/>
        <v>0</v>
      </c>
      <c r="Y46" s="43">
        <f t="shared" si="293"/>
        <v>0</v>
      </c>
      <c r="Z46" s="43">
        <f t="shared" ref="Z46:AE46" si="294">Z223</f>
        <v>0</v>
      </c>
      <c r="AA46" s="43">
        <f t="shared" si="294"/>
        <v>0</v>
      </c>
      <c r="AB46" s="43">
        <f t="shared" si="294"/>
        <v>0</v>
      </c>
      <c r="AC46" s="43">
        <f t="shared" si="294"/>
        <v>0</v>
      </c>
      <c r="AD46" s="43">
        <f t="shared" si="294"/>
        <v>0</v>
      </c>
      <c r="AE46" s="43">
        <f t="shared" si="294"/>
        <v>0</v>
      </c>
      <c r="AF46" s="43">
        <f t="shared" ref="AF46:AL46" si="295">AF223</f>
        <v>0</v>
      </c>
      <c r="AG46" s="43">
        <f t="shared" si="295"/>
        <v>0</v>
      </c>
      <c r="AH46" s="43">
        <f t="shared" si="295"/>
        <v>0</v>
      </c>
      <c r="AI46" s="43">
        <f t="shared" si="295"/>
        <v>0</v>
      </c>
      <c r="AJ46" s="43">
        <f t="shared" si="295"/>
        <v>0</v>
      </c>
      <c r="AK46" s="43">
        <f t="shared" si="295"/>
        <v>0</v>
      </c>
      <c r="AL46" s="43">
        <f t="shared" si="295"/>
        <v>0</v>
      </c>
      <c r="AM46" s="43">
        <f t="shared" ref="AM46:BB46" si="296">AM223</f>
        <v>0</v>
      </c>
      <c r="AN46" s="43">
        <f t="shared" si="296"/>
        <v>0</v>
      </c>
      <c r="AO46" s="43">
        <f t="shared" si="296"/>
        <v>0</v>
      </c>
      <c r="AP46" s="43">
        <f t="shared" si="296"/>
        <v>0</v>
      </c>
      <c r="AQ46" s="43">
        <f>AQ223</f>
        <v>0</v>
      </c>
      <c r="AR46" s="43">
        <f>AR223</f>
        <v>0</v>
      </c>
      <c r="AS46" s="43">
        <f t="shared" ref="AS46:AY46" si="297">AS223</f>
        <v>0</v>
      </c>
      <c r="AT46" s="43">
        <f t="shared" si="297"/>
        <v>0</v>
      </c>
      <c r="AU46" s="43">
        <f>AU223</f>
        <v>0</v>
      </c>
      <c r="AV46" s="43">
        <f t="shared" si="297"/>
        <v>0</v>
      </c>
      <c r="AW46" s="43">
        <f t="shared" si="297"/>
        <v>0</v>
      </c>
      <c r="AX46" s="43">
        <f t="shared" si="297"/>
        <v>0</v>
      </c>
      <c r="AY46" s="43">
        <f t="shared" si="297"/>
        <v>0</v>
      </c>
      <c r="AZ46" s="43">
        <f>AZ223</f>
        <v>0</v>
      </c>
      <c r="BA46" s="43">
        <f t="shared" si="296"/>
        <v>0</v>
      </c>
      <c r="BB46" s="43">
        <f t="shared" si="296"/>
        <v>0</v>
      </c>
      <c r="BC46" s="43">
        <f>BC223</f>
        <v>0</v>
      </c>
      <c r="BD46" s="43">
        <f>BD223</f>
        <v>0</v>
      </c>
      <c r="BE46" s="43">
        <f t="shared" ref="BE46:BG46" si="298">BE223</f>
        <v>0</v>
      </c>
      <c r="BF46" s="43">
        <f t="shared" si="298"/>
        <v>0</v>
      </c>
      <c r="BG46" s="43">
        <f t="shared" si="298"/>
        <v>0</v>
      </c>
      <c r="BH46" s="43">
        <f t="shared" ref="BH46:BL46" si="299">BH223</f>
        <v>0</v>
      </c>
      <c r="BI46" s="43">
        <f t="shared" si="299"/>
        <v>0</v>
      </c>
      <c r="BJ46" s="43">
        <f t="shared" si="299"/>
        <v>0</v>
      </c>
      <c r="BK46" s="43">
        <f t="shared" si="299"/>
        <v>0</v>
      </c>
      <c r="BL46" s="43">
        <f t="shared" si="299"/>
        <v>0</v>
      </c>
    </row>
    <row r="47" spans="1:64" ht="14.1" customHeight="1">
      <c r="A47" s="379">
        <f t="shared" si="73"/>
        <v>41</v>
      </c>
      <c r="B47" s="88" t="s">
        <v>373</v>
      </c>
      <c r="C47" s="38">
        <f t="shared" si="267"/>
        <v>0</v>
      </c>
      <c r="D47" s="43">
        <f t="shared" ref="D47:K47" si="300">D234+D235</f>
        <v>0</v>
      </c>
      <c r="E47" s="43">
        <f t="shared" si="300"/>
        <v>0</v>
      </c>
      <c r="F47" s="43">
        <f t="shared" si="300"/>
        <v>0</v>
      </c>
      <c r="G47" s="43">
        <f t="shared" si="300"/>
        <v>0</v>
      </c>
      <c r="H47" s="43">
        <f t="shared" si="300"/>
        <v>0</v>
      </c>
      <c r="I47" s="43">
        <f t="shared" si="300"/>
        <v>0</v>
      </c>
      <c r="J47" s="43">
        <f t="shared" si="300"/>
        <v>0</v>
      </c>
      <c r="K47" s="43">
        <f t="shared" si="300"/>
        <v>0</v>
      </c>
      <c r="L47" s="43">
        <f t="shared" ref="L47:Y47" si="301">L234+L235</f>
        <v>0</v>
      </c>
      <c r="M47" s="43">
        <f t="shared" si="301"/>
        <v>0</v>
      </c>
      <c r="N47" s="43">
        <f t="shared" si="301"/>
        <v>0</v>
      </c>
      <c r="O47" s="43">
        <f t="shared" si="301"/>
        <v>0</v>
      </c>
      <c r="P47" s="43">
        <f t="shared" si="301"/>
        <v>0</v>
      </c>
      <c r="Q47" s="43">
        <f t="shared" si="301"/>
        <v>0</v>
      </c>
      <c r="R47" s="43">
        <f t="shared" si="301"/>
        <v>0</v>
      </c>
      <c r="S47" s="43">
        <f t="shared" si="301"/>
        <v>0</v>
      </c>
      <c r="T47" s="43">
        <f>T234+T235</f>
        <v>0</v>
      </c>
      <c r="U47" s="43">
        <f t="shared" si="301"/>
        <v>0</v>
      </c>
      <c r="V47" s="43">
        <f t="shared" si="301"/>
        <v>0</v>
      </c>
      <c r="W47" s="43">
        <f t="shared" si="301"/>
        <v>0</v>
      </c>
      <c r="X47" s="43">
        <f t="shared" si="301"/>
        <v>0</v>
      </c>
      <c r="Y47" s="43">
        <f t="shared" si="301"/>
        <v>0</v>
      </c>
      <c r="Z47" s="43">
        <f t="shared" ref="Z47:AE47" si="302">Z234+Z235</f>
        <v>0</v>
      </c>
      <c r="AA47" s="43">
        <f t="shared" si="302"/>
        <v>0</v>
      </c>
      <c r="AB47" s="43">
        <f t="shared" si="302"/>
        <v>0</v>
      </c>
      <c r="AC47" s="43">
        <f t="shared" si="302"/>
        <v>0</v>
      </c>
      <c r="AD47" s="43">
        <f t="shared" si="302"/>
        <v>0</v>
      </c>
      <c r="AE47" s="43">
        <f t="shared" si="302"/>
        <v>0</v>
      </c>
      <c r="AF47" s="43">
        <f t="shared" ref="AF47:AL47" si="303">AF234+AF235</f>
        <v>0</v>
      </c>
      <c r="AG47" s="43">
        <f t="shared" si="303"/>
        <v>0</v>
      </c>
      <c r="AH47" s="43">
        <f t="shared" si="303"/>
        <v>0</v>
      </c>
      <c r="AI47" s="43">
        <f t="shared" si="303"/>
        <v>0</v>
      </c>
      <c r="AJ47" s="43">
        <f t="shared" si="303"/>
        <v>0</v>
      </c>
      <c r="AK47" s="43">
        <f t="shared" si="303"/>
        <v>0</v>
      </c>
      <c r="AL47" s="43">
        <f t="shared" si="303"/>
        <v>0</v>
      </c>
      <c r="AM47" s="43">
        <f t="shared" ref="AM47:BB47" si="304">AM234+AM235</f>
        <v>0</v>
      </c>
      <c r="AN47" s="43">
        <f t="shared" si="304"/>
        <v>0</v>
      </c>
      <c r="AO47" s="43">
        <f t="shared" si="304"/>
        <v>0</v>
      </c>
      <c r="AP47" s="43">
        <f t="shared" si="304"/>
        <v>0</v>
      </c>
      <c r="AQ47" s="43">
        <f>AQ234+AQ235</f>
        <v>0</v>
      </c>
      <c r="AR47" s="43">
        <f>AR234+AR235</f>
        <v>0</v>
      </c>
      <c r="AS47" s="43">
        <f t="shared" ref="AS47:AY47" si="305">AS234+AS235</f>
        <v>0</v>
      </c>
      <c r="AT47" s="43">
        <f t="shared" si="305"/>
        <v>0</v>
      </c>
      <c r="AU47" s="43">
        <f>AU234+AU235</f>
        <v>0</v>
      </c>
      <c r="AV47" s="43">
        <f t="shared" si="305"/>
        <v>0</v>
      </c>
      <c r="AW47" s="43">
        <f t="shared" si="305"/>
        <v>0</v>
      </c>
      <c r="AX47" s="43">
        <f t="shared" si="305"/>
        <v>0</v>
      </c>
      <c r="AY47" s="43">
        <f t="shared" si="305"/>
        <v>0</v>
      </c>
      <c r="AZ47" s="43">
        <f>AZ234+AZ235</f>
        <v>0</v>
      </c>
      <c r="BA47" s="43">
        <f t="shared" si="304"/>
        <v>0</v>
      </c>
      <c r="BB47" s="43">
        <f t="shared" si="304"/>
        <v>0</v>
      </c>
      <c r="BC47" s="43">
        <f>BC234+BC235</f>
        <v>0</v>
      </c>
      <c r="BD47" s="43">
        <f>BD234+BD235</f>
        <v>0</v>
      </c>
      <c r="BE47" s="43">
        <f t="shared" ref="BE47:BG47" si="306">BE234+BE235</f>
        <v>0</v>
      </c>
      <c r="BF47" s="43">
        <f t="shared" si="306"/>
        <v>0</v>
      </c>
      <c r="BG47" s="43">
        <f t="shared" si="306"/>
        <v>0</v>
      </c>
      <c r="BH47" s="43">
        <f t="shared" ref="BH47:BL47" si="307">BH234+BH235</f>
        <v>0</v>
      </c>
      <c r="BI47" s="43">
        <f t="shared" si="307"/>
        <v>0</v>
      </c>
      <c r="BJ47" s="43">
        <f t="shared" si="307"/>
        <v>0</v>
      </c>
      <c r="BK47" s="43">
        <f t="shared" si="307"/>
        <v>0</v>
      </c>
      <c r="BL47" s="43">
        <f t="shared" si="307"/>
        <v>0</v>
      </c>
    </row>
    <row r="48" spans="1:64" ht="14.1" customHeight="1">
      <c r="A48" s="379">
        <f t="shared" si="73"/>
        <v>42</v>
      </c>
      <c r="B48" s="88" t="s">
        <v>374</v>
      </c>
      <c r="C48" s="38">
        <f t="shared" si="267"/>
        <v>-14587221</v>
      </c>
      <c r="D48" s="43">
        <f t="shared" ref="D48:K48" si="308">SUM(D226:D230)</f>
        <v>0</v>
      </c>
      <c r="E48" s="43">
        <f t="shared" si="308"/>
        <v>0</v>
      </c>
      <c r="F48" s="43">
        <f t="shared" si="308"/>
        <v>0</v>
      </c>
      <c r="G48" s="43">
        <f t="shared" si="308"/>
        <v>-1699124</v>
      </c>
      <c r="H48" s="43">
        <f t="shared" si="308"/>
        <v>0</v>
      </c>
      <c r="I48" s="43">
        <f t="shared" si="308"/>
        <v>0</v>
      </c>
      <c r="J48" s="43">
        <f t="shared" si="308"/>
        <v>0</v>
      </c>
      <c r="K48" s="43">
        <f t="shared" si="308"/>
        <v>0</v>
      </c>
      <c r="L48" s="43">
        <f t="shared" ref="L48:Y48" si="309">SUM(L226:L230)</f>
        <v>0</v>
      </c>
      <c r="M48" s="43">
        <f t="shared" si="309"/>
        <v>0</v>
      </c>
      <c r="N48" s="43">
        <f t="shared" si="309"/>
        <v>0</v>
      </c>
      <c r="O48" s="43">
        <f t="shared" si="309"/>
        <v>0</v>
      </c>
      <c r="P48" s="43">
        <f t="shared" si="309"/>
        <v>0</v>
      </c>
      <c r="Q48" s="43">
        <f t="shared" si="309"/>
        <v>0</v>
      </c>
      <c r="R48" s="43">
        <f t="shared" si="309"/>
        <v>0</v>
      </c>
      <c r="S48" s="43">
        <f t="shared" si="309"/>
        <v>0</v>
      </c>
      <c r="T48" s="43">
        <f>SUM(T226:T230)</f>
        <v>0</v>
      </c>
      <c r="U48" s="43">
        <f t="shared" si="309"/>
        <v>0</v>
      </c>
      <c r="V48" s="43">
        <f t="shared" si="309"/>
        <v>0</v>
      </c>
      <c r="W48" s="43">
        <f t="shared" si="309"/>
        <v>0</v>
      </c>
      <c r="X48" s="43">
        <f t="shared" si="309"/>
        <v>0</v>
      </c>
      <c r="Y48" s="43">
        <f t="shared" si="309"/>
        <v>0</v>
      </c>
      <c r="Z48" s="43">
        <f t="shared" ref="Z48:AE48" si="310">SUM(Z226:Z230)</f>
        <v>0</v>
      </c>
      <c r="AA48" s="43">
        <f t="shared" si="310"/>
        <v>0</v>
      </c>
      <c r="AB48" s="43">
        <f t="shared" si="310"/>
        <v>0</v>
      </c>
      <c r="AC48" s="43">
        <f t="shared" si="310"/>
        <v>0</v>
      </c>
      <c r="AD48" s="43">
        <f t="shared" si="310"/>
        <v>0</v>
      </c>
      <c r="AE48" s="43">
        <f t="shared" si="310"/>
        <v>0</v>
      </c>
      <c r="AF48" s="43">
        <f t="shared" ref="AF48:AL48" si="311">SUM(AF226:AF230)</f>
        <v>0</v>
      </c>
      <c r="AG48" s="43">
        <f t="shared" si="311"/>
        <v>0</v>
      </c>
      <c r="AH48" s="43">
        <f t="shared" si="311"/>
        <v>0</v>
      </c>
      <c r="AI48" s="43">
        <f t="shared" si="311"/>
        <v>0</v>
      </c>
      <c r="AJ48" s="43">
        <f t="shared" si="311"/>
        <v>0</v>
      </c>
      <c r="AK48" s="43">
        <f t="shared" si="311"/>
        <v>0</v>
      </c>
      <c r="AL48" s="43">
        <f t="shared" si="311"/>
        <v>-12888097</v>
      </c>
      <c r="AM48" s="43">
        <f t="shared" ref="AM48:BB48" si="312">SUM(AM226:AM230)</f>
        <v>0</v>
      </c>
      <c r="AN48" s="43">
        <f t="shared" si="312"/>
        <v>0</v>
      </c>
      <c r="AO48" s="43">
        <f t="shared" si="312"/>
        <v>0</v>
      </c>
      <c r="AP48" s="43">
        <f t="shared" si="312"/>
        <v>0</v>
      </c>
      <c r="AQ48" s="43">
        <f>SUM(AQ226:AQ230)</f>
        <v>0</v>
      </c>
      <c r="AR48" s="43">
        <f>SUM(AR226:AR230)</f>
        <v>0</v>
      </c>
      <c r="AS48" s="43">
        <f t="shared" ref="AS48:AY48" si="313">SUM(AS226:AS230)</f>
        <v>0</v>
      </c>
      <c r="AT48" s="43">
        <f t="shared" si="313"/>
        <v>0</v>
      </c>
      <c r="AU48" s="43">
        <f>SUM(AU226:AU230)</f>
        <v>0</v>
      </c>
      <c r="AV48" s="43">
        <f t="shared" si="313"/>
        <v>0</v>
      </c>
      <c r="AW48" s="43">
        <f t="shared" si="313"/>
        <v>0</v>
      </c>
      <c r="AX48" s="43">
        <f t="shared" si="313"/>
        <v>0</v>
      </c>
      <c r="AY48" s="43">
        <f t="shared" si="313"/>
        <v>0</v>
      </c>
      <c r="AZ48" s="43">
        <f>SUM(AZ226:AZ230)</f>
        <v>0</v>
      </c>
      <c r="BA48" s="43">
        <f t="shared" si="312"/>
        <v>0</v>
      </c>
      <c r="BB48" s="43">
        <f t="shared" si="312"/>
        <v>0</v>
      </c>
      <c r="BC48" s="43">
        <f>SUM(BC226:BC230)</f>
        <v>0</v>
      </c>
      <c r="BD48" s="43">
        <f>SUM(BD226:BD230)</f>
        <v>0</v>
      </c>
      <c r="BE48" s="43">
        <f t="shared" ref="BE48:BG48" si="314">SUM(BE226:BE230)</f>
        <v>0</v>
      </c>
      <c r="BF48" s="43">
        <f t="shared" si="314"/>
        <v>0</v>
      </c>
      <c r="BG48" s="43">
        <f t="shared" si="314"/>
        <v>0</v>
      </c>
      <c r="BH48" s="43">
        <f t="shared" ref="BH48:BL48" si="315">SUM(BH226:BH230)</f>
        <v>0</v>
      </c>
      <c r="BI48" s="43">
        <f t="shared" si="315"/>
        <v>0</v>
      </c>
      <c r="BJ48" s="43">
        <f t="shared" si="315"/>
        <v>0</v>
      </c>
      <c r="BK48" s="43">
        <f t="shared" si="315"/>
        <v>0</v>
      </c>
      <c r="BL48" s="43">
        <f t="shared" si="315"/>
        <v>0</v>
      </c>
    </row>
    <row r="49" spans="1:64" ht="14.1" customHeight="1">
      <c r="A49" s="419">
        <f t="shared" si="73"/>
        <v>43</v>
      </c>
      <c r="B49" s="88" t="s">
        <v>375</v>
      </c>
      <c r="C49" s="38">
        <f t="shared" si="267"/>
        <v>682665.80624999991</v>
      </c>
      <c r="D49" s="43">
        <f t="shared" ref="D49:K49" si="316">D435</f>
        <v>0</v>
      </c>
      <c r="E49" s="43">
        <f t="shared" si="316"/>
        <v>0.125</v>
      </c>
      <c r="F49" s="43">
        <f t="shared" si="316"/>
        <v>-480400.75</v>
      </c>
      <c r="G49" s="43">
        <f t="shared" si="316"/>
        <v>0</v>
      </c>
      <c r="H49" s="43">
        <f t="shared" si="316"/>
        <v>0</v>
      </c>
      <c r="I49" s="43">
        <f t="shared" si="316"/>
        <v>352862.875</v>
      </c>
      <c r="J49" s="43">
        <f t="shared" si="316"/>
        <v>0</v>
      </c>
      <c r="K49" s="43">
        <f t="shared" si="316"/>
        <v>262326.75</v>
      </c>
      <c r="L49" s="43">
        <f t="shared" ref="L49:Y49" si="317">L435</f>
        <v>62234.5</v>
      </c>
      <c r="M49" s="43">
        <f t="shared" si="317"/>
        <v>-60309.75</v>
      </c>
      <c r="N49" s="43">
        <f t="shared" si="317"/>
        <v>-46278</v>
      </c>
      <c r="O49" s="43">
        <f t="shared" si="317"/>
        <v>-801552</v>
      </c>
      <c r="P49" s="43">
        <f t="shared" si="317"/>
        <v>-1226783</v>
      </c>
      <c r="Q49" s="43">
        <f t="shared" si="317"/>
        <v>358801.75</v>
      </c>
      <c r="R49" s="43">
        <f t="shared" si="317"/>
        <v>0</v>
      </c>
      <c r="S49" s="43">
        <f t="shared" si="317"/>
        <v>63966.125</v>
      </c>
      <c r="T49" s="43">
        <f>T435</f>
        <v>45143.25</v>
      </c>
      <c r="U49" s="43">
        <f t="shared" si="317"/>
        <v>65974</v>
      </c>
      <c r="V49" s="43">
        <f t="shared" si="317"/>
        <v>-13997.75</v>
      </c>
      <c r="W49" s="43">
        <f t="shared" si="317"/>
        <v>-13707.068749999997</v>
      </c>
      <c r="X49" s="43">
        <f t="shared" si="317"/>
        <v>-1105</v>
      </c>
      <c r="Y49" s="43">
        <f t="shared" si="317"/>
        <v>-47955.5</v>
      </c>
      <c r="Z49" s="43">
        <f t="shared" ref="Z49:AE49" si="318">Z435</f>
        <v>1530107.75</v>
      </c>
      <c r="AA49" s="43">
        <f t="shared" si="318"/>
        <v>26054.5</v>
      </c>
      <c r="AB49" s="43">
        <f t="shared" si="318"/>
        <v>0</v>
      </c>
      <c r="AC49" s="43">
        <f t="shared" si="318"/>
        <v>-192652.125</v>
      </c>
      <c r="AD49" s="43">
        <f t="shared" si="318"/>
        <v>-186775.375</v>
      </c>
      <c r="AE49" s="43">
        <f t="shared" si="318"/>
        <v>-3444.5</v>
      </c>
      <c r="AF49" s="43">
        <f t="shared" ref="AF49:AL49" si="319">AF435</f>
        <v>0</v>
      </c>
      <c r="AG49" s="43">
        <f t="shared" si="319"/>
        <v>0</v>
      </c>
      <c r="AH49" s="43">
        <f t="shared" si="319"/>
        <v>0</v>
      </c>
      <c r="AI49" s="43">
        <f t="shared" si="319"/>
        <v>0</v>
      </c>
      <c r="AJ49" s="43">
        <f t="shared" si="319"/>
        <v>0</v>
      </c>
      <c r="AK49" s="43">
        <f t="shared" si="319"/>
        <v>0</v>
      </c>
      <c r="AL49" s="43">
        <f t="shared" si="319"/>
        <v>0</v>
      </c>
      <c r="AM49" s="43">
        <f t="shared" ref="AM49:BB49" si="320">AM435</f>
        <v>0</v>
      </c>
      <c r="AN49" s="43">
        <f t="shared" si="320"/>
        <v>0</v>
      </c>
      <c r="AO49" s="43">
        <f t="shared" si="320"/>
        <v>0</v>
      </c>
      <c r="AP49" s="43">
        <f t="shared" si="320"/>
        <v>-32919.125</v>
      </c>
      <c r="AQ49" s="43">
        <f>AQ435</f>
        <v>-1187</v>
      </c>
      <c r="AR49" s="43">
        <f>AR435</f>
        <v>211939.125</v>
      </c>
      <c r="AS49" s="43">
        <f t="shared" ref="AS49:AY49" si="321">AS435</f>
        <v>6440.875</v>
      </c>
      <c r="AT49" s="43">
        <f t="shared" si="321"/>
        <v>-4145.375</v>
      </c>
      <c r="AU49" s="43">
        <f>AU435</f>
        <v>28317.25</v>
      </c>
      <c r="AV49" s="43">
        <f t="shared" si="321"/>
        <v>-17872.5</v>
      </c>
      <c r="AW49" s="43">
        <f t="shared" si="321"/>
        <v>5213.375</v>
      </c>
      <c r="AX49" s="43">
        <f t="shared" si="321"/>
        <v>114916.375</v>
      </c>
      <c r="AY49" s="43">
        <f t="shared" si="321"/>
        <v>29008.125</v>
      </c>
      <c r="AZ49" s="43">
        <f>AZ435</f>
        <v>0</v>
      </c>
      <c r="BA49" s="43">
        <f t="shared" si="320"/>
        <v>0</v>
      </c>
      <c r="BB49" s="43">
        <f t="shared" si="320"/>
        <v>0</v>
      </c>
      <c r="BC49" s="43">
        <f>BC435</f>
        <v>0</v>
      </c>
      <c r="BD49" s="43">
        <f>BD435</f>
        <v>0</v>
      </c>
      <c r="BE49" s="43">
        <f t="shared" ref="BE49:BG49" si="322">BE435</f>
        <v>0</v>
      </c>
      <c r="BF49" s="43">
        <f t="shared" si="322"/>
        <v>0</v>
      </c>
      <c r="BG49" s="43">
        <f t="shared" si="322"/>
        <v>0</v>
      </c>
      <c r="BH49" s="43">
        <f t="shared" ref="BH49:BL49" si="323">BH435</f>
        <v>707735.5</v>
      </c>
      <c r="BI49" s="43">
        <f t="shared" si="323"/>
        <v>-57291.625</v>
      </c>
      <c r="BJ49" s="43">
        <f t="shared" si="323"/>
        <v>0</v>
      </c>
      <c r="BK49" s="43">
        <f t="shared" si="323"/>
        <v>0</v>
      </c>
      <c r="BL49" s="43">
        <f t="shared" si="323"/>
        <v>0</v>
      </c>
    </row>
    <row r="50" spans="1:64" ht="14.1" customHeight="1">
      <c r="A50" s="379">
        <f t="shared" si="73"/>
        <v>44</v>
      </c>
      <c r="B50" s="88" t="s">
        <v>44</v>
      </c>
      <c r="C50" s="38">
        <f t="shared" si="267"/>
        <v>0</v>
      </c>
      <c r="D50" s="43">
        <f t="shared" ref="D50:K50" si="324">D200+D204+D208+D212</f>
        <v>0</v>
      </c>
      <c r="E50" s="43">
        <f t="shared" si="324"/>
        <v>0</v>
      </c>
      <c r="F50" s="43">
        <f t="shared" si="324"/>
        <v>0</v>
      </c>
      <c r="G50" s="43">
        <f t="shared" si="324"/>
        <v>0</v>
      </c>
      <c r="H50" s="43">
        <f t="shared" si="324"/>
        <v>0</v>
      </c>
      <c r="I50" s="43">
        <f t="shared" si="324"/>
        <v>0</v>
      </c>
      <c r="J50" s="43">
        <f t="shared" si="324"/>
        <v>0</v>
      </c>
      <c r="K50" s="43">
        <f t="shared" si="324"/>
        <v>0</v>
      </c>
      <c r="L50" s="43">
        <f t="shared" ref="L50:Y50" si="325">L200+L204+L208+L212</f>
        <v>0</v>
      </c>
      <c r="M50" s="43">
        <f t="shared" si="325"/>
        <v>0</v>
      </c>
      <c r="N50" s="43">
        <f t="shared" si="325"/>
        <v>0</v>
      </c>
      <c r="O50" s="43">
        <f t="shared" si="325"/>
        <v>0</v>
      </c>
      <c r="P50" s="43">
        <f t="shared" si="325"/>
        <v>0</v>
      </c>
      <c r="Q50" s="43">
        <f t="shared" si="325"/>
        <v>0</v>
      </c>
      <c r="R50" s="43">
        <f t="shared" si="325"/>
        <v>0</v>
      </c>
      <c r="S50" s="43">
        <f t="shared" si="325"/>
        <v>0</v>
      </c>
      <c r="T50" s="43">
        <f>T200+T204+T208+T212</f>
        <v>0</v>
      </c>
      <c r="U50" s="43">
        <f t="shared" si="325"/>
        <v>0</v>
      </c>
      <c r="V50" s="43">
        <f t="shared" si="325"/>
        <v>0</v>
      </c>
      <c r="W50" s="43">
        <f t="shared" si="325"/>
        <v>0</v>
      </c>
      <c r="X50" s="43">
        <f t="shared" si="325"/>
        <v>0</v>
      </c>
      <c r="Y50" s="43">
        <f t="shared" si="325"/>
        <v>0</v>
      </c>
      <c r="Z50" s="43">
        <f t="shared" ref="Z50:AE50" si="326">Z200+Z204+Z208+Z212</f>
        <v>0</v>
      </c>
      <c r="AA50" s="43">
        <f t="shared" si="326"/>
        <v>0</v>
      </c>
      <c r="AB50" s="43">
        <f t="shared" si="326"/>
        <v>0</v>
      </c>
      <c r="AC50" s="43">
        <f t="shared" si="326"/>
        <v>0</v>
      </c>
      <c r="AD50" s="43">
        <f t="shared" si="326"/>
        <v>0</v>
      </c>
      <c r="AE50" s="43">
        <f t="shared" si="326"/>
        <v>0</v>
      </c>
      <c r="AF50" s="43">
        <f t="shared" ref="AF50:AL50" si="327">AF200+AF204+AF208+AF212</f>
        <v>0</v>
      </c>
      <c r="AG50" s="43">
        <f t="shared" si="327"/>
        <v>0</v>
      </c>
      <c r="AH50" s="43">
        <f t="shared" si="327"/>
        <v>0</v>
      </c>
      <c r="AI50" s="43">
        <f t="shared" si="327"/>
        <v>0</v>
      </c>
      <c r="AJ50" s="43">
        <f t="shared" si="327"/>
        <v>0</v>
      </c>
      <c r="AK50" s="43">
        <f t="shared" si="327"/>
        <v>0</v>
      </c>
      <c r="AL50" s="43">
        <f t="shared" si="327"/>
        <v>0</v>
      </c>
      <c r="AM50" s="43">
        <f t="shared" ref="AM50:BB50" si="328">AM200+AM204+AM208+AM212</f>
        <v>0</v>
      </c>
      <c r="AN50" s="43">
        <f t="shared" si="328"/>
        <v>0</v>
      </c>
      <c r="AO50" s="43">
        <f t="shared" si="328"/>
        <v>0</v>
      </c>
      <c r="AP50" s="43">
        <f t="shared" si="328"/>
        <v>0</v>
      </c>
      <c r="AQ50" s="43">
        <f>AQ200+AQ204+AQ208+AQ212</f>
        <v>0</v>
      </c>
      <c r="AR50" s="43">
        <f>AR200+AR204+AR208+AR212</f>
        <v>0</v>
      </c>
      <c r="AS50" s="43">
        <f t="shared" ref="AS50:AY50" si="329">AS200+AS204+AS208+AS212</f>
        <v>0</v>
      </c>
      <c r="AT50" s="43">
        <f t="shared" si="329"/>
        <v>0</v>
      </c>
      <c r="AU50" s="43">
        <f>AU200+AU204+AU208+AU212</f>
        <v>0</v>
      </c>
      <c r="AV50" s="43">
        <f t="shared" si="329"/>
        <v>0</v>
      </c>
      <c r="AW50" s="43">
        <f t="shared" si="329"/>
        <v>0</v>
      </c>
      <c r="AX50" s="43">
        <f t="shared" si="329"/>
        <v>0</v>
      </c>
      <c r="AY50" s="43">
        <f t="shared" si="329"/>
        <v>0</v>
      </c>
      <c r="AZ50" s="43">
        <f>AZ200+AZ204+AZ208+AZ212</f>
        <v>0</v>
      </c>
      <c r="BA50" s="43">
        <f t="shared" si="328"/>
        <v>0</v>
      </c>
      <c r="BB50" s="43">
        <f t="shared" si="328"/>
        <v>0</v>
      </c>
      <c r="BC50" s="43">
        <f>BC200+BC204+BC208+BC212</f>
        <v>0</v>
      </c>
      <c r="BD50" s="43">
        <f>BD200+BD204+BD208+BD212</f>
        <v>0</v>
      </c>
      <c r="BE50" s="43">
        <f t="shared" ref="BE50:BG50" si="330">BE200+BE204+BE208+BE212</f>
        <v>0</v>
      </c>
      <c r="BF50" s="43">
        <f t="shared" si="330"/>
        <v>0</v>
      </c>
      <c r="BG50" s="43">
        <f t="shared" si="330"/>
        <v>0</v>
      </c>
      <c r="BH50" s="43">
        <f t="shared" ref="BH50:BL50" si="331">BH200+BH204+BH208+BH212</f>
        <v>0</v>
      </c>
      <c r="BI50" s="43">
        <f t="shared" si="331"/>
        <v>0</v>
      </c>
      <c r="BJ50" s="43">
        <f t="shared" si="331"/>
        <v>0</v>
      </c>
      <c r="BK50" s="43">
        <f t="shared" si="331"/>
        <v>0</v>
      </c>
      <c r="BL50" s="43">
        <f t="shared" si="331"/>
        <v>0</v>
      </c>
    </row>
    <row r="51" spans="1:64" ht="14.1" customHeight="1">
      <c r="A51" s="379">
        <f t="shared" si="73"/>
        <v>45</v>
      </c>
      <c r="B51" s="88" t="s">
        <v>377</v>
      </c>
      <c r="C51" s="38">
        <f t="shared" si="267"/>
        <v>0</v>
      </c>
      <c r="D51" s="43">
        <f t="shared" ref="D51:K51" si="332">(D243+D244)</f>
        <v>0</v>
      </c>
      <c r="E51" s="43">
        <f t="shared" si="332"/>
        <v>0</v>
      </c>
      <c r="F51" s="43">
        <f t="shared" si="332"/>
        <v>0</v>
      </c>
      <c r="G51" s="43">
        <f t="shared" si="332"/>
        <v>0</v>
      </c>
      <c r="H51" s="43">
        <f t="shared" si="332"/>
        <v>0</v>
      </c>
      <c r="I51" s="43">
        <f t="shared" si="332"/>
        <v>0</v>
      </c>
      <c r="J51" s="43">
        <f t="shared" si="332"/>
        <v>0</v>
      </c>
      <c r="K51" s="43">
        <f t="shared" si="332"/>
        <v>0</v>
      </c>
      <c r="L51" s="43">
        <f t="shared" ref="L51:Y51" si="333">(L243+L244)</f>
        <v>0</v>
      </c>
      <c r="M51" s="43">
        <f t="shared" si="333"/>
        <v>0</v>
      </c>
      <c r="N51" s="43">
        <f t="shared" si="333"/>
        <v>0</v>
      </c>
      <c r="O51" s="43">
        <f t="shared" si="333"/>
        <v>0</v>
      </c>
      <c r="P51" s="43">
        <f t="shared" si="333"/>
        <v>0</v>
      </c>
      <c r="Q51" s="43">
        <f t="shared" si="333"/>
        <v>0</v>
      </c>
      <c r="R51" s="43">
        <f t="shared" si="333"/>
        <v>0</v>
      </c>
      <c r="S51" s="43">
        <f t="shared" si="333"/>
        <v>0</v>
      </c>
      <c r="T51" s="43">
        <f>(T243+T244)</f>
        <v>0</v>
      </c>
      <c r="U51" s="43">
        <f t="shared" si="333"/>
        <v>0</v>
      </c>
      <c r="V51" s="43">
        <f t="shared" si="333"/>
        <v>0</v>
      </c>
      <c r="W51" s="43">
        <f t="shared" si="333"/>
        <v>0</v>
      </c>
      <c r="X51" s="43">
        <f t="shared" si="333"/>
        <v>0</v>
      </c>
      <c r="Y51" s="43">
        <f t="shared" si="333"/>
        <v>0</v>
      </c>
      <c r="Z51" s="43">
        <f t="shared" ref="Z51:AE51" si="334">(Z243+Z244)</f>
        <v>0</v>
      </c>
      <c r="AA51" s="43">
        <f t="shared" si="334"/>
        <v>0</v>
      </c>
      <c r="AB51" s="43">
        <f t="shared" si="334"/>
        <v>0</v>
      </c>
      <c r="AC51" s="43">
        <f t="shared" si="334"/>
        <v>0</v>
      </c>
      <c r="AD51" s="43">
        <f t="shared" si="334"/>
        <v>0</v>
      </c>
      <c r="AE51" s="43">
        <f t="shared" si="334"/>
        <v>0</v>
      </c>
      <c r="AF51" s="43">
        <f t="shared" ref="AF51:AL51" si="335">(AF243+AF244)</f>
        <v>0</v>
      </c>
      <c r="AG51" s="43">
        <f t="shared" si="335"/>
        <v>0</v>
      </c>
      <c r="AH51" s="43">
        <f t="shared" si="335"/>
        <v>0</v>
      </c>
      <c r="AI51" s="43">
        <f t="shared" si="335"/>
        <v>0</v>
      </c>
      <c r="AJ51" s="43">
        <f t="shared" si="335"/>
        <v>0</v>
      </c>
      <c r="AK51" s="43">
        <f t="shared" si="335"/>
        <v>0</v>
      </c>
      <c r="AL51" s="43">
        <f t="shared" si="335"/>
        <v>0</v>
      </c>
      <c r="AM51" s="43">
        <f>(AM243+AM244)</f>
        <v>0</v>
      </c>
      <c r="AN51" s="43">
        <f t="shared" ref="AN51:BB51" si="336">(AN243+AN244)</f>
        <v>0</v>
      </c>
      <c r="AO51" s="43">
        <f t="shared" si="336"/>
        <v>0</v>
      </c>
      <c r="AP51" s="43">
        <f t="shared" si="336"/>
        <v>0</v>
      </c>
      <c r="AQ51" s="43">
        <f>(AQ243+AQ244)</f>
        <v>0</v>
      </c>
      <c r="AR51" s="43">
        <f>(AR243+AR244)</f>
        <v>0</v>
      </c>
      <c r="AS51" s="43">
        <f t="shared" ref="AS51:AY51" si="337">(AS243+AS244)</f>
        <v>0</v>
      </c>
      <c r="AT51" s="43">
        <f t="shared" si="337"/>
        <v>0</v>
      </c>
      <c r="AU51" s="43">
        <f>(AU243+AU244)</f>
        <v>0</v>
      </c>
      <c r="AV51" s="43">
        <f t="shared" si="337"/>
        <v>0</v>
      </c>
      <c r="AW51" s="43">
        <f t="shared" si="337"/>
        <v>0</v>
      </c>
      <c r="AX51" s="43">
        <f t="shared" si="337"/>
        <v>0</v>
      </c>
      <c r="AY51" s="43">
        <f t="shared" si="337"/>
        <v>0</v>
      </c>
      <c r="AZ51" s="43">
        <f>(AZ243+AZ244)</f>
        <v>0</v>
      </c>
      <c r="BA51" s="43">
        <f t="shared" si="336"/>
        <v>0</v>
      </c>
      <c r="BB51" s="43">
        <f t="shared" si="336"/>
        <v>0</v>
      </c>
      <c r="BC51" s="43">
        <f>(BC243+BC244)</f>
        <v>0</v>
      </c>
      <c r="BD51" s="43">
        <f>(BD243+BD244)</f>
        <v>0</v>
      </c>
      <c r="BE51" s="43">
        <f t="shared" ref="BE51:BG51" si="338">(BE243+BE244)</f>
        <v>0</v>
      </c>
      <c r="BF51" s="43">
        <f t="shared" si="338"/>
        <v>0</v>
      </c>
      <c r="BG51" s="43">
        <f t="shared" si="338"/>
        <v>0</v>
      </c>
      <c r="BH51" s="43">
        <f t="shared" ref="BH51:BL51" si="339">(BH243+BH244)</f>
        <v>0</v>
      </c>
      <c r="BI51" s="43">
        <f t="shared" si="339"/>
        <v>0</v>
      </c>
      <c r="BJ51" s="43">
        <f t="shared" si="339"/>
        <v>0</v>
      </c>
      <c r="BK51" s="43">
        <f t="shared" si="339"/>
        <v>0</v>
      </c>
      <c r="BL51" s="43">
        <f t="shared" si="339"/>
        <v>0</v>
      </c>
    </row>
    <row r="52" spans="1:64" ht="14.1" customHeight="1">
      <c r="A52" s="379">
        <f t="shared" si="73"/>
        <v>46</v>
      </c>
      <c r="B52" s="56" t="s">
        <v>46</v>
      </c>
      <c r="C52" s="206">
        <f t="shared" si="267"/>
        <v>133451967</v>
      </c>
      <c r="D52" s="64">
        <f t="shared" ref="D52:K52" si="340">D240</f>
        <v>0</v>
      </c>
      <c r="E52" s="64">
        <f t="shared" si="340"/>
        <v>0</v>
      </c>
      <c r="F52" s="64">
        <f t="shared" si="340"/>
        <v>0</v>
      </c>
      <c r="G52" s="64">
        <f t="shared" si="340"/>
        <v>34154936</v>
      </c>
      <c r="H52" s="64">
        <f t="shared" si="340"/>
        <v>0</v>
      </c>
      <c r="I52" s="64">
        <f t="shared" si="340"/>
        <v>0</v>
      </c>
      <c r="J52" s="64">
        <f t="shared" si="340"/>
        <v>0</v>
      </c>
      <c r="K52" s="64">
        <f t="shared" si="340"/>
        <v>0</v>
      </c>
      <c r="L52" s="64">
        <f t="shared" ref="L52:Y52" si="341">L240</f>
        <v>0</v>
      </c>
      <c r="M52" s="64">
        <f t="shared" si="341"/>
        <v>0</v>
      </c>
      <c r="N52" s="64">
        <f t="shared" si="341"/>
        <v>0</v>
      </c>
      <c r="O52" s="64">
        <f t="shared" si="341"/>
        <v>0</v>
      </c>
      <c r="P52" s="64">
        <f t="shared" si="341"/>
        <v>0</v>
      </c>
      <c r="Q52" s="64">
        <f t="shared" si="341"/>
        <v>0</v>
      </c>
      <c r="R52" s="64">
        <f t="shared" si="341"/>
        <v>0</v>
      </c>
      <c r="S52" s="64">
        <f t="shared" si="341"/>
        <v>0</v>
      </c>
      <c r="T52" s="64">
        <f>T240</f>
        <v>0</v>
      </c>
      <c r="U52" s="64">
        <f t="shared" si="341"/>
        <v>0</v>
      </c>
      <c r="V52" s="64">
        <f t="shared" si="341"/>
        <v>0</v>
      </c>
      <c r="W52" s="64">
        <f t="shared" si="341"/>
        <v>0</v>
      </c>
      <c r="X52" s="64">
        <f t="shared" si="341"/>
        <v>0</v>
      </c>
      <c r="Y52" s="64">
        <f t="shared" si="341"/>
        <v>0</v>
      </c>
      <c r="Z52" s="64">
        <f t="shared" ref="Z52:AE52" si="342">Z240</f>
        <v>0</v>
      </c>
      <c r="AA52" s="64">
        <f t="shared" si="342"/>
        <v>0</v>
      </c>
      <c r="AB52" s="64">
        <f t="shared" si="342"/>
        <v>0</v>
      </c>
      <c r="AC52" s="64">
        <f t="shared" si="342"/>
        <v>0</v>
      </c>
      <c r="AD52" s="64">
        <f t="shared" si="342"/>
        <v>0</v>
      </c>
      <c r="AE52" s="64">
        <f t="shared" si="342"/>
        <v>0</v>
      </c>
      <c r="AF52" s="64">
        <f t="shared" ref="AF52:AL52" si="343">AF240</f>
        <v>0</v>
      </c>
      <c r="AG52" s="64">
        <f t="shared" si="343"/>
        <v>0</v>
      </c>
      <c r="AH52" s="64">
        <f t="shared" si="343"/>
        <v>0</v>
      </c>
      <c r="AI52" s="64">
        <f t="shared" si="343"/>
        <v>0</v>
      </c>
      <c r="AJ52" s="64">
        <f t="shared" si="343"/>
        <v>0</v>
      </c>
      <c r="AK52" s="64">
        <f t="shared" si="343"/>
        <v>0</v>
      </c>
      <c r="AL52" s="64">
        <f t="shared" si="343"/>
        <v>0</v>
      </c>
      <c r="AM52" s="64">
        <f>AM240</f>
        <v>91862902</v>
      </c>
      <c r="AN52" s="64">
        <f t="shared" ref="AN52:BB52" si="344">AN240</f>
        <v>0</v>
      </c>
      <c r="AO52" s="64">
        <f t="shared" si="344"/>
        <v>0</v>
      </c>
      <c r="AP52" s="64">
        <f t="shared" si="344"/>
        <v>0</v>
      </c>
      <c r="AQ52" s="64">
        <f>AQ240</f>
        <v>0</v>
      </c>
      <c r="AR52" s="64">
        <f>AR240</f>
        <v>0</v>
      </c>
      <c r="AS52" s="64">
        <f t="shared" ref="AS52:AY52" si="345">AS240</f>
        <v>0</v>
      </c>
      <c r="AT52" s="64">
        <f t="shared" si="345"/>
        <v>0</v>
      </c>
      <c r="AU52" s="64">
        <f>AU240</f>
        <v>0</v>
      </c>
      <c r="AV52" s="64">
        <f t="shared" si="345"/>
        <v>0</v>
      </c>
      <c r="AW52" s="64">
        <f t="shared" si="345"/>
        <v>0</v>
      </c>
      <c r="AX52" s="64">
        <f t="shared" si="345"/>
        <v>0</v>
      </c>
      <c r="AY52" s="64">
        <f t="shared" si="345"/>
        <v>0</v>
      </c>
      <c r="AZ52" s="64">
        <f>AZ240</f>
        <v>0</v>
      </c>
      <c r="BA52" s="64">
        <f t="shared" si="344"/>
        <v>0</v>
      </c>
      <c r="BB52" s="64">
        <f t="shared" si="344"/>
        <v>0</v>
      </c>
      <c r="BC52" s="64">
        <f>BC240</f>
        <v>0</v>
      </c>
      <c r="BD52" s="64">
        <f>BD240</f>
        <v>0</v>
      </c>
      <c r="BE52" s="64">
        <f t="shared" ref="BE52:BG52" si="346">BE240</f>
        <v>146201</v>
      </c>
      <c r="BF52" s="64">
        <f t="shared" si="346"/>
        <v>376821</v>
      </c>
      <c r="BG52" s="64">
        <f t="shared" si="346"/>
        <v>6911107</v>
      </c>
      <c r="BH52" s="64">
        <f t="shared" ref="BH52:BL52" si="347">BH240</f>
        <v>0</v>
      </c>
      <c r="BI52" s="64">
        <f t="shared" si="347"/>
        <v>0</v>
      </c>
      <c r="BJ52" s="64">
        <f t="shared" si="347"/>
        <v>0</v>
      </c>
      <c r="BK52" s="64">
        <f t="shared" si="347"/>
        <v>0</v>
      </c>
      <c r="BL52" s="64">
        <f t="shared" si="347"/>
        <v>0</v>
      </c>
    </row>
    <row r="53" spans="1:64" s="18" customFormat="1" ht="18" customHeight="1" thickBot="1">
      <c r="A53" s="379">
        <f t="shared" si="73"/>
        <v>47</v>
      </c>
      <c r="B53" s="5" t="s">
        <v>47</v>
      </c>
      <c r="C53" s="138">
        <f t="shared" ref="C53:K53" si="348">SUM(C45:C52)</f>
        <v>-82734535.193749994</v>
      </c>
      <c r="D53" s="138">
        <f t="shared" si="348"/>
        <v>0</v>
      </c>
      <c r="E53" s="138">
        <f t="shared" si="348"/>
        <v>0.125</v>
      </c>
      <c r="F53" s="138">
        <f t="shared" si="348"/>
        <v>-480400.75</v>
      </c>
      <c r="G53" s="138">
        <f t="shared" si="348"/>
        <v>-169826135</v>
      </c>
      <c r="H53" s="138">
        <f t="shared" si="348"/>
        <v>0</v>
      </c>
      <c r="I53" s="138">
        <f t="shared" si="348"/>
        <v>352862.875</v>
      </c>
      <c r="J53" s="138">
        <f t="shared" si="348"/>
        <v>0</v>
      </c>
      <c r="K53" s="138">
        <f t="shared" si="348"/>
        <v>262326.75</v>
      </c>
      <c r="L53" s="138">
        <f t="shared" ref="L53:Y53" si="349">SUM(L45:L52)</f>
        <v>62234.5</v>
      </c>
      <c r="M53" s="138">
        <f t="shared" si="349"/>
        <v>-60309.75</v>
      </c>
      <c r="N53" s="138">
        <f t="shared" si="349"/>
        <v>-46278</v>
      </c>
      <c r="O53" s="138">
        <f t="shared" si="349"/>
        <v>-801552</v>
      </c>
      <c r="P53" s="138">
        <f t="shared" si="349"/>
        <v>-1226783</v>
      </c>
      <c r="Q53" s="138">
        <f t="shared" si="349"/>
        <v>358801.75</v>
      </c>
      <c r="R53" s="138">
        <f t="shared" si="349"/>
        <v>0</v>
      </c>
      <c r="S53" s="138">
        <f t="shared" si="349"/>
        <v>63966.125</v>
      </c>
      <c r="T53" s="138">
        <f>SUM(T45:T52)</f>
        <v>45143.25</v>
      </c>
      <c r="U53" s="138">
        <f t="shared" si="349"/>
        <v>65974</v>
      </c>
      <c r="V53" s="138">
        <f t="shared" si="349"/>
        <v>-13997.75</v>
      </c>
      <c r="W53" s="138">
        <f t="shared" si="349"/>
        <v>-13707.068749999997</v>
      </c>
      <c r="X53" s="138">
        <f t="shared" si="349"/>
        <v>-1105</v>
      </c>
      <c r="Y53" s="138">
        <f t="shared" si="349"/>
        <v>-47955.5</v>
      </c>
      <c r="Z53" s="138">
        <f t="shared" ref="Z53:AE53" si="350">SUM(Z45:Z52)</f>
        <v>1530107.75</v>
      </c>
      <c r="AA53" s="138">
        <f t="shared" si="350"/>
        <v>26054.5</v>
      </c>
      <c r="AB53" s="138">
        <f t="shared" si="350"/>
        <v>0</v>
      </c>
      <c r="AC53" s="138">
        <f t="shared" si="350"/>
        <v>-192652.125</v>
      </c>
      <c r="AD53" s="138">
        <f t="shared" si="350"/>
        <v>-186775.375</v>
      </c>
      <c r="AE53" s="138">
        <f t="shared" si="350"/>
        <v>-3444.5</v>
      </c>
      <c r="AF53" s="138">
        <f t="shared" ref="AF53:AL53" si="351">SUM(AF45:AF52)</f>
        <v>0</v>
      </c>
      <c r="AG53" s="138">
        <f t="shared" si="351"/>
        <v>0</v>
      </c>
      <c r="AH53" s="138">
        <f t="shared" si="351"/>
        <v>0</v>
      </c>
      <c r="AI53" s="138">
        <f t="shared" si="351"/>
        <v>0</v>
      </c>
      <c r="AJ53" s="138">
        <f t="shared" si="351"/>
        <v>0</v>
      </c>
      <c r="AK53" s="138">
        <f t="shared" si="351"/>
        <v>0</v>
      </c>
      <c r="AL53" s="138">
        <f t="shared" si="351"/>
        <v>-12888097</v>
      </c>
      <c r="AM53" s="138">
        <f t="shared" ref="AM53:BB53" si="352">SUM(AM45:AM52)</f>
        <v>91862902</v>
      </c>
      <c r="AN53" s="138">
        <f t="shared" si="352"/>
        <v>0</v>
      </c>
      <c r="AO53" s="138">
        <f t="shared" si="352"/>
        <v>0</v>
      </c>
      <c r="AP53" s="138">
        <f t="shared" si="352"/>
        <v>-32919.125</v>
      </c>
      <c r="AQ53" s="138">
        <f>SUM(AQ45:AQ52)</f>
        <v>-1187</v>
      </c>
      <c r="AR53" s="138">
        <f>SUM(AR45:AR52)</f>
        <v>211939.125</v>
      </c>
      <c r="AS53" s="138">
        <f t="shared" ref="AS53:AY53" si="353">SUM(AS45:AS52)</f>
        <v>6440.875</v>
      </c>
      <c r="AT53" s="138">
        <f t="shared" si="353"/>
        <v>-4145.375</v>
      </c>
      <c r="AU53" s="138">
        <f>SUM(AU45:AU52)</f>
        <v>28317.25</v>
      </c>
      <c r="AV53" s="138">
        <f t="shared" si="353"/>
        <v>-17872.5</v>
      </c>
      <c r="AW53" s="138">
        <f t="shared" si="353"/>
        <v>5213.375</v>
      </c>
      <c r="AX53" s="138">
        <f t="shared" si="353"/>
        <v>114916.375</v>
      </c>
      <c r="AY53" s="138">
        <f t="shared" si="353"/>
        <v>29008.125</v>
      </c>
      <c r="AZ53" s="138">
        <f>SUM(AZ45:AZ52)</f>
        <v>0</v>
      </c>
      <c r="BA53" s="138">
        <f t="shared" si="352"/>
        <v>0</v>
      </c>
      <c r="BB53" s="138">
        <f t="shared" si="352"/>
        <v>0</v>
      </c>
      <c r="BC53" s="138">
        <f>SUM(BC45:BC52)</f>
        <v>0</v>
      </c>
      <c r="BD53" s="138">
        <f>SUM(BD45:BD52)</f>
        <v>0</v>
      </c>
      <c r="BE53" s="138">
        <f t="shared" ref="BE53:BG53" si="354">SUM(BE45:BE52)</f>
        <v>146201</v>
      </c>
      <c r="BF53" s="138">
        <f t="shared" si="354"/>
        <v>376821</v>
      </c>
      <c r="BG53" s="138">
        <f t="shared" si="354"/>
        <v>6911107</v>
      </c>
      <c r="BH53" s="138">
        <f t="shared" ref="BH53:BL53" si="355">SUM(BH45:BH52)</f>
        <v>707735.5</v>
      </c>
      <c r="BI53" s="138">
        <f t="shared" si="355"/>
        <v>-57291.625</v>
      </c>
      <c r="BJ53" s="138">
        <f t="shared" si="355"/>
        <v>0</v>
      </c>
      <c r="BK53" s="138">
        <f t="shared" si="355"/>
        <v>0</v>
      </c>
      <c r="BL53" s="138">
        <f t="shared" si="355"/>
        <v>0</v>
      </c>
    </row>
    <row r="54" spans="1:64" s="18" customFormat="1" ht="14.1" customHeight="1" thickTop="1">
      <c r="A54" s="379">
        <f t="shared" si="73"/>
        <v>48</v>
      </c>
      <c r="B54" s="6"/>
      <c r="C54" s="25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s="18" customFormat="1" ht="14.1" customHeight="1">
      <c r="A55" s="379">
        <f t="shared" si="73"/>
        <v>49</v>
      </c>
      <c r="B55" s="2"/>
      <c r="C55" s="2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</row>
    <row r="56" spans="1:64" s="18" customFormat="1" ht="14.1" customHeight="1">
      <c r="A56" s="379">
        <f t="shared" si="73"/>
        <v>50</v>
      </c>
      <c r="B56" s="6"/>
      <c r="C56" s="6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</row>
    <row r="57" spans="1:64" ht="13.5" customHeight="1">
      <c r="A57" s="379">
        <f t="shared" si="73"/>
        <v>51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s="21" customFormat="1" ht="14.1" customHeight="1">
      <c r="A58" s="379">
        <f t="shared" si="73"/>
        <v>52</v>
      </c>
      <c r="B58" s="53" t="s">
        <v>50</v>
      </c>
      <c r="C58" s="7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4.1" customHeight="1">
      <c r="A59" s="379">
        <f t="shared" si="73"/>
        <v>53</v>
      </c>
      <c r="B59" s="8" t="s">
        <v>51</v>
      </c>
      <c r="C59" s="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4.1" customHeight="1">
      <c r="A60" s="379">
        <f t="shared" si="73"/>
        <v>54</v>
      </c>
      <c r="B60" s="88" t="s">
        <v>52</v>
      </c>
      <c r="C60" s="38">
        <f>SUM(D60:BI60)</f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</row>
    <row r="61" spans="1:64" ht="14.1" customHeight="1">
      <c r="A61" s="379">
        <f t="shared" si="73"/>
        <v>55</v>
      </c>
      <c r="B61" s="56" t="s">
        <v>53</v>
      </c>
      <c r="C61" s="206">
        <f>SUM(D61:BI61)</f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</row>
    <row r="62" spans="1:64" ht="14.1" customHeight="1">
      <c r="A62" s="379">
        <f t="shared" si="73"/>
        <v>56</v>
      </c>
      <c r="B62" s="3" t="s">
        <v>524</v>
      </c>
      <c r="C62" s="47">
        <f t="shared" ref="C62:K62" si="356">SUM(C60:C61)</f>
        <v>0</v>
      </c>
      <c r="D62" s="47">
        <f t="shared" si="356"/>
        <v>0</v>
      </c>
      <c r="E62" s="47">
        <f t="shared" si="356"/>
        <v>0</v>
      </c>
      <c r="F62" s="47">
        <f t="shared" si="356"/>
        <v>0</v>
      </c>
      <c r="G62" s="47">
        <f t="shared" si="356"/>
        <v>0</v>
      </c>
      <c r="H62" s="47">
        <f t="shared" si="356"/>
        <v>0</v>
      </c>
      <c r="I62" s="47">
        <f t="shared" si="356"/>
        <v>0</v>
      </c>
      <c r="J62" s="47">
        <f t="shared" si="356"/>
        <v>0</v>
      </c>
      <c r="K62" s="47">
        <f t="shared" si="356"/>
        <v>0</v>
      </c>
      <c r="L62" s="47">
        <f t="shared" ref="L62:Y62" si="357">SUM(L60:L61)</f>
        <v>0</v>
      </c>
      <c r="M62" s="47">
        <f t="shared" si="357"/>
        <v>0</v>
      </c>
      <c r="N62" s="47">
        <f t="shared" si="357"/>
        <v>0</v>
      </c>
      <c r="O62" s="47">
        <f t="shared" si="357"/>
        <v>0</v>
      </c>
      <c r="P62" s="47">
        <f t="shared" si="357"/>
        <v>0</v>
      </c>
      <c r="Q62" s="47">
        <f t="shared" si="357"/>
        <v>0</v>
      </c>
      <c r="R62" s="47">
        <f t="shared" si="357"/>
        <v>0</v>
      </c>
      <c r="S62" s="47">
        <f t="shared" si="357"/>
        <v>0</v>
      </c>
      <c r="T62" s="47">
        <f>SUM(T60:T61)</f>
        <v>0</v>
      </c>
      <c r="U62" s="47">
        <f t="shared" si="357"/>
        <v>0</v>
      </c>
      <c r="V62" s="47">
        <f t="shared" si="357"/>
        <v>0</v>
      </c>
      <c r="W62" s="47">
        <f t="shared" si="357"/>
        <v>0</v>
      </c>
      <c r="X62" s="47">
        <f t="shared" si="357"/>
        <v>0</v>
      </c>
      <c r="Y62" s="47">
        <f t="shared" si="357"/>
        <v>0</v>
      </c>
      <c r="Z62" s="47">
        <f t="shared" ref="Z62:AE62" si="358">SUM(Z60:Z61)</f>
        <v>0</v>
      </c>
      <c r="AA62" s="47">
        <f t="shared" si="358"/>
        <v>0</v>
      </c>
      <c r="AB62" s="47">
        <f t="shared" si="358"/>
        <v>0</v>
      </c>
      <c r="AC62" s="47">
        <f t="shared" si="358"/>
        <v>0</v>
      </c>
      <c r="AD62" s="47">
        <f t="shared" si="358"/>
        <v>0</v>
      </c>
      <c r="AE62" s="47">
        <f t="shared" si="358"/>
        <v>0</v>
      </c>
      <c r="AF62" s="47">
        <f t="shared" ref="AF62:AL62" si="359">SUM(AF60:AF61)</f>
        <v>0</v>
      </c>
      <c r="AG62" s="47">
        <f t="shared" si="359"/>
        <v>0</v>
      </c>
      <c r="AH62" s="47">
        <f t="shared" si="359"/>
        <v>0</v>
      </c>
      <c r="AI62" s="47">
        <f t="shared" si="359"/>
        <v>0</v>
      </c>
      <c r="AJ62" s="47">
        <f t="shared" si="359"/>
        <v>0</v>
      </c>
      <c r="AK62" s="47">
        <f t="shared" si="359"/>
        <v>0</v>
      </c>
      <c r="AL62" s="47">
        <f t="shared" si="359"/>
        <v>0</v>
      </c>
      <c r="AM62" s="47">
        <f t="shared" ref="AM62:BB62" si="360">SUM(AM60:AM61)</f>
        <v>0</v>
      </c>
      <c r="AN62" s="47">
        <f t="shared" si="360"/>
        <v>0</v>
      </c>
      <c r="AO62" s="47">
        <f t="shared" si="360"/>
        <v>0</v>
      </c>
      <c r="AP62" s="47">
        <f t="shared" si="360"/>
        <v>0</v>
      </c>
      <c r="AQ62" s="47">
        <f>SUM(AQ60:AQ61)</f>
        <v>0</v>
      </c>
      <c r="AR62" s="47">
        <f>SUM(AR60:AR61)</f>
        <v>0</v>
      </c>
      <c r="AS62" s="47">
        <f t="shared" ref="AS62:AY62" si="361">SUM(AS60:AS61)</f>
        <v>0</v>
      </c>
      <c r="AT62" s="47">
        <f t="shared" si="361"/>
        <v>0</v>
      </c>
      <c r="AU62" s="47">
        <f>SUM(AU60:AU61)</f>
        <v>0</v>
      </c>
      <c r="AV62" s="47">
        <f t="shared" si="361"/>
        <v>0</v>
      </c>
      <c r="AW62" s="47">
        <f t="shared" si="361"/>
        <v>0</v>
      </c>
      <c r="AX62" s="47">
        <f t="shared" si="361"/>
        <v>0</v>
      </c>
      <c r="AY62" s="47">
        <f t="shared" si="361"/>
        <v>0</v>
      </c>
      <c r="AZ62" s="47">
        <f>SUM(AZ60:AZ61)</f>
        <v>0</v>
      </c>
      <c r="BA62" s="47">
        <f t="shared" si="360"/>
        <v>0</v>
      </c>
      <c r="BB62" s="47">
        <f t="shared" si="360"/>
        <v>0</v>
      </c>
      <c r="BC62" s="47">
        <f>SUM(BC60:BC61)</f>
        <v>0</v>
      </c>
      <c r="BD62" s="47">
        <f>SUM(BD60:BD61)</f>
        <v>0</v>
      </c>
      <c r="BE62" s="47">
        <f t="shared" ref="BE62:BG62" si="362">SUM(BE60:BE61)</f>
        <v>0</v>
      </c>
      <c r="BF62" s="47">
        <f t="shared" si="362"/>
        <v>0</v>
      </c>
      <c r="BG62" s="47">
        <f t="shared" si="362"/>
        <v>0</v>
      </c>
      <c r="BH62" s="47">
        <f t="shared" ref="BH62:BL62" si="363">SUM(BH60:BH61)</f>
        <v>0</v>
      </c>
      <c r="BI62" s="47">
        <f t="shared" si="363"/>
        <v>0</v>
      </c>
      <c r="BJ62" s="47">
        <f t="shared" si="363"/>
        <v>0</v>
      </c>
      <c r="BK62" s="47">
        <f t="shared" si="363"/>
        <v>0</v>
      </c>
      <c r="BL62" s="47">
        <f t="shared" si="363"/>
        <v>0</v>
      </c>
    </row>
    <row r="63" spans="1:64" ht="14.1" customHeight="1">
      <c r="A63" s="379">
        <f t="shared" si="73"/>
        <v>57</v>
      </c>
      <c r="C63" s="22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</row>
    <row r="64" spans="1:64" ht="14.1" customHeight="1">
      <c r="A64" s="379">
        <f t="shared" si="73"/>
        <v>58</v>
      </c>
      <c r="B64" s="3" t="s">
        <v>56</v>
      </c>
      <c r="C64" s="1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ht="14.1" customHeight="1">
      <c r="A65" s="379">
        <f t="shared" si="73"/>
        <v>59</v>
      </c>
      <c r="B65" s="3" t="s">
        <v>57</v>
      </c>
      <c r="C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4.1" customHeight="1">
      <c r="A66" s="379">
        <f t="shared" si="73"/>
        <v>60</v>
      </c>
      <c r="B66" s="88" t="s">
        <v>58</v>
      </c>
      <c r="C66" s="38">
        <f t="shared" ref="C66:C73" si="364">SUM(D66:BI66)</f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v>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</row>
    <row r="67" spans="1:64" ht="14.1" customHeight="1">
      <c r="A67" s="379">
        <f t="shared" si="73"/>
        <v>61</v>
      </c>
      <c r="B67" s="88" t="s">
        <v>60</v>
      </c>
      <c r="C67" s="38">
        <f t="shared" si="364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</row>
    <row r="68" spans="1:64" ht="14.1" customHeight="1">
      <c r="A68" s="379">
        <f t="shared" si="73"/>
        <v>62</v>
      </c>
      <c r="B68" s="88" t="s">
        <v>61</v>
      </c>
      <c r="C68" s="38">
        <f t="shared" si="364"/>
        <v>-323850066</v>
      </c>
      <c r="D68" s="10">
        <v>0</v>
      </c>
      <c r="E68" s="10">
        <v>0</v>
      </c>
      <c r="F68" s="10">
        <v>0</v>
      </c>
      <c r="G68" s="10">
        <v>-323850066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v>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</row>
    <row r="69" spans="1:64" ht="14.1" customHeight="1">
      <c r="A69" s="379">
        <f t="shared" si="73"/>
        <v>63</v>
      </c>
      <c r="B69" s="88" t="s">
        <v>62</v>
      </c>
      <c r="C69" s="38">
        <f t="shared" si="364"/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10">
        <v>0</v>
      </c>
      <c r="AS69" s="10">
        <v>0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v>0</v>
      </c>
      <c r="AZ69" s="10"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</row>
    <row r="70" spans="1:64" ht="14.1" customHeight="1">
      <c r="A70" s="379">
        <f t="shared" si="73"/>
        <v>64</v>
      </c>
      <c r="B70" s="88" t="s">
        <v>63</v>
      </c>
      <c r="C70" s="38">
        <f t="shared" si="364"/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v>0</v>
      </c>
      <c r="AS70" s="10"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v>0</v>
      </c>
      <c r="AZ70" s="10"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</row>
    <row r="71" spans="1:64" ht="14.1" customHeight="1">
      <c r="A71" s="379">
        <f t="shared" si="73"/>
        <v>65</v>
      </c>
      <c r="B71" s="88" t="s">
        <v>64</v>
      </c>
      <c r="C71" s="38">
        <f t="shared" si="364"/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  <c r="AS71" s="10">
        <v>0</v>
      </c>
      <c r="AT71" s="10">
        <v>0</v>
      </c>
      <c r="AU71" s="10">
        <v>0</v>
      </c>
      <c r="AV71" s="10">
        <v>0</v>
      </c>
      <c r="AW71" s="10">
        <v>0</v>
      </c>
      <c r="AX71" s="10">
        <v>0</v>
      </c>
      <c r="AY71" s="10">
        <v>0</v>
      </c>
      <c r="AZ71" s="10">
        <v>0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</row>
    <row r="72" spans="1:64" ht="14.1" customHeight="1">
      <c r="A72" s="379">
        <f t="shared" si="73"/>
        <v>66</v>
      </c>
      <c r="B72" s="88" t="s">
        <v>65</v>
      </c>
      <c r="C72" s="38">
        <f t="shared" si="364"/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v>0</v>
      </c>
      <c r="AZ72" s="10"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</row>
    <row r="73" spans="1:64" ht="14.1" customHeight="1">
      <c r="A73" s="379">
        <f t="shared" si="73"/>
        <v>67</v>
      </c>
      <c r="B73" s="56" t="s">
        <v>66</v>
      </c>
      <c r="C73" s="206">
        <f t="shared" si="364"/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v>0</v>
      </c>
      <c r="AS73" s="10">
        <v>0</v>
      </c>
      <c r="AT73" s="10">
        <v>0</v>
      </c>
      <c r="AU73" s="10">
        <v>0</v>
      </c>
      <c r="AV73" s="10">
        <v>0</v>
      </c>
      <c r="AW73" s="10">
        <v>0</v>
      </c>
      <c r="AX73" s="10">
        <v>0</v>
      </c>
      <c r="AY73" s="10">
        <v>0</v>
      </c>
      <c r="AZ73" s="10"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</row>
    <row r="74" spans="1:64" s="18" customFormat="1" ht="14.1" customHeight="1">
      <c r="A74" s="379">
        <f t="shared" si="73"/>
        <v>68</v>
      </c>
      <c r="B74" s="2" t="s">
        <v>525</v>
      </c>
      <c r="C74" s="85">
        <f t="shared" ref="C74:H74" si="365">SUM(C66:C73)</f>
        <v>-323850066</v>
      </c>
      <c r="D74" s="85">
        <f t="shared" si="365"/>
        <v>0</v>
      </c>
      <c r="E74" s="85">
        <f>SUM(E66:E73)</f>
        <v>0</v>
      </c>
      <c r="F74" s="85">
        <f>SUM(F66:F73)</f>
        <v>0</v>
      </c>
      <c r="G74" s="85">
        <f>SUM(G66:G73)</f>
        <v>-323850066</v>
      </c>
      <c r="H74" s="85">
        <f t="shared" si="365"/>
        <v>0</v>
      </c>
      <c r="I74" s="85">
        <f>SUM(I66:I73)</f>
        <v>0</v>
      </c>
      <c r="J74" s="85">
        <f>SUM(J66:J73)</f>
        <v>0</v>
      </c>
      <c r="K74" s="85">
        <f>SUM(K66:K73)</f>
        <v>0</v>
      </c>
      <c r="L74" s="85">
        <f t="shared" ref="L74:Y74" si="366">SUM(L66:L73)</f>
        <v>0</v>
      </c>
      <c r="M74" s="85">
        <f t="shared" si="366"/>
        <v>0</v>
      </c>
      <c r="N74" s="85">
        <f t="shared" si="366"/>
        <v>0</v>
      </c>
      <c r="O74" s="85">
        <f t="shared" si="366"/>
        <v>0</v>
      </c>
      <c r="P74" s="85">
        <f t="shared" si="366"/>
        <v>0</v>
      </c>
      <c r="Q74" s="85">
        <f t="shared" si="366"/>
        <v>0</v>
      </c>
      <c r="R74" s="85">
        <f t="shared" si="366"/>
        <v>0</v>
      </c>
      <c r="S74" s="85">
        <f t="shared" si="366"/>
        <v>0</v>
      </c>
      <c r="T74" s="85">
        <f>SUM(T66:T73)</f>
        <v>0</v>
      </c>
      <c r="U74" s="85">
        <f t="shared" si="366"/>
        <v>0</v>
      </c>
      <c r="V74" s="85">
        <f t="shared" si="366"/>
        <v>0</v>
      </c>
      <c r="W74" s="85">
        <f t="shared" si="366"/>
        <v>0</v>
      </c>
      <c r="X74" s="85">
        <f t="shared" si="366"/>
        <v>0</v>
      </c>
      <c r="Y74" s="85">
        <f t="shared" si="366"/>
        <v>0</v>
      </c>
      <c r="Z74" s="85">
        <f>SUM(Z66:Z73)</f>
        <v>0</v>
      </c>
      <c r="AA74" s="85">
        <f>SUM(AA66:AA73)</f>
        <v>0</v>
      </c>
      <c r="AB74" s="85">
        <f>SUM(AB66:AB73)</f>
        <v>0</v>
      </c>
      <c r="AC74" s="85">
        <f t="shared" ref="AC74:AL74" si="367">SUM(AC66:AC73)</f>
        <v>0</v>
      </c>
      <c r="AD74" s="85">
        <f t="shared" si="367"/>
        <v>0</v>
      </c>
      <c r="AE74" s="85">
        <f t="shared" si="367"/>
        <v>0</v>
      </c>
      <c r="AF74" s="85">
        <f t="shared" si="367"/>
        <v>0</v>
      </c>
      <c r="AG74" s="85">
        <f t="shared" si="367"/>
        <v>0</v>
      </c>
      <c r="AH74" s="85">
        <f t="shared" si="367"/>
        <v>0</v>
      </c>
      <c r="AI74" s="85">
        <f t="shared" si="367"/>
        <v>0</v>
      </c>
      <c r="AJ74" s="85">
        <f t="shared" si="367"/>
        <v>0</v>
      </c>
      <c r="AK74" s="85">
        <f t="shared" si="367"/>
        <v>0</v>
      </c>
      <c r="AL74" s="85">
        <f t="shared" si="367"/>
        <v>0</v>
      </c>
      <c r="AM74" s="85">
        <f t="shared" ref="AM74:BB74" si="368">SUM(AM66:AM73)</f>
        <v>0</v>
      </c>
      <c r="AN74" s="85">
        <f t="shared" si="368"/>
        <v>0</v>
      </c>
      <c r="AO74" s="85">
        <f t="shared" si="368"/>
        <v>0</v>
      </c>
      <c r="AP74" s="85">
        <f t="shared" si="368"/>
        <v>0</v>
      </c>
      <c r="AQ74" s="85">
        <f>SUM(AQ66:AQ73)</f>
        <v>0</v>
      </c>
      <c r="AR74" s="85">
        <f>SUM(AR66:AR73)</f>
        <v>0</v>
      </c>
      <c r="AS74" s="85">
        <f t="shared" ref="AS74:AY74" si="369">SUM(AS66:AS73)</f>
        <v>0</v>
      </c>
      <c r="AT74" s="85">
        <f t="shared" si="369"/>
        <v>0</v>
      </c>
      <c r="AU74" s="85">
        <f>SUM(AU66:AU73)</f>
        <v>0</v>
      </c>
      <c r="AV74" s="85">
        <f t="shared" si="369"/>
        <v>0</v>
      </c>
      <c r="AW74" s="85">
        <f t="shared" si="369"/>
        <v>0</v>
      </c>
      <c r="AX74" s="85">
        <f t="shared" si="369"/>
        <v>0</v>
      </c>
      <c r="AY74" s="85">
        <f t="shared" si="369"/>
        <v>0</v>
      </c>
      <c r="AZ74" s="85">
        <f>SUM(AZ66:AZ73)</f>
        <v>0</v>
      </c>
      <c r="BA74" s="85">
        <f t="shared" si="368"/>
        <v>0</v>
      </c>
      <c r="BB74" s="85">
        <f t="shared" si="368"/>
        <v>0</v>
      </c>
      <c r="BC74" s="85">
        <f>SUM(BC66:BC73)</f>
        <v>0</v>
      </c>
      <c r="BD74" s="85">
        <f>SUM(BD66:BD73)</f>
        <v>0</v>
      </c>
      <c r="BE74" s="85">
        <f t="shared" ref="BE74:BG74" si="370">SUM(BE66:BE73)</f>
        <v>0</v>
      </c>
      <c r="BF74" s="85">
        <f t="shared" si="370"/>
        <v>0</v>
      </c>
      <c r="BG74" s="85">
        <f t="shared" si="370"/>
        <v>0</v>
      </c>
      <c r="BH74" s="85">
        <f t="shared" ref="BH74:BL74" si="371">SUM(BH66:BH73)</f>
        <v>0</v>
      </c>
      <c r="BI74" s="85">
        <f t="shared" si="371"/>
        <v>0</v>
      </c>
      <c r="BJ74" s="85">
        <f t="shared" si="371"/>
        <v>0</v>
      </c>
      <c r="BK74" s="85">
        <f t="shared" si="371"/>
        <v>0</v>
      </c>
      <c r="BL74" s="85">
        <f t="shared" si="371"/>
        <v>0</v>
      </c>
    </row>
    <row r="75" spans="1:64" s="18" customFormat="1" ht="14.1" customHeight="1">
      <c r="A75" s="379">
        <f t="shared" ref="A75:A140" si="372">+A74+1</f>
        <v>69</v>
      </c>
      <c r="B75" s="6"/>
      <c r="C75" s="25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ht="14.1" customHeight="1">
      <c r="A76" s="379">
        <f t="shared" si="372"/>
        <v>70</v>
      </c>
      <c r="B76" s="3" t="s">
        <v>67</v>
      </c>
      <c r="C76" s="1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64" ht="14.1" customHeight="1">
      <c r="A77" s="379">
        <f t="shared" si="372"/>
        <v>71</v>
      </c>
      <c r="B77" s="88" t="s">
        <v>68</v>
      </c>
      <c r="C77" s="38">
        <f t="shared" ref="C77:C82" si="373">SUM(D77:BI77)</f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0</v>
      </c>
      <c r="AU77" s="10">
        <v>0</v>
      </c>
      <c r="AV77" s="10">
        <v>0</v>
      </c>
      <c r="AW77" s="10">
        <v>0</v>
      </c>
      <c r="AX77" s="10">
        <v>0</v>
      </c>
      <c r="AY77" s="10">
        <v>0</v>
      </c>
      <c r="AZ77" s="10">
        <v>0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v>0</v>
      </c>
      <c r="BG77" s="10"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</row>
    <row r="78" spans="1:64" ht="14.1" customHeight="1">
      <c r="A78" s="379">
        <f t="shared" si="372"/>
        <v>72</v>
      </c>
      <c r="B78" s="88" t="s">
        <v>69</v>
      </c>
      <c r="C78" s="38">
        <f t="shared" si="373"/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v>0</v>
      </c>
      <c r="AS78" s="10"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v>0</v>
      </c>
      <c r="AZ78" s="10"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</row>
    <row r="79" spans="1:64" ht="14.1" customHeight="1">
      <c r="A79" s="379">
        <f t="shared" si="372"/>
        <v>73</v>
      </c>
      <c r="B79" s="88" t="s">
        <v>70</v>
      </c>
      <c r="C79" s="38">
        <f t="shared" si="373"/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v>0</v>
      </c>
      <c r="AZ79" s="10"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v>0</v>
      </c>
      <c r="BG79" s="10"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</row>
    <row r="80" spans="1:64" ht="14.1" customHeight="1">
      <c r="A80" s="379">
        <f t="shared" si="372"/>
        <v>74</v>
      </c>
      <c r="B80" s="88" t="s">
        <v>71</v>
      </c>
      <c r="C80" s="38">
        <f t="shared" si="373"/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0</v>
      </c>
      <c r="AU80" s="10">
        <v>0</v>
      </c>
      <c r="AV80" s="10">
        <v>0</v>
      </c>
      <c r="AW80" s="10">
        <v>0</v>
      </c>
      <c r="AX80" s="10">
        <v>0</v>
      </c>
      <c r="AY80" s="10">
        <v>0</v>
      </c>
      <c r="AZ80" s="10">
        <v>0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</row>
    <row r="81" spans="1:64" ht="14.1" customHeight="1">
      <c r="A81" s="379">
        <f t="shared" si="372"/>
        <v>75</v>
      </c>
      <c r="B81" s="88" t="s">
        <v>72</v>
      </c>
      <c r="C81" s="38">
        <f t="shared" si="373"/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0</v>
      </c>
      <c r="AQ81" s="10">
        <v>0</v>
      </c>
      <c r="AR81" s="10">
        <v>0</v>
      </c>
      <c r="AS81" s="10">
        <v>0</v>
      </c>
      <c r="AT81" s="10">
        <v>0</v>
      </c>
      <c r="AU81" s="10">
        <v>0</v>
      </c>
      <c r="AV81" s="10">
        <v>0</v>
      </c>
      <c r="AW81" s="10">
        <v>0</v>
      </c>
      <c r="AX81" s="10">
        <v>0</v>
      </c>
      <c r="AY81" s="10">
        <v>0</v>
      </c>
      <c r="AZ81" s="10">
        <v>0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v>0</v>
      </c>
      <c r="BG81" s="10">
        <v>0</v>
      </c>
      <c r="BH81" s="10">
        <v>0</v>
      </c>
      <c r="BI81" s="10">
        <v>0</v>
      </c>
      <c r="BJ81" s="10">
        <v>0</v>
      </c>
      <c r="BK81" s="10">
        <v>0</v>
      </c>
      <c r="BL81" s="10">
        <v>0</v>
      </c>
    </row>
    <row r="82" spans="1:64" ht="14.1" customHeight="1">
      <c r="A82" s="379">
        <f t="shared" si="372"/>
        <v>76</v>
      </c>
      <c r="B82" s="56" t="s">
        <v>73</v>
      </c>
      <c r="C82" s="206">
        <f t="shared" si="373"/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v>0</v>
      </c>
      <c r="AS82" s="10">
        <v>0</v>
      </c>
      <c r="AT82" s="10">
        <v>0</v>
      </c>
      <c r="AU82" s="10">
        <v>0</v>
      </c>
      <c r="AV82" s="10">
        <v>0</v>
      </c>
      <c r="AW82" s="10">
        <v>0</v>
      </c>
      <c r="AX82" s="10">
        <v>0</v>
      </c>
      <c r="AY82" s="10">
        <v>0</v>
      </c>
      <c r="AZ82" s="10"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v>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</row>
    <row r="83" spans="1:64" s="18" customFormat="1" ht="14.1" customHeight="1">
      <c r="A83" s="379">
        <f t="shared" si="372"/>
        <v>77</v>
      </c>
      <c r="B83" s="2" t="s">
        <v>526</v>
      </c>
      <c r="C83" s="85">
        <f t="shared" ref="C83:K83" si="374">SUM(C77:C82)</f>
        <v>0</v>
      </c>
      <c r="D83" s="85">
        <f t="shared" si="374"/>
        <v>0</v>
      </c>
      <c r="E83" s="85">
        <f t="shared" si="374"/>
        <v>0</v>
      </c>
      <c r="F83" s="85">
        <f t="shared" si="374"/>
        <v>0</v>
      </c>
      <c r="G83" s="85">
        <f t="shared" si="374"/>
        <v>0</v>
      </c>
      <c r="H83" s="85">
        <f t="shared" si="374"/>
        <v>0</v>
      </c>
      <c r="I83" s="85">
        <f t="shared" si="374"/>
        <v>0</v>
      </c>
      <c r="J83" s="85">
        <f t="shared" si="374"/>
        <v>0</v>
      </c>
      <c r="K83" s="85">
        <f t="shared" si="374"/>
        <v>0</v>
      </c>
      <c r="L83" s="85">
        <f t="shared" ref="L83:Y83" si="375">SUM(L77:L82)</f>
        <v>0</v>
      </c>
      <c r="M83" s="85">
        <f t="shared" si="375"/>
        <v>0</v>
      </c>
      <c r="N83" s="85">
        <f t="shared" si="375"/>
        <v>0</v>
      </c>
      <c r="O83" s="85">
        <f t="shared" si="375"/>
        <v>0</v>
      </c>
      <c r="P83" s="85">
        <f t="shared" si="375"/>
        <v>0</v>
      </c>
      <c r="Q83" s="85">
        <f t="shared" si="375"/>
        <v>0</v>
      </c>
      <c r="R83" s="85">
        <f t="shared" si="375"/>
        <v>0</v>
      </c>
      <c r="S83" s="85">
        <f t="shared" si="375"/>
        <v>0</v>
      </c>
      <c r="T83" s="85">
        <f>SUM(T77:T82)</f>
        <v>0</v>
      </c>
      <c r="U83" s="85">
        <f t="shared" si="375"/>
        <v>0</v>
      </c>
      <c r="V83" s="85">
        <f t="shared" si="375"/>
        <v>0</v>
      </c>
      <c r="W83" s="85">
        <f t="shared" si="375"/>
        <v>0</v>
      </c>
      <c r="X83" s="85">
        <f t="shared" si="375"/>
        <v>0</v>
      </c>
      <c r="Y83" s="85">
        <f t="shared" si="375"/>
        <v>0</v>
      </c>
      <c r="Z83" s="85">
        <f t="shared" ref="Z83:AE83" si="376">SUM(Z77:Z82)</f>
        <v>0</v>
      </c>
      <c r="AA83" s="85">
        <f t="shared" si="376"/>
        <v>0</v>
      </c>
      <c r="AB83" s="85">
        <f t="shared" si="376"/>
        <v>0</v>
      </c>
      <c r="AC83" s="85">
        <f t="shared" si="376"/>
        <v>0</v>
      </c>
      <c r="AD83" s="85">
        <f t="shared" si="376"/>
        <v>0</v>
      </c>
      <c r="AE83" s="85">
        <f t="shared" si="376"/>
        <v>0</v>
      </c>
      <c r="AF83" s="85">
        <f t="shared" ref="AF83:AL83" si="377">SUM(AF77:AF82)</f>
        <v>0</v>
      </c>
      <c r="AG83" s="85">
        <f t="shared" si="377"/>
        <v>0</v>
      </c>
      <c r="AH83" s="85">
        <f t="shared" si="377"/>
        <v>0</v>
      </c>
      <c r="AI83" s="85">
        <f t="shared" si="377"/>
        <v>0</v>
      </c>
      <c r="AJ83" s="85">
        <f t="shared" si="377"/>
        <v>0</v>
      </c>
      <c r="AK83" s="85">
        <f t="shared" si="377"/>
        <v>0</v>
      </c>
      <c r="AL83" s="85">
        <f t="shared" si="377"/>
        <v>0</v>
      </c>
      <c r="AM83" s="85">
        <f t="shared" ref="AM83:BB83" si="378">SUM(AM77:AM82)</f>
        <v>0</v>
      </c>
      <c r="AN83" s="85">
        <f t="shared" si="378"/>
        <v>0</v>
      </c>
      <c r="AO83" s="85">
        <f t="shared" si="378"/>
        <v>0</v>
      </c>
      <c r="AP83" s="85">
        <f t="shared" si="378"/>
        <v>0</v>
      </c>
      <c r="AQ83" s="85">
        <f>SUM(AQ77:AQ82)</f>
        <v>0</v>
      </c>
      <c r="AR83" s="85">
        <f>SUM(AR77:AR82)</f>
        <v>0</v>
      </c>
      <c r="AS83" s="85">
        <f t="shared" ref="AS83:AY83" si="379">SUM(AS77:AS82)</f>
        <v>0</v>
      </c>
      <c r="AT83" s="85">
        <f t="shared" si="379"/>
        <v>0</v>
      </c>
      <c r="AU83" s="85">
        <f>SUM(AU77:AU82)</f>
        <v>0</v>
      </c>
      <c r="AV83" s="85">
        <f t="shared" si="379"/>
        <v>0</v>
      </c>
      <c r="AW83" s="85">
        <f t="shared" si="379"/>
        <v>0</v>
      </c>
      <c r="AX83" s="85">
        <f t="shared" si="379"/>
        <v>0</v>
      </c>
      <c r="AY83" s="85">
        <f t="shared" si="379"/>
        <v>0</v>
      </c>
      <c r="AZ83" s="85">
        <f>SUM(AZ77:AZ82)</f>
        <v>0</v>
      </c>
      <c r="BA83" s="85">
        <f t="shared" si="378"/>
        <v>0</v>
      </c>
      <c r="BB83" s="85">
        <f t="shared" si="378"/>
        <v>0</v>
      </c>
      <c r="BC83" s="85">
        <f>SUM(BC77:BC82)</f>
        <v>0</v>
      </c>
      <c r="BD83" s="85">
        <f>SUM(BD77:BD82)</f>
        <v>0</v>
      </c>
      <c r="BE83" s="85">
        <f t="shared" ref="BE83:BG83" si="380">SUM(BE77:BE82)</f>
        <v>0</v>
      </c>
      <c r="BF83" s="85">
        <f t="shared" si="380"/>
        <v>0</v>
      </c>
      <c r="BG83" s="85">
        <f t="shared" si="380"/>
        <v>0</v>
      </c>
      <c r="BH83" s="85">
        <f t="shared" ref="BH83:BL83" si="381">SUM(BH77:BH82)</f>
        <v>0</v>
      </c>
      <c r="BI83" s="85">
        <f t="shared" si="381"/>
        <v>0</v>
      </c>
      <c r="BJ83" s="85">
        <f t="shared" si="381"/>
        <v>0</v>
      </c>
      <c r="BK83" s="85">
        <f t="shared" si="381"/>
        <v>0</v>
      </c>
      <c r="BL83" s="85">
        <f t="shared" si="381"/>
        <v>0</v>
      </c>
    </row>
    <row r="84" spans="1:64" s="18" customFormat="1" ht="14.1" customHeight="1">
      <c r="A84" s="379">
        <f t="shared" si="372"/>
        <v>78</v>
      </c>
      <c r="B84" s="6"/>
      <c r="C84" s="2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4.1" customHeight="1">
      <c r="A85" s="379">
        <f t="shared" si="372"/>
        <v>79</v>
      </c>
      <c r="B85" s="3" t="s">
        <v>74</v>
      </c>
      <c r="C85" s="1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</row>
    <row r="86" spans="1:64" ht="14.1" customHeight="1">
      <c r="A86" s="379">
        <f t="shared" si="372"/>
        <v>80</v>
      </c>
      <c r="B86" s="88" t="s">
        <v>75</v>
      </c>
      <c r="C86" s="38">
        <f t="shared" ref="C86:C93" si="382">SUM(D86:BI86)</f>
        <v>0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3">
        <v>0</v>
      </c>
      <c r="AN86" s="43">
        <v>0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0</v>
      </c>
      <c r="AU86" s="43">
        <v>0</v>
      </c>
      <c r="AV86" s="43">
        <v>0</v>
      </c>
      <c r="AW86" s="43">
        <v>0</v>
      </c>
      <c r="AX86" s="43">
        <v>0</v>
      </c>
      <c r="AY86" s="43">
        <v>0</v>
      </c>
      <c r="AZ86" s="43">
        <v>0</v>
      </c>
      <c r="BA86" s="43">
        <v>0</v>
      </c>
      <c r="BB86" s="43">
        <v>0</v>
      </c>
      <c r="BC86" s="43">
        <v>0</v>
      </c>
      <c r="BD86" s="43">
        <v>0</v>
      </c>
      <c r="BE86" s="43">
        <v>0</v>
      </c>
      <c r="BF86" s="43">
        <v>0</v>
      </c>
      <c r="BG86" s="43">
        <v>0</v>
      </c>
      <c r="BH86" s="43">
        <v>0</v>
      </c>
      <c r="BI86" s="43">
        <v>0</v>
      </c>
      <c r="BJ86" s="43">
        <v>0</v>
      </c>
      <c r="BK86" s="43">
        <v>0</v>
      </c>
      <c r="BL86" s="43">
        <v>0</v>
      </c>
    </row>
    <row r="87" spans="1:64" ht="14.1" customHeight="1">
      <c r="A87" s="379">
        <f t="shared" si="372"/>
        <v>81</v>
      </c>
      <c r="B87" s="88" t="s">
        <v>76</v>
      </c>
      <c r="C87" s="38">
        <f t="shared" si="382"/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v>0</v>
      </c>
      <c r="AS87" s="10"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v>0</v>
      </c>
      <c r="AZ87" s="10"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</row>
    <row r="88" spans="1:64" ht="14.1" customHeight="1">
      <c r="A88" s="379">
        <f t="shared" si="372"/>
        <v>82</v>
      </c>
      <c r="B88" s="88" t="s">
        <v>77</v>
      </c>
      <c r="C88" s="38">
        <f t="shared" si="382"/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v>0</v>
      </c>
      <c r="AZ88" s="10"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</row>
    <row r="89" spans="1:64" ht="14.1" customHeight="1">
      <c r="A89" s="379">
        <f t="shared" si="372"/>
        <v>83</v>
      </c>
      <c r="B89" s="88" t="s">
        <v>78</v>
      </c>
      <c r="C89" s="38">
        <f t="shared" si="382"/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v>0</v>
      </c>
      <c r="AZ89" s="10"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v>0</v>
      </c>
      <c r="BG89" s="10"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</row>
    <row r="90" spans="1:64" ht="14.1" customHeight="1">
      <c r="A90" s="379">
        <f t="shared" si="372"/>
        <v>84</v>
      </c>
      <c r="B90" s="88" t="s">
        <v>79</v>
      </c>
      <c r="C90" s="38">
        <f t="shared" si="382"/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v>0</v>
      </c>
      <c r="AZ90" s="10"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v>0</v>
      </c>
      <c r="BG90" s="10"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</row>
    <row r="91" spans="1:64" ht="14.1" customHeight="1">
      <c r="A91" s="379">
        <f t="shared" si="372"/>
        <v>85</v>
      </c>
      <c r="B91" s="88" t="s">
        <v>80</v>
      </c>
      <c r="C91" s="38">
        <f t="shared" si="382"/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v>0</v>
      </c>
      <c r="AS91" s="10"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v>0</v>
      </c>
      <c r="AZ91" s="10"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</row>
    <row r="92" spans="1:64" ht="14.1" customHeight="1">
      <c r="A92" s="379">
        <f t="shared" si="372"/>
        <v>86</v>
      </c>
      <c r="B92" s="88" t="s">
        <v>81</v>
      </c>
      <c r="C92" s="38">
        <f t="shared" si="382"/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v>0</v>
      </c>
      <c r="AZ92" s="10"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</row>
    <row r="93" spans="1:64" ht="13.5" customHeight="1">
      <c r="A93" s="379">
        <f t="shared" si="372"/>
        <v>87</v>
      </c>
      <c r="B93" s="56" t="s">
        <v>82</v>
      </c>
      <c r="C93" s="38">
        <f t="shared" si="382"/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v>0</v>
      </c>
      <c r="AS93" s="10"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v>0</v>
      </c>
      <c r="AZ93" s="10"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</row>
    <row r="94" spans="1:64" s="18" customFormat="1" ht="14.1" customHeight="1">
      <c r="A94" s="379">
        <f t="shared" si="372"/>
        <v>88</v>
      </c>
      <c r="B94" s="2" t="s">
        <v>527</v>
      </c>
      <c r="C94" s="85">
        <f t="shared" ref="C94:K94" si="383">SUM(C86:C93)</f>
        <v>0</v>
      </c>
      <c r="D94" s="85">
        <f t="shared" si="383"/>
        <v>0</v>
      </c>
      <c r="E94" s="85">
        <f t="shared" si="383"/>
        <v>0</v>
      </c>
      <c r="F94" s="85">
        <f t="shared" si="383"/>
        <v>0</v>
      </c>
      <c r="G94" s="85">
        <f t="shared" si="383"/>
        <v>0</v>
      </c>
      <c r="H94" s="85">
        <f t="shared" si="383"/>
        <v>0</v>
      </c>
      <c r="I94" s="85">
        <f t="shared" si="383"/>
        <v>0</v>
      </c>
      <c r="J94" s="85">
        <f t="shared" si="383"/>
        <v>0</v>
      </c>
      <c r="K94" s="85">
        <f t="shared" si="383"/>
        <v>0</v>
      </c>
      <c r="L94" s="85">
        <f t="shared" ref="L94:Y94" si="384">SUM(L86:L93)</f>
        <v>0</v>
      </c>
      <c r="M94" s="85">
        <f t="shared" si="384"/>
        <v>0</v>
      </c>
      <c r="N94" s="85">
        <f t="shared" si="384"/>
        <v>0</v>
      </c>
      <c r="O94" s="85">
        <f t="shared" si="384"/>
        <v>0</v>
      </c>
      <c r="P94" s="85">
        <f t="shared" si="384"/>
        <v>0</v>
      </c>
      <c r="Q94" s="85">
        <f t="shared" si="384"/>
        <v>0</v>
      </c>
      <c r="R94" s="85">
        <f t="shared" si="384"/>
        <v>0</v>
      </c>
      <c r="S94" s="85">
        <f t="shared" si="384"/>
        <v>0</v>
      </c>
      <c r="T94" s="85">
        <f>SUM(T86:T93)</f>
        <v>0</v>
      </c>
      <c r="U94" s="85">
        <f t="shared" si="384"/>
        <v>0</v>
      </c>
      <c r="V94" s="85">
        <f t="shared" si="384"/>
        <v>0</v>
      </c>
      <c r="W94" s="85">
        <f t="shared" si="384"/>
        <v>0</v>
      </c>
      <c r="X94" s="85">
        <f t="shared" si="384"/>
        <v>0</v>
      </c>
      <c r="Y94" s="85">
        <f t="shared" si="384"/>
        <v>0</v>
      </c>
      <c r="Z94" s="85">
        <f t="shared" ref="Z94:AE94" si="385">SUM(Z86:Z93)</f>
        <v>0</v>
      </c>
      <c r="AA94" s="85">
        <f t="shared" si="385"/>
        <v>0</v>
      </c>
      <c r="AB94" s="85">
        <f t="shared" si="385"/>
        <v>0</v>
      </c>
      <c r="AC94" s="85">
        <f t="shared" si="385"/>
        <v>0</v>
      </c>
      <c r="AD94" s="85">
        <f t="shared" si="385"/>
        <v>0</v>
      </c>
      <c r="AE94" s="85">
        <f t="shared" si="385"/>
        <v>0</v>
      </c>
      <c r="AF94" s="85">
        <f t="shared" ref="AF94:AL94" si="386">SUM(AF86:AF93)</f>
        <v>0</v>
      </c>
      <c r="AG94" s="85">
        <f t="shared" si="386"/>
        <v>0</v>
      </c>
      <c r="AH94" s="85">
        <f t="shared" si="386"/>
        <v>0</v>
      </c>
      <c r="AI94" s="85">
        <f t="shared" si="386"/>
        <v>0</v>
      </c>
      <c r="AJ94" s="85">
        <f t="shared" si="386"/>
        <v>0</v>
      </c>
      <c r="AK94" s="85">
        <f t="shared" si="386"/>
        <v>0</v>
      </c>
      <c r="AL94" s="85">
        <f t="shared" si="386"/>
        <v>0</v>
      </c>
      <c r="AM94" s="85">
        <f t="shared" ref="AM94:BB94" si="387">SUM(AM86:AM93)</f>
        <v>0</v>
      </c>
      <c r="AN94" s="85">
        <f t="shared" si="387"/>
        <v>0</v>
      </c>
      <c r="AO94" s="85">
        <f t="shared" si="387"/>
        <v>0</v>
      </c>
      <c r="AP94" s="85">
        <f t="shared" si="387"/>
        <v>0</v>
      </c>
      <c r="AQ94" s="85">
        <f>SUM(AQ86:AQ93)</f>
        <v>0</v>
      </c>
      <c r="AR94" s="85">
        <f>SUM(AR86:AR93)</f>
        <v>0</v>
      </c>
      <c r="AS94" s="85">
        <f t="shared" ref="AS94:AY94" si="388">SUM(AS86:AS93)</f>
        <v>0</v>
      </c>
      <c r="AT94" s="85">
        <f t="shared" si="388"/>
        <v>0</v>
      </c>
      <c r="AU94" s="85">
        <f>SUM(AU86:AU93)</f>
        <v>0</v>
      </c>
      <c r="AV94" s="85">
        <f t="shared" si="388"/>
        <v>0</v>
      </c>
      <c r="AW94" s="85">
        <f t="shared" si="388"/>
        <v>0</v>
      </c>
      <c r="AX94" s="85">
        <f t="shared" si="388"/>
        <v>0</v>
      </c>
      <c r="AY94" s="85">
        <f t="shared" si="388"/>
        <v>0</v>
      </c>
      <c r="AZ94" s="85">
        <f>SUM(AZ86:AZ93)</f>
        <v>0</v>
      </c>
      <c r="BA94" s="85">
        <f t="shared" si="387"/>
        <v>0</v>
      </c>
      <c r="BB94" s="85">
        <f t="shared" si="387"/>
        <v>0</v>
      </c>
      <c r="BC94" s="85">
        <f>SUM(BC86:BC93)</f>
        <v>0</v>
      </c>
      <c r="BD94" s="85">
        <f>SUM(BD86:BD93)</f>
        <v>0</v>
      </c>
      <c r="BE94" s="85">
        <f t="shared" ref="BE94:BG94" si="389">SUM(BE86:BE93)</f>
        <v>0</v>
      </c>
      <c r="BF94" s="85">
        <f t="shared" si="389"/>
        <v>0</v>
      </c>
      <c r="BG94" s="85">
        <f t="shared" si="389"/>
        <v>0</v>
      </c>
      <c r="BH94" s="85">
        <f t="shared" ref="BH94:BL94" si="390">SUM(BH86:BH93)</f>
        <v>0</v>
      </c>
      <c r="BI94" s="85">
        <f t="shared" si="390"/>
        <v>0</v>
      </c>
      <c r="BJ94" s="85">
        <f t="shared" si="390"/>
        <v>0</v>
      </c>
      <c r="BK94" s="85">
        <f t="shared" si="390"/>
        <v>0</v>
      </c>
      <c r="BL94" s="85">
        <f t="shared" si="390"/>
        <v>0</v>
      </c>
    </row>
    <row r="95" spans="1:64" s="18" customFormat="1" ht="14.1" customHeight="1">
      <c r="A95" s="379">
        <f t="shared" si="372"/>
        <v>89</v>
      </c>
      <c r="B95" s="6"/>
      <c r="C95" s="2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64" ht="14.1" customHeight="1">
      <c r="A96" s="379">
        <f t="shared" si="372"/>
        <v>90</v>
      </c>
      <c r="B96" s="3" t="s">
        <v>83</v>
      </c>
      <c r="C96" s="1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</row>
    <row r="97" spans="1:64" ht="14.1" customHeight="1">
      <c r="A97" s="379">
        <f t="shared" si="372"/>
        <v>91</v>
      </c>
      <c r="B97" s="88" t="s">
        <v>84</v>
      </c>
      <c r="C97" s="38">
        <f t="shared" ref="C97:C103" si="391">SUM(D97:BI97)</f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v>0</v>
      </c>
      <c r="AS97" s="10"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v>0</v>
      </c>
      <c r="AZ97" s="10"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</row>
    <row r="98" spans="1:64" ht="14.1" customHeight="1">
      <c r="A98" s="379">
        <f t="shared" si="372"/>
        <v>92</v>
      </c>
      <c r="B98" s="88" t="s">
        <v>85</v>
      </c>
      <c r="C98" s="38">
        <f t="shared" si="391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</row>
    <row r="99" spans="1:64" ht="14.1" customHeight="1">
      <c r="A99" s="379">
        <f t="shared" si="372"/>
        <v>93</v>
      </c>
      <c r="B99" s="88" t="s">
        <v>86</v>
      </c>
      <c r="C99" s="38">
        <f t="shared" si="391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</row>
    <row r="100" spans="1:64" ht="14.1" customHeight="1">
      <c r="A100" s="379">
        <f t="shared" si="372"/>
        <v>94</v>
      </c>
      <c r="B100" s="88" t="s">
        <v>87</v>
      </c>
      <c r="C100" s="38">
        <f t="shared" si="391"/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</row>
    <row r="101" spans="1:64" ht="14.1" customHeight="1">
      <c r="A101" s="379">
        <f t="shared" si="372"/>
        <v>95</v>
      </c>
      <c r="B101" s="88" t="s">
        <v>88</v>
      </c>
      <c r="C101" s="38">
        <f t="shared" si="391"/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</row>
    <row r="102" spans="1:64" ht="14.1" customHeight="1">
      <c r="A102" s="379">
        <f t="shared" si="372"/>
        <v>96</v>
      </c>
      <c r="B102" s="88" t="s">
        <v>89</v>
      </c>
      <c r="C102" s="38">
        <f t="shared" si="391"/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</row>
    <row r="103" spans="1:64" ht="14.1" customHeight="1">
      <c r="A103" s="379">
        <f t="shared" si="372"/>
        <v>97</v>
      </c>
      <c r="B103" s="56" t="s">
        <v>90</v>
      </c>
      <c r="C103" s="38">
        <f t="shared" si="391"/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</row>
    <row r="104" spans="1:64" s="18" customFormat="1" ht="14.1" customHeight="1">
      <c r="A104" s="379">
        <f t="shared" si="372"/>
        <v>98</v>
      </c>
      <c r="B104" s="2" t="s">
        <v>528</v>
      </c>
      <c r="C104" s="85">
        <f t="shared" ref="C104:K104" si="392">SUM(C96:C103)</f>
        <v>0</v>
      </c>
      <c r="D104" s="85">
        <f t="shared" si="392"/>
        <v>0</v>
      </c>
      <c r="E104" s="85">
        <f t="shared" si="392"/>
        <v>0</v>
      </c>
      <c r="F104" s="85">
        <f t="shared" si="392"/>
        <v>0</v>
      </c>
      <c r="G104" s="85">
        <f t="shared" si="392"/>
        <v>0</v>
      </c>
      <c r="H104" s="85">
        <f t="shared" si="392"/>
        <v>0</v>
      </c>
      <c r="I104" s="85">
        <f t="shared" si="392"/>
        <v>0</v>
      </c>
      <c r="J104" s="85">
        <f t="shared" si="392"/>
        <v>0</v>
      </c>
      <c r="K104" s="85">
        <f t="shared" si="392"/>
        <v>0</v>
      </c>
      <c r="L104" s="85">
        <f t="shared" ref="L104:Y104" si="393">SUM(L96:L103)</f>
        <v>0</v>
      </c>
      <c r="M104" s="85">
        <f t="shared" si="393"/>
        <v>0</v>
      </c>
      <c r="N104" s="85">
        <f t="shared" si="393"/>
        <v>0</v>
      </c>
      <c r="O104" s="85">
        <f t="shared" si="393"/>
        <v>0</v>
      </c>
      <c r="P104" s="85">
        <f t="shared" si="393"/>
        <v>0</v>
      </c>
      <c r="Q104" s="85">
        <f t="shared" si="393"/>
        <v>0</v>
      </c>
      <c r="R104" s="85">
        <f t="shared" si="393"/>
        <v>0</v>
      </c>
      <c r="S104" s="85">
        <f t="shared" si="393"/>
        <v>0</v>
      </c>
      <c r="T104" s="85">
        <f>SUM(T96:T103)</f>
        <v>0</v>
      </c>
      <c r="U104" s="85">
        <f t="shared" si="393"/>
        <v>0</v>
      </c>
      <c r="V104" s="85">
        <f t="shared" si="393"/>
        <v>0</v>
      </c>
      <c r="W104" s="85">
        <f t="shared" si="393"/>
        <v>0</v>
      </c>
      <c r="X104" s="85">
        <f t="shared" si="393"/>
        <v>0</v>
      </c>
      <c r="Y104" s="85">
        <f t="shared" si="393"/>
        <v>0</v>
      </c>
      <c r="Z104" s="85">
        <f t="shared" ref="Z104:AE104" si="394">SUM(Z96:Z103)</f>
        <v>0</v>
      </c>
      <c r="AA104" s="85">
        <f t="shared" si="394"/>
        <v>0</v>
      </c>
      <c r="AB104" s="85">
        <f t="shared" si="394"/>
        <v>0</v>
      </c>
      <c r="AC104" s="85">
        <f t="shared" si="394"/>
        <v>0</v>
      </c>
      <c r="AD104" s="85">
        <f t="shared" si="394"/>
        <v>0</v>
      </c>
      <c r="AE104" s="85">
        <f t="shared" si="394"/>
        <v>0</v>
      </c>
      <c r="AF104" s="85">
        <f t="shared" ref="AF104:AL104" si="395">SUM(AF96:AF103)</f>
        <v>0</v>
      </c>
      <c r="AG104" s="85">
        <f t="shared" si="395"/>
        <v>0</v>
      </c>
      <c r="AH104" s="85">
        <f t="shared" si="395"/>
        <v>0</v>
      </c>
      <c r="AI104" s="85">
        <f t="shared" si="395"/>
        <v>0</v>
      </c>
      <c r="AJ104" s="85">
        <f t="shared" si="395"/>
        <v>0</v>
      </c>
      <c r="AK104" s="85">
        <f t="shared" si="395"/>
        <v>0</v>
      </c>
      <c r="AL104" s="85">
        <f t="shared" si="395"/>
        <v>0</v>
      </c>
      <c r="AM104" s="85">
        <f t="shared" ref="AM104:BB104" si="396">SUM(AM96:AM103)</f>
        <v>0</v>
      </c>
      <c r="AN104" s="85">
        <f t="shared" si="396"/>
        <v>0</v>
      </c>
      <c r="AO104" s="85">
        <f t="shared" si="396"/>
        <v>0</v>
      </c>
      <c r="AP104" s="85">
        <f t="shared" si="396"/>
        <v>0</v>
      </c>
      <c r="AQ104" s="85">
        <f>SUM(AQ96:AQ103)</f>
        <v>0</v>
      </c>
      <c r="AR104" s="85">
        <f>SUM(AR96:AR103)</f>
        <v>0</v>
      </c>
      <c r="AS104" s="85">
        <f t="shared" ref="AS104:AY104" si="397">SUM(AS96:AS103)</f>
        <v>0</v>
      </c>
      <c r="AT104" s="85">
        <f t="shared" si="397"/>
        <v>0</v>
      </c>
      <c r="AU104" s="85">
        <f>SUM(AU96:AU103)</f>
        <v>0</v>
      </c>
      <c r="AV104" s="85">
        <f t="shared" si="397"/>
        <v>0</v>
      </c>
      <c r="AW104" s="85">
        <f t="shared" si="397"/>
        <v>0</v>
      </c>
      <c r="AX104" s="85">
        <f t="shared" si="397"/>
        <v>0</v>
      </c>
      <c r="AY104" s="85">
        <f t="shared" si="397"/>
        <v>0</v>
      </c>
      <c r="AZ104" s="85">
        <f>SUM(AZ96:AZ103)</f>
        <v>0</v>
      </c>
      <c r="BA104" s="85">
        <f t="shared" si="396"/>
        <v>0</v>
      </c>
      <c r="BB104" s="85">
        <f t="shared" si="396"/>
        <v>0</v>
      </c>
      <c r="BC104" s="85">
        <f>SUM(BC96:BC103)</f>
        <v>0</v>
      </c>
      <c r="BD104" s="85">
        <f>SUM(BD96:BD103)</f>
        <v>0</v>
      </c>
      <c r="BE104" s="85">
        <f t="shared" ref="BE104:BG104" si="398">SUM(BE96:BE103)</f>
        <v>0</v>
      </c>
      <c r="BF104" s="85">
        <f t="shared" si="398"/>
        <v>0</v>
      </c>
      <c r="BG104" s="85">
        <f t="shared" si="398"/>
        <v>0</v>
      </c>
      <c r="BH104" s="85">
        <f t="shared" ref="BH104:BL104" si="399">SUM(BH96:BH103)</f>
        <v>0</v>
      </c>
      <c r="BI104" s="85">
        <f t="shared" si="399"/>
        <v>0</v>
      </c>
      <c r="BJ104" s="85">
        <f t="shared" si="399"/>
        <v>0</v>
      </c>
      <c r="BK104" s="85">
        <f t="shared" si="399"/>
        <v>0</v>
      </c>
      <c r="BL104" s="85">
        <f t="shared" si="399"/>
        <v>0</v>
      </c>
    </row>
    <row r="105" spans="1:64" s="18" customFormat="1" ht="14.1" customHeight="1">
      <c r="A105" s="379">
        <f t="shared" si="372"/>
        <v>99</v>
      </c>
      <c r="B105" s="6"/>
      <c r="C105" s="25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</row>
    <row r="106" spans="1:64" s="18" customFormat="1" ht="14.1" customHeight="1">
      <c r="A106" s="379">
        <f t="shared" si="372"/>
        <v>100</v>
      </c>
      <c r="B106" s="60" t="s">
        <v>490</v>
      </c>
      <c r="C106" s="206">
        <f>SUM(D106:BI106)</f>
        <v>-323850066</v>
      </c>
      <c r="D106" s="206">
        <f>D104+D94+D83+D74</f>
        <v>0</v>
      </c>
      <c r="E106" s="206">
        <f>E104+E94+E83+E74</f>
        <v>0</v>
      </c>
      <c r="F106" s="206">
        <f t="shared" ref="F106:BB106" si="400">F104+F94+F83+F74</f>
        <v>0</v>
      </c>
      <c r="G106" s="206">
        <f>G104+G94+G83+G74</f>
        <v>-323850066</v>
      </c>
      <c r="H106" s="206">
        <f t="shared" si="400"/>
        <v>0</v>
      </c>
      <c r="I106" s="206">
        <f t="shared" si="400"/>
        <v>0</v>
      </c>
      <c r="J106" s="206">
        <f t="shared" si="400"/>
        <v>0</v>
      </c>
      <c r="K106" s="206">
        <f t="shared" si="400"/>
        <v>0</v>
      </c>
      <c r="L106" s="206">
        <f t="shared" si="400"/>
        <v>0</v>
      </c>
      <c r="M106" s="206">
        <f t="shared" si="400"/>
        <v>0</v>
      </c>
      <c r="N106" s="206">
        <f t="shared" si="400"/>
        <v>0</v>
      </c>
      <c r="O106" s="206">
        <f t="shared" si="400"/>
        <v>0</v>
      </c>
      <c r="P106" s="206">
        <f t="shared" si="400"/>
        <v>0</v>
      </c>
      <c r="Q106" s="206">
        <f t="shared" si="400"/>
        <v>0</v>
      </c>
      <c r="R106" s="206">
        <f t="shared" si="400"/>
        <v>0</v>
      </c>
      <c r="S106" s="206">
        <f t="shared" si="400"/>
        <v>0</v>
      </c>
      <c r="T106" s="206">
        <f>T104+T94+T83+T74</f>
        <v>0</v>
      </c>
      <c r="U106" s="206">
        <f t="shared" si="400"/>
        <v>0</v>
      </c>
      <c r="V106" s="206">
        <f t="shared" si="400"/>
        <v>0</v>
      </c>
      <c r="W106" s="206">
        <f t="shared" si="400"/>
        <v>0</v>
      </c>
      <c r="X106" s="206">
        <f t="shared" si="400"/>
        <v>0</v>
      </c>
      <c r="Y106" s="206">
        <f t="shared" si="400"/>
        <v>0</v>
      </c>
      <c r="Z106" s="206">
        <f t="shared" si="400"/>
        <v>0</v>
      </c>
      <c r="AA106" s="206">
        <f t="shared" si="400"/>
        <v>0</v>
      </c>
      <c r="AB106" s="206">
        <f t="shared" si="400"/>
        <v>0</v>
      </c>
      <c r="AC106" s="206">
        <f t="shared" si="400"/>
        <v>0</v>
      </c>
      <c r="AD106" s="206">
        <f t="shared" si="400"/>
        <v>0</v>
      </c>
      <c r="AE106" s="206">
        <f t="shared" si="400"/>
        <v>0</v>
      </c>
      <c r="AF106" s="206">
        <f t="shared" si="400"/>
        <v>0</v>
      </c>
      <c r="AG106" s="206">
        <f t="shared" si="400"/>
        <v>0</v>
      </c>
      <c r="AH106" s="206">
        <f t="shared" si="400"/>
        <v>0</v>
      </c>
      <c r="AI106" s="206">
        <f t="shared" si="400"/>
        <v>0</v>
      </c>
      <c r="AJ106" s="206">
        <f t="shared" si="400"/>
        <v>0</v>
      </c>
      <c r="AK106" s="206">
        <f t="shared" si="400"/>
        <v>0</v>
      </c>
      <c r="AL106" s="206">
        <f t="shared" si="400"/>
        <v>0</v>
      </c>
      <c r="AM106" s="206">
        <f t="shared" si="400"/>
        <v>0</v>
      </c>
      <c r="AN106" s="206">
        <f t="shared" si="400"/>
        <v>0</v>
      </c>
      <c r="AO106" s="206">
        <f t="shared" si="400"/>
        <v>0</v>
      </c>
      <c r="AP106" s="206">
        <f t="shared" si="400"/>
        <v>0</v>
      </c>
      <c r="AQ106" s="206">
        <f>AQ104+AQ94+AQ83+AQ74</f>
        <v>0</v>
      </c>
      <c r="AR106" s="206">
        <f>AR104+AR94+AR83+AR74</f>
        <v>0</v>
      </c>
      <c r="AS106" s="206">
        <f t="shared" ref="AS106:AY106" si="401">AS104+AS94+AS83+AS74</f>
        <v>0</v>
      </c>
      <c r="AT106" s="206">
        <f t="shared" si="401"/>
        <v>0</v>
      </c>
      <c r="AU106" s="206">
        <f>AU104+AU94+AU83+AU74</f>
        <v>0</v>
      </c>
      <c r="AV106" s="206">
        <f t="shared" si="401"/>
        <v>0</v>
      </c>
      <c r="AW106" s="206">
        <f t="shared" si="401"/>
        <v>0</v>
      </c>
      <c r="AX106" s="206">
        <f t="shared" si="401"/>
        <v>0</v>
      </c>
      <c r="AY106" s="206">
        <f t="shared" si="401"/>
        <v>0</v>
      </c>
      <c r="AZ106" s="206">
        <f>AZ104+AZ94+AZ83+AZ74</f>
        <v>0</v>
      </c>
      <c r="BA106" s="206">
        <f t="shared" si="400"/>
        <v>0</v>
      </c>
      <c r="BB106" s="206">
        <f t="shared" si="400"/>
        <v>0</v>
      </c>
      <c r="BC106" s="206">
        <f>BC104+BC94+BC83+BC74</f>
        <v>0</v>
      </c>
      <c r="BD106" s="206">
        <f>BD104+BD94+BD83+BD74</f>
        <v>0</v>
      </c>
      <c r="BE106" s="206">
        <f t="shared" ref="BE106:BG106" si="402">BE104+BE94+BE83+BE74</f>
        <v>0</v>
      </c>
      <c r="BF106" s="206">
        <f t="shared" si="402"/>
        <v>0</v>
      </c>
      <c r="BG106" s="206">
        <f t="shared" si="402"/>
        <v>0</v>
      </c>
      <c r="BH106" s="206">
        <f t="shared" ref="BH106:BL106" si="403">BH104+BH94+BH83+BH74</f>
        <v>0</v>
      </c>
      <c r="BI106" s="206">
        <f t="shared" si="403"/>
        <v>0</v>
      </c>
      <c r="BJ106" s="206">
        <f t="shared" si="403"/>
        <v>0</v>
      </c>
      <c r="BK106" s="206">
        <f t="shared" si="403"/>
        <v>0</v>
      </c>
      <c r="BL106" s="206">
        <f t="shared" si="403"/>
        <v>0</v>
      </c>
    </row>
    <row r="107" spans="1:64" s="18" customFormat="1" ht="14.1" customHeight="1">
      <c r="A107" s="379">
        <f t="shared" si="372"/>
        <v>101</v>
      </c>
      <c r="B107" s="2"/>
      <c r="C107" s="15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</row>
    <row r="108" spans="1:64" ht="14.1" customHeight="1">
      <c r="A108" s="379">
        <f t="shared" si="372"/>
        <v>102</v>
      </c>
      <c r="B108" s="88" t="s">
        <v>91</v>
      </c>
      <c r="C108" s="38">
        <f>SUM(D108:BI108)</f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10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0</v>
      </c>
      <c r="AV108" s="43">
        <v>0</v>
      </c>
      <c r="AW108" s="43">
        <v>0</v>
      </c>
      <c r="AX108" s="43">
        <v>0</v>
      </c>
      <c r="AY108" s="43">
        <v>0</v>
      </c>
      <c r="AZ108" s="43">
        <v>0</v>
      </c>
      <c r="BA108" s="43">
        <v>0</v>
      </c>
      <c r="BB108" s="43">
        <v>0</v>
      </c>
      <c r="BC108" s="43">
        <v>0</v>
      </c>
      <c r="BD108" s="43">
        <v>0</v>
      </c>
      <c r="BE108" s="10">
        <v>0</v>
      </c>
      <c r="BF108" s="10">
        <v>0</v>
      </c>
      <c r="BG108" s="10">
        <v>0</v>
      </c>
      <c r="BH108" s="43">
        <v>0</v>
      </c>
      <c r="BI108" s="43">
        <v>0</v>
      </c>
      <c r="BJ108" s="43">
        <v>0</v>
      </c>
      <c r="BK108" s="43">
        <v>0</v>
      </c>
      <c r="BL108" s="43">
        <v>0</v>
      </c>
    </row>
    <row r="109" spans="1:64" ht="14.1" customHeight="1">
      <c r="A109" s="379">
        <f t="shared" si="372"/>
        <v>103</v>
      </c>
      <c r="B109" s="56" t="s">
        <v>92</v>
      </c>
      <c r="C109" s="38">
        <f>SUM(D109:BI109)</f>
        <v>0</v>
      </c>
      <c r="D109" s="64">
        <v>0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0</v>
      </c>
      <c r="BH109" s="64">
        <v>0</v>
      </c>
      <c r="BI109" s="64">
        <v>0</v>
      </c>
      <c r="BJ109" s="64">
        <v>0</v>
      </c>
      <c r="BK109" s="64">
        <v>0</v>
      </c>
      <c r="BL109" s="64">
        <v>0</v>
      </c>
    </row>
    <row r="110" spans="1:64" s="18" customFormat="1" ht="14.1" customHeight="1">
      <c r="A110" s="379">
        <f t="shared" si="372"/>
        <v>104</v>
      </c>
      <c r="B110" s="2" t="s">
        <v>934</v>
      </c>
      <c r="C110" s="47">
        <f>C109+C108</f>
        <v>0</v>
      </c>
      <c r="D110" s="47">
        <f t="shared" ref="D110:BB110" si="404">D109+D108</f>
        <v>0</v>
      </c>
      <c r="E110" s="47">
        <f t="shared" si="404"/>
        <v>0</v>
      </c>
      <c r="F110" s="47">
        <f t="shared" si="404"/>
        <v>0</v>
      </c>
      <c r="G110" s="47">
        <f t="shared" si="404"/>
        <v>0</v>
      </c>
      <c r="H110" s="47">
        <f t="shared" si="404"/>
        <v>0</v>
      </c>
      <c r="I110" s="47">
        <f t="shared" si="404"/>
        <v>0</v>
      </c>
      <c r="J110" s="47">
        <f t="shared" si="404"/>
        <v>0</v>
      </c>
      <c r="K110" s="47">
        <f t="shared" si="404"/>
        <v>0</v>
      </c>
      <c r="L110" s="47">
        <f t="shared" si="404"/>
        <v>0</v>
      </c>
      <c r="M110" s="47">
        <f t="shared" si="404"/>
        <v>0</v>
      </c>
      <c r="N110" s="47">
        <f t="shared" si="404"/>
        <v>0</v>
      </c>
      <c r="O110" s="47">
        <f t="shared" si="404"/>
        <v>0</v>
      </c>
      <c r="P110" s="47">
        <f t="shared" si="404"/>
        <v>0</v>
      </c>
      <c r="Q110" s="47">
        <f t="shared" si="404"/>
        <v>0</v>
      </c>
      <c r="R110" s="47">
        <f t="shared" si="404"/>
        <v>0</v>
      </c>
      <c r="S110" s="47">
        <f t="shared" si="404"/>
        <v>0</v>
      </c>
      <c r="T110" s="47">
        <f>T109+T108</f>
        <v>0</v>
      </c>
      <c r="U110" s="47">
        <f t="shared" si="404"/>
        <v>0</v>
      </c>
      <c r="V110" s="47">
        <f t="shared" si="404"/>
        <v>0</v>
      </c>
      <c r="W110" s="47">
        <f t="shared" si="404"/>
        <v>0</v>
      </c>
      <c r="X110" s="47">
        <f t="shared" si="404"/>
        <v>0</v>
      </c>
      <c r="Y110" s="47">
        <f t="shared" si="404"/>
        <v>0</v>
      </c>
      <c r="Z110" s="47">
        <f t="shared" si="404"/>
        <v>0</v>
      </c>
      <c r="AA110" s="47">
        <f t="shared" si="404"/>
        <v>0</v>
      </c>
      <c r="AB110" s="47">
        <f t="shared" si="404"/>
        <v>0</v>
      </c>
      <c r="AC110" s="47">
        <f t="shared" si="404"/>
        <v>0</v>
      </c>
      <c r="AD110" s="47">
        <f t="shared" si="404"/>
        <v>0</v>
      </c>
      <c r="AE110" s="47">
        <f t="shared" si="404"/>
        <v>0</v>
      </c>
      <c r="AF110" s="47">
        <f t="shared" si="404"/>
        <v>0</v>
      </c>
      <c r="AG110" s="47">
        <f t="shared" si="404"/>
        <v>0</v>
      </c>
      <c r="AH110" s="47">
        <f t="shared" si="404"/>
        <v>0</v>
      </c>
      <c r="AI110" s="47">
        <f t="shared" si="404"/>
        <v>0</v>
      </c>
      <c r="AJ110" s="47">
        <f t="shared" si="404"/>
        <v>0</v>
      </c>
      <c r="AK110" s="47">
        <f t="shared" si="404"/>
        <v>0</v>
      </c>
      <c r="AL110" s="47">
        <f t="shared" si="404"/>
        <v>0</v>
      </c>
      <c r="AM110" s="47">
        <f t="shared" si="404"/>
        <v>0</v>
      </c>
      <c r="AN110" s="47">
        <f t="shared" si="404"/>
        <v>0</v>
      </c>
      <c r="AO110" s="47">
        <f t="shared" si="404"/>
        <v>0</v>
      </c>
      <c r="AP110" s="47">
        <f t="shared" si="404"/>
        <v>0</v>
      </c>
      <c r="AQ110" s="47">
        <f>AQ109+AQ108</f>
        <v>0</v>
      </c>
      <c r="AR110" s="47">
        <f>AR109+AR108</f>
        <v>0</v>
      </c>
      <c r="AS110" s="47">
        <f t="shared" ref="AS110:AY110" si="405">AS109+AS108</f>
        <v>0</v>
      </c>
      <c r="AT110" s="47">
        <f t="shared" si="405"/>
        <v>0</v>
      </c>
      <c r="AU110" s="47">
        <f>AU109+AU108</f>
        <v>0</v>
      </c>
      <c r="AV110" s="47">
        <f t="shared" si="405"/>
        <v>0</v>
      </c>
      <c r="AW110" s="47">
        <f t="shared" si="405"/>
        <v>0</v>
      </c>
      <c r="AX110" s="47">
        <f t="shared" si="405"/>
        <v>0</v>
      </c>
      <c r="AY110" s="47">
        <f t="shared" si="405"/>
        <v>0</v>
      </c>
      <c r="AZ110" s="47">
        <f>AZ109+AZ108</f>
        <v>0</v>
      </c>
      <c r="BA110" s="47">
        <f t="shared" si="404"/>
        <v>0</v>
      </c>
      <c r="BB110" s="47">
        <f t="shared" si="404"/>
        <v>0</v>
      </c>
      <c r="BC110" s="47">
        <f>BC109+BC108</f>
        <v>0</v>
      </c>
      <c r="BD110" s="47">
        <f>BD109+BD108</f>
        <v>0</v>
      </c>
      <c r="BE110" s="47">
        <f t="shared" ref="BE110:BG110" si="406">BE109+BE108</f>
        <v>0</v>
      </c>
      <c r="BF110" s="47">
        <f t="shared" si="406"/>
        <v>0</v>
      </c>
      <c r="BG110" s="47">
        <f t="shared" si="406"/>
        <v>0</v>
      </c>
      <c r="BH110" s="47">
        <f t="shared" ref="BH110:BL110" si="407">BH109+BH108</f>
        <v>0</v>
      </c>
      <c r="BI110" s="47">
        <f t="shared" si="407"/>
        <v>0</v>
      </c>
      <c r="BJ110" s="47">
        <f t="shared" si="407"/>
        <v>0</v>
      </c>
      <c r="BK110" s="47">
        <f t="shared" si="407"/>
        <v>0</v>
      </c>
      <c r="BL110" s="47">
        <f t="shared" si="407"/>
        <v>0</v>
      </c>
    </row>
    <row r="111" spans="1:64" s="18" customFormat="1" ht="14.1" customHeight="1">
      <c r="A111" s="379">
        <f t="shared" si="372"/>
        <v>105</v>
      </c>
      <c r="B111" s="6"/>
      <c r="C111" s="25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64" ht="14.1" customHeight="1">
      <c r="A112" s="379">
        <f t="shared" si="372"/>
        <v>106</v>
      </c>
      <c r="B112" s="3" t="s">
        <v>93</v>
      </c>
      <c r="C112" s="1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</row>
    <row r="113" spans="1:64" ht="14.1" customHeight="1">
      <c r="A113" s="379">
        <f t="shared" si="372"/>
        <v>107</v>
      </c>
      <c r="B113" s="88" t="s">
        <v>94</v>
      </c>
      <c r="C113" s="38">
        <f t="shared" ref="C113:C123" si="408">SUM(D113:BI113)</f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v>0</v>
      </c>
      <c r="AZ113" s="10"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</row>
    <row r="114" spans="1:64" ht="14.1" customHeight="1">
      <c r="A114" s="379">
        <f t="shared" si="372"/>
        <v>108</v>
      </c>
      <c r="B114" s="88" t="s">
        <v>95</v>
      </c>
      <c r="C114" s="38">
        <f t="shared" si="408"/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v>0</v>
      </c>
      <c r="AZ114" s="10"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</row>
    <row r="115" spans="1:64" ht="14.1" customHeight="1">
      <c r="A115" s="379">
        <f t="shared" si="372"/>
        <v>109</v>
      </c>
      <c r="B115" s="88" t="s">
        <v>96</v>
      </c>
      <c r="C115" s="38">
        <f t="shared" si="408"/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v>0</v>
      </c>
      <c r="AS115" s="10"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v>0</v>
      </c>
      <c r="AZ115" s="10"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</row>
    <row r="116" spans="1:64" ht="14.1" customHeight="1">
      <c r="A116" s="379">
        <f t="shared" si="372"/>
        <v>110</v>
      </c>
      <c r="B116" s="88" t="s">
        <v>97</v>
      </c>
      <c r="C116" s="38">
        <f t="shared" si="408"/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v>0</v>
      </c>
      <c r="AS116" s="10"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v>0</v>
      </c>
      <c r="AZ116" s="10"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</row>
    <row r="117" spans="1:64" ht="14.1" customHeight="1">
      <c r="A117" s="379">
        <f t="shared" si="372"/>
        <v>111</v>
      </c>
      <c r="B117" s="88" t="s">
        <v>98</v>
      </c>
      <c r="C117" s="38">
        <f t="shared" si="408"/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v>0</v>
      </c>
      <c r="AS117" s="10"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v>0</v>
      </c>
      <c r="AZ117" s="10"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</row>
    <row r="118" spans="1:64" ht="14.1" customHeight="1">
      <c r="A118" s="379">
        <f t="shared" si="372"/>
        <v>112</v>
      </c>
      <c r="B118" s="88" t="s">
        <v>99</v>
      </c>
      <c r="C118" s="38">
        <f t="shared" si="408"/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0">
        <v>0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v>0</v>
      </c>
      <c r="AZ118" s="10"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0</v>
      </c>
      <c r="BL118" s="10">
        <v>0</v>
      </c>
    </row>
    <row r="119" spans="1:64" ht="14.1" customHeight="1">
      <c r="A119" s="379">
        <f t="shared" si="372"/>
        <v>113</v>
      </c>
      <c r="B119" s="88" t="s">
        <v>100</v>
      </c>
      <c r="C119" s="38">
        <f t="shared" si="408"/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v>0</v>
      </c>
      <c r="AS119" s="10"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v>0</v>
      </c>
      <c r="AZ119" s="10"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</row>
    <row r="120" spans="1:64" ht="14.1" customHeight="1">
      <c r="A120" s="379">
        <f t="shared" si="372"/>
        <v>114</v>
      </c>
      <c r="B120" s="88" t="s">
        <v>101</v>
      </c>
      <c r="C120" s="38">
        <f t="shared" si="408"/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v>0</v>
      </c>
      <c r="AS120" s="10"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v>0</v>
      </c>
      <c r="AZ120" s="10"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</row>
    <row r="121" spans="1:64" ht="14.1" customHeight="1">
      <c r="A121" s="379">
        <f t="shared" si="372"/>
        <v>115</v>
      </c>
      <c r="B121" s="88" t="s">
        <v>102</v>
      </c>
      <c r="C121" s="38">
        <f t="shared" si="408"/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v>0</v>
      </c>
      <c r="AZ121" s="10"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</row>
    <row r="122" spans="1:64" ht="14.1" customHeight="1">
      <c r="A122" s="379">
        <f t="shared" si="372"/>
        <v>116</v>
      </c>
      <c r="B122" s="88" t="s">
        <v>103</v>
      </c>
      <c r="C122" s="38">
        <f t="shared" si="408"/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v>0</v>
      </c>
      <c r="AZ122" s="10"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</row>
    <row r="123" spans="1:64" ht="14.1" customHeight="1">
      <c r="A123" s="379">
        <f t="shared" si="372"/>
        <v>117</v>
      </c>
      <c r="B123" s="56" t="s">
        <v>104</v>
      </c>
      <c r="C123" s="38">
        <f t="shared" si="408"/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v>0</v>
      </c>
      <c r="AZ123" s="10"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</row>
    <row r="124" spans="1:64" ht="14.1" customHeight="1">
      <c r="A124" s="379">
        <f t="shared" si="372"/>
        <v>118</v>
      </c>
      <c r="B124" s="2" t="s">
        <v>485</v>
      </c>
      <c r="C124" s="85">
        <f t="shared" ref="C124:K124" si="409">SUM(C113:C123)</f>
        <v>0</v>
      </c>
      <c r="D124" s="85">
        <f t="shared" si="409"/>
        <v>0</v>
      </c>
      <c r="E124" s="85">
        <f t="shared" si="409"/>
        <v>0</v>
      </c>
      <c r="F124" s="85">
        <f t="shared" si="409"/>
        <v>0</v>
      </c>
      <c r="G124" s="85">
        <f t="shared" si="409"/>
        <v>0</v>
      </c>
      <c r="H124" s="85">
        <f t="shared" si="409"/>
        <v>0</v>
      </c>
      <c r="I124" s="85">
        <f t="shared" si="409"/>
        <v>0</v>
      </c>
      <c r="J124" s="85">
        <f t="shared" si="409"/>
        <v>0</v>
      </c>
      <c r="K124" s="85">
        <f t="shared" si="409"/>
        <v>0</v>
      </c>
      <c r="L124" s="85">
        <f t="shared" ref="L124:Y124" si="410">SUM(L113:L123)</f>
        <v>0</v>
      </c>
      <c r="M124" s="85">
        <f t="shared" si="410"/>
        <v>0</v>
      </c>
      <c r="N124" s="85">
        <f t="shared" si="410"/>
        <v>0</v>
      </c>
      <c r="O124" s="85">
        <f t="shared" si="410"/>
        <v>0</v>
      </c>
      <c r="P124" s="85">
        <f t="shared" si="410"/>
        <v>0</v>
      </c>
      <c r="Q124" s="85">
        <f t="shared" si="410"/>
        <v>0</v>
      </c>
      <c r="R124" s="85">
        <f t="shared" si="410"/>
        <v>0</v>
      </c>
      <c r="S124" s="85">
        <f t="shared" si="410"/>
        <v>0</v>
      </c>
      <c r="T124" s="85">
        <f>SUM(T113:T123)</f>
        <v>0</v>
      </c>
      <c r="U124" s="85">
        <f t="shared" si="410"/>
        <v>0</v>
      </c>
      <c r="V124" s="85">
        <f t="shared" si="410"/>
        <v>0</v>
      </c>
      <c r="W124" s="85">
        <f t="shared" si="410"/>
        <v>0</v>
      </c>
      <c r="X124" s="85">
        <f t="shared" si="410"/>
        <v>0</v>
      </c>
      <c r="Y124" s="85">
        <f t="shared" si="410"/>
        <v>0</v>
      </c>
      <c r="Z124" s="85">
        <f>SUM(Z113:Z123)</f>
        <v>0</v>
      </c>
      <c r="AA124" s="85">
        <f>SUM(AA113:AA123)</f>
        <v>0</v>
      </c>
      <c r="AB124" s="85">
        <f>SUM(AB113:AB123)</f>
        <v>0</v>
      </c>
      <c r="AC124" s="85">
        <f t="shared" ref="AC124:AL124" si="411">SUM(AC113:AC123)</f>
        <v>0</v>
      </c>
      <c r="AD124" s="85">
        <f t="shared" si="411"/>
        <v>0</v>
      </c>
      <c r="AE124" s="85">
        <f t="shared" si="411"/>
        <v>0</v>
      </c>
      <c r="AF124" s="85">
        <f t="shared" si="411"/>
        <v>0</v>
      </c>
      <c r="AG124" s="85">
        <f t="shared" si="411"/>
        <v>0</v>
      </c>
      <c r="AH124" s="85">
        <f t="shared" si="411"/>
        <v>0</v>
      </c>
      <c r="AI124" s="85">
        <f t="shared" si="411"/>
        <v>0</v>
      </c>
      <c r="AJ124" s="85">
        <f t="shared" si="411"/>
        <v>0</v>
      </c>
      <c r="AK124" s="85">
        <f t="shared" si="411"/>
        <v>0</v>
      </c>
      <c r="AL124" s="85">
        <f t="shared" si="411"/>
        <v>0</v>
      </c>
      <c r="AM124" s="85">
        <f t="shared" ref="AM124:BB124" si="412">SUM(AM113:AM123)</f>
        <v>0</v>
      </c>
      <c r="AN124" s="85">
        <f t="shared" si="412"/>
        <v>0</v>
      </c>
      <c r="AO124" s="85">
        <f t="shared" si="412"/>
        <v>0</v>
      </c>
      <c r="AP124" s="85">
        <f t="shared" si="412"/>
        <v>0</v>
      </c>
      <c r="AQ124" s="85">
        <f>SUM(AQ113:AQ123)</f>
        <v>0</v>
      </c>
      <c r="AR124" s="85">
        <f>SUM(AR113:AR123)</f>
        <v>0</v>
      </c>
      <c r="AS124" s="85">
        <f t="shared" ref="AS124:AY124" si="413">SUM(AS113:AS123)</f>
        <v>0</v>
      </c>
      <c r="AT124" s="85">
        <f t="shared" si="413"/>
        <v>0</v>
      </c>
      <c r="AU124" s="85">
        <f>SUM(AU113:AU123)</f>
        <v>0</v>
      </c>
      <c r="AV124" s="85">
        <f t="shared" si="413"/>
        <v>0</v>
      </c>
      <c r="AW124" s="85">
        <f t="shared" si="413"/>
        <v>0</v>
      </c>
      <c r="AX124" s="85">
        <f t="shared" si="413"/>
        <v>0</v>
      </c>
      <c r="AY124" s="85">
        <f t="shared" si="413"/>
        <v>0</v>
      </c>
      <c r="AZ124" s="85">
        <f>SUM(AZ113:AZ123)</f>
        <v>0</v>
      </c>
      <c r="BA124" s="85">
        <f t="shared" si="412"/>
        <v>0</v>
      </c>
      <c r="BB124" s="85">
        <f t="shared" si="412"/>
        <v>0</v>
      </c>
      <c r="BC124" s="85">
        <f>SUM(BC113:BC123)</f>
        <v>0</v>
      </c>
      <c r="BD124" s="85">
        <f>SUM(BD113:BD123)</f>
        <v>0</v>
      </c>
      <c r="BE124" s="85">
        <f t="shared" ref="BE124:BG124" si="414">SUM(BE113:BE123)</f>
        <v>0</v>
      </c>
      <c r="BF124" s="85">
        <f t="shared" si="414"/>
        <v>0</v>
      </c>
      <c r="BG124" s="85">
        <f t="shared" si="414"/>
        <v>0</v>
      </c>
      <c r="BH124" s="85">
        <f t="shared" ref="BH124:BL124" si="415">SUM(BH113:BH123)</f>
        <v>0</v>
      </c>
      <c r="BI124" s="85">
        <f t="shared" si="415"/>
        <v>0</v>
      </c>
      <c r="BJ124" s="85">
        <f t="shared" si="415"/>
        <v>0</v>
      </c>
      <c r="BK124" s="85">
        <f t="shared" si="415"/>
        <v>0</v>
      </c>
      <c r="BL124" s="85">
        <f t="shared" si="415"/>
        <v>0</v>
      </c>
    </row>
    <row r="125" spans="1:64" ht="14.1" customHeight="1">
      <c r="A125" s="379">
        <f t="shared" si="372"/>
        <v>119</v>
      </c>
      <c r="B125" s="6"/>
      <c r="C125" s="2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spans="1:64" ht="14.1" customHeight="1">
      <c r="A126" s="379">
        <f t="shared" si="372"/>
        <v>120</v>
      </c>
      <c r="B126" s="3" t="s">
        <v>105</v>
      </c>
      <c r="C126" s="1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</row>
    <row r="127" spans="1:64" ht="14.1" customHeight="1">
      <c r="A127" s="379">
        <f t="shared" si="372"/>
        <v>121</v>
      </c>
      <c r="B127" s="88" t="s">
        <v>106</v>
      </c>
      <c r="C127" s="38">
        <f t="shared" ref="C127:C141" si="416">SUM(D127:BI127)</f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v>0</v>
      </c>
      <c r="AZ127" s="10">
        <v>0</v>
      </c>
      <c r="BA127" s="10">
        <v>0</v>
      </c>
      <c r="BB127" s="10">
        <v>0</v>
      </c>
      <c r="BC127" s="10">
        <v>0</v>
      </c>
      <c r="BD127" s="10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</row>
    <row r="128" spans="1:64" ht="14.1" customHeight="1">
      <c r="A128" s="379">
        <f t="shared" si="372"/>
        <v>122</v>
      </c>
      <c r="B128" s="88" t="s">
        <v>107</v>
      </c>
      <c r="C128" s="38">
        <f t="shared" si="416"/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v>0</v>
      </c>
      <c r="AZ128" s="10">
        <v>0</v>
      </c>
      <c r="BA128" s="10">
        <v>0</v>
      </c>
      <c r="BB128" s="10">
        <v>0</v>
      </c>
      <c r="BC128" s="10">
        <v>0</v>
      </c>
      <c r="BD128" s="10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</row>
    <row r="129" spans="1:64" ht="14.1" customHeight="1">
      <c r="A129" s="379">
        <f t="shared" si="372"/>
        <v>123</v>
      </c>
      <c r="B129" s="88" t="s">
        <v>108</v>
      </c>
      <c r="C129" s="38">
        <f t="shared" si="416"/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v>0</v>
      </c>
      <c r="AZ129" s="10">
        <v>0</v>
      </c>
      <c r="BA129" s="10">
        <v>0</v>
      </c>
      <c r="BB129" s="10">
        <v>0</v>
      </c>
      <c r="BC129" s="10">
        <v>0</v>
      </c>
      <c r="BD129" s="10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</row>
    <row r="130" spans="1:64" ht="14.1" customHeight="1">
      <c r="A130" s="379">
        <f t="shared" si="372"/>
        <v>124</v>
      </c>
      <c r="B130" s="88" t="s">
        <v>109</v>
      </c>
      <c r="C130" s="38">
        <f t="shared" si="416"/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v>0</v>
      </c>
      <c r="AS130" s="10"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v>0</v>
      </c>
      <c r="AZ130" s="10">
        <v>0</v>
      </c>
      <c r="BA130" s="10">
        <v>0</v>
      </c>
      <c r="BB130" s="10">
        <v>0</v>
      </c>
      <c r="BC130" s="10">
        <v>0</v>
      </c>
      <c r="BD130" s="10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</row>
    <row r="131" spans="1:64" ht="14.1" customHeight="1">
      <c r="A131" s="379">
        <f t="shared" si="372"/>
        <v>125</v>
      </c>
      <c r="B131" s="88" t="s">
        <v>110</v>
      </c>
      <c r="C131" s="38">
        <f t="shared" si="416"/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v>0</v>
      </c>
      <c r="AS131" s="10"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v>0</v>
      </c>
      <c r="AZ131" s="10">
        <v>0</v>
      </c>
      <c r="BA131" s="10">
        <v>0</v>
      </c>
      <c r="BB131" s="10">
        <v>0</v>
      </c>
      <c r="BC131" s="10">
        <v>0</v>
      </c>
      <c r="BD131" s="10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</row>
    <row r="132" spans="1:64" ht="14.1" customHeight="1">
      <c r="A132" s="379">
        <f t="shared" si="372"/>
        <v>126</v>
      </c>
      <c r="B132" s="88" t="s">
        <v>111</v>
      </c>
      <c r="C132" s="38">
        <f t="shared" si="416"/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v>0</v>
      </c>
      <c r="AS132" s="10"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v>0</v>
      </c>
      <c r="AZ132" s="10">
        <v>0</v>
      </c>
      <c r="BA132" s="10">
        <v>0</v>
      </c>
      <c r="BB132" s="10">
        <v>0</v>
      </c>
      <c r="BC132" s="10">
        <v>0</v>
      </c>
      <c r="BD132" s="10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</row>
    <row r="133" spans="1:64" ht="14.1" customHeight="1">
      <c r="A133" s="379">
        <f t="shared" si="372"/>
        <v>127</v>
      </c>
      <c r="B133" s="88" t="s">
        <v>112</v>
      </c>
      <c r="C133" s="38">
        <f t="shared" si="416"/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10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</row>
    <row r="134" spans="1:64" ht="14.1" customHeight="1">
      <c r="A134" s="379">
        <f t="shared" si="372"/>
        <v>128</v>
      </c>
      <c r="B134" s="88" t="s">
        <v>113</v>
      </c>
      <c r="C134" s="38">
        <f t="shared" si="416"/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v>0</v>
      </c>
      <c r="AZ134" s="10">
        <v>0</v>
      </c>
      <c r="BA134" s="10">
        <v>0</v>
      </c>
      <c r="BB134" s="10">
        <v>0</v>
      </c>
      <c r="BC134" s="10">
        <v>0</v>
      </c>
      <c r="BD134" s="10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</row>
    <row r="135" spans="1:64" ht="14.1" customHeight="1">
      <c r="A135" s="379">
        <f t="shared" si="372"/>
        <v>129</v>
      </c>
      <c r="B135" s="88" t="s">
        <v>114</v>
      </c>
      <c r="C135" s="38">
        <f t="shared" si="416"/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0</v>
      </c>
      <c r="AS135" s="10">
        <v>0</v>
      </c>
      <c r="AT135" s="10">
        <v>0</v>
      </c>
      <c r="AU135" s="10">
        <v>0</v>
      </c>
      <c r="AV135" s="10">
        <v>0</v>
      </c>
      <c r="AW135" s="10">
        <v>0</v>
      </c>
      <c r="AX135" s="10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10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</row>
    <row r="136" spans="1:64" ht="14.1" customHeight="1">
      <c r="A136" s="379">
        <f t="shared" si="372"/>
        <v>130</v>
      </c>
      <c r="B136" s="88" t="s">
        <v>115</v>
      </c>
      <c r="C136" s="38">
        <f t="shared" si="416"/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0">
        <v>0</v>
      </c>
      <c r="AZ136" s="10">
        <v>0</v>
      </c>
      <c r="BA136" s="10">
        <v>0</v>
      </c>
      <c r="BB136" s="10">
        <v>0</v>
      </c>
      <c r="BC136" s="10">
        <v>0</v>
      </c>
      <c r="BD136" s="10">
        <v>0</v>
      </c>
      <c r="BE136" s="10">
        <v>0</v>
      </c>
      <c r="BF136" s="10">
        <v>0</v>
      </c>
      <c r="BG136" s="10">
        <v>0</v>
      </c>
      <c r="BH136" s="10">
        <v>0</v>
      </c>
      <c r="BI136" s="10">
        <v>0</v>
      </c>
      <c r="BJ136" s="10">
        <v>0</v>
      </c>
      <c r="BK136" s="10">
        <v>0</v>
      </c>
      <c r="BL136" s="10">
        <v>0</v>
      </c>
    </row>
    <row r="137" spans="1:64" ht="14.1" customHeight="1">
      <c r="A137" s="379">
        <f t="shared" si="372"/>
        <v>131</v>
      </c>
      <c r="B137" s="88" t="s">
        <v>116</v>
      </c>
      <c r="C137" s="38">
        <f t="shared" si="416"/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0</v>
      </c>
      <c r="AQ137" s="10">
        <v>0</v>
      </c>
      <c r="AR137" s="10">
        <v>0</v>
      </c>
      <c r="AS137" s="10">
        <v>0</v>
      </c>
      <c r="AT137" s="10">
        <v>0</v>
      </c>
      <c r="AU137" s="10">
        <v>0</v>
      </c>
      <c r="AV137" s="10">
        <v>0</v>
      </c>
      <c r="AW137" s="10">
        <v>0</v>
      </c>
      <c r="AX137" s="10">
        <v>0</v>
      </c>
      <c r="AY137" s="10">
        <v>0</v>
      </c>
      <c r="AZ137" s="10">
        <v>0</v>
      </c>
      <c r="BA137" s="10">
        <v>0</v>
      </c>
      <c r="BB137" s="10">
        <v>0</v>
      </c>
      <c r="BC137" s="10">
        <v>0</v>
      </c>
      <c r="BD137" s="10">
        <v>0</v>
      </c>
      <c r="BE137" s="10">
        <v>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0</v>
      </c>
      <c r="BL137" s="10">
        <v>0</v>
      </c>
    </row>
    <row r="138" spans="1:64" ht="14.1" customHeight="1">
      <c r="A138" s="379">
        <f t="shared" si="372"/>
        <v>132</v>
      </c>
      <c r="B138" s="88" t="s">
        <v>117</v>
      </c>
      <c r="C138" s="38">
        <f t="shared" si="416"/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0</v>
      </c>
      <c r="AX138" s="10">
        <v>0</v>
      </c>
      <c r="AY138" s="10">
        <v>0</v>
      </c>
      <c r="AZ138" s="10">
        <v>0</v>
      </c>
      <c r="BA138" s="10">
        <v>0</v>
      </c>
      <c r="BB138" s="10">
        <v>0</v>
      </c>
      <c r="BC138" s="10">
        <v>0</v>
      </c>
      <c r="BD138" s="10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0</v>
      </c>
      <c r="BL138" s="10">
        <v>0</v>
      </c>
    </row>
    <row r="139" spans="1:64" ht="14.1" customHeight="1">
      <c r="A139" s="379">
        <f t="shared" si="372"/>
        <v>133</v>
      </c>
      <c r="B139" s="88" t="s">
        <v>118</v>
      </c>
      <c r="C139" s="38">
        <f t="shared" si="416"/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0</v>
      </c>
      <c r="AW139" s="10">
        <v>0</v>
      </c>
      <c r="AX139" s="10">
        <v>0</v>
      </c>
      <c r="AY139" s="10">
        <v>0</v>
      </c>
      <c r="AZ139" s="10">
        <v>0</v>
      </c>
      <c r="BA139" s="10">
        <v>0</v>
      </c>
      <c r="BB139" s="10">
        <v>0</v>
      </c>
      <c r="BC139" s="10">
        <v>0</v>
      </c>
      <c r="BD139" s="10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</row>
    <row r="140" spans="1:64" ht="14.1" customHeight="1">
      <c r="A140" s="379">
        <f t="shared" si="372"/>
        <v>134</v>
      </c>
      <c r="B140" s="88" t="s">
        <v>119</v>
      </c>
      <c r="C140" s="38">
        <f t="shared" si="416"/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10">
        <v>0</v>
      </c>
      <c r="AS140" s="10">
        <v>0</v>
      </c>
      <c r="AT140" s="10">
        <v>0</v>
      </c>
      <c r="AU140" s="10">
        <v>0</v>
      </c>
      <c r="AV140" s="10">
        <v>0</v>
      </c>
      <c r="AW140" s="10">
        <v>0</v>
      </c>
      <c r="AX140" s="10">
        <v>0</v>
      </c>
      <c r="AY140" s="10">
        <v>0</v>
      </c>
      <c r="AZ140" s="10">
        <v>0</v>
      </c>
      <c r="BA140" s="10">
        <v>0</v>
      </c>
      <c r="BB140" s="10">
        <v>0</v>
      </c>
      <c r="BC140" s="10">
        <v>0</v>
      </c>
      <c r="BD140" s="10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</row>
    <row r="141" spans="1:64" ht="14.1" customHeight="1">
      <c r="A141" s="379">
        <f t="shared" ref="A141:A204" si="417">+A140+1</f>
        <v>135</v>
      </c>
      <c r="B141" s="56" t="s">
        <v>120</v>
      </c>
      <c r="C141" s="38">
        <f t="shared" si="416"/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0</v>
      </c>
      <c r="AR141" s="10">
        <v>0</v>
      </c>
      <c r="AS141" s="10">
        <v>0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0">
        <v>0</v>
      </c>
      <c r="AZ141" s="10">
        <v>0</v>
      </c>
      <c r="BA141" s="10">
        <v>0</v>
      </c>
      <c r="BB141" s="10">
        <v>0</v>
      </c>
      <c r="BC141" s="10">
        <v>0</v>
      </c>
      <c r="BD141" s="10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0</v>
      </c>
    </row>
    <row r="142" spans="1:64" ht="14.1" customHeight="1">
      <c r="A142" s="379">
        <f t="shared" si="417"/>
        <v>136</v>
      </c>
      <c r="B142" s="2" t="s">
        <v>486</v>
      </c>
      <c r="C142" s="85">
        <f t="shared" ref="C142:K142" si="418">SUM(C127:C141)</f>
        <v>0</v>
      </c>
      <c r="D142" s="85">
        <f t="shared" si="418"/>
        <v>0</v>
      </c>
      <c r="E142" s="85">
        <f t="shared" si="418"/>
        <v>0</v>
      </c>
      <c r="F142" s="85">
        <f t="shared" si="418"/>
        <v>0</v>
      </c>
      <c r="G142" s="85">
        <f t="shared" si="418"/>
        <v>0</v>
      </c>
      <c r="H142" s="85">
        <f t="shared" si="418"/>
        <v>0</v>
      </c>
      <c r="I142" s="85">
        <f t="shared" si="418"/>
        <v>0</v>
      </c>
      <c r="J142" s="85">
        <f t="shared" si="418"/>
        <v>0</v>
      </c>
      <c r="K142" s="85">
        <f t="shared" si="418"/>
        <v>0</v>
      </c>
      <c r="L142" s="85">
        <f t="shared" ref="L142:Y142" si="419">SUM(L127:L141)</f>
        <v>0</v>
      </c>
      <c r="M142" s="85">
        <f t="shared" si="419"/>
        <v>0</v>
      </c>
      <c r="N142" s="85">
        <f t="shared" si="419"/>
        <v>0</v>
      </c>
      <c r="O142" s="85">
        <f t="shared" si="419"/>
        <v>0</v>
      </c>
      <c r="P142" s="85">
        <f t="shared" si="419"/>
        <v>0</v>
      </c>
      <c r="Q142" s="85">
        <f t="shared" si="419"/>
        <v>0</v>
      </c>
      <c r="R142" s="85">
        <f t="shared" si="419"/>
        <v>0</v>
      </c>
      <c r="S142" s="85">
        <f t="shared" si="419"/>
        <v>0</v>
      </c>
      <c r="T142" s="85">
        <f>SUM(T127:T141)</f>
        <v>0</v>
      </c>
      <c r="U142" s="85">
        <f t="shared" si="419"/>
        <v>0</v>
      </c>
      <c r="V142" s="85">
        <f t="shared" si="419"/>
        <v>0</v>
      </c>
      <c r="W142" s="85">
        <f t="shared" si="419"/>
        <v>0</v>
      </c>
      <c r="X142" s="85">
        <f t="shared" si="419"/>
        <v>0</v>
      </c>
      <c r="Y142" s="85">
        <f t="shared" si="419"/>
        <v>0</v>
      </c>
      <c r="Z142" s="85">
        <f t="shared" ref="Z142:AE142" si="420">SUM(Z127:Z141)</f>
        <v>0</v>
      </c>
      <c r="AA142" s="85">
        <f t="shared" si="420"/>
        <v>0</v>
      </c>
      <c r="AB142" s="85">
        <f t="shared" si="420"/>
        <v>0</v>
      </c>
      <c r="AC142" s="85">
        <f t="shared" si="420"/>
        <v>0</v>
      </c>
      <c r="AD142" s="85">
        <f t="shared" si="420"/>
        <v>0</v>
      </c>
      <c r="AE142" s="85">
        <f t="shared" si="420"/>
        <v>0</v>
      </c>
      <c r="AF142" s="85">
        <f t="shared" ref="AF142:AL142" si="421">SUM(AF127:AF141)</f>
        <v>0</v>
      </c>
      <c r="AG142" s="85">
        <f t="shared" si="421"/>
        <v>0</v>
      </c>
      <c r="AH142" s="85">
        <f t="shared" si="421"/>
        <v>0</v>
      </c>
      <c r="AI142" s="85">
        <f t="shared" si="421"/>
        <v>0</v>
      </c>
      <c r="AJ142" s="85">
        <f t="shared" si="421"/>
        <v>0</v>
      </c>
      <c r="AK142" s="85">
        <f t="shared" si="421"/>
        <v>0</v>
      </c>
      <c r="AL142" s="85">
        <f t="shared" si="421"/>
        <v>0</v>
      </c>
      <c r="AM142" s="85">
        <f t="shared" ref="AM142:BB142" si="422">SUM(AM127:AM141)</f>
        <v>0</v>
      </c>
      <c r="AN142" s="85">
        <f t="shared" si="422"/>
        <v>0</v>
      </c>
      <c r="AO142" s="85">
        <f t="shared" si="422"/>
        <v>0</v>
      </c>
      <c r="AP142" s="85">
        <f t="shared" si="422"/>
        <v>0</v>
      </c>
      <c r="AQ142" s="85">
        <f>SUM(AQ127:AQ141)</f>
        <v>0</v>
      </c>
      <c r="AR142" s="85">
        <f>SUM(AR127:AR141)</f>
        <v>0</v>
      </c>
      <c r="AS142" s="85">
        <f t="shared" ref="AS142:AY142" si="423">SUM(AS127:AS141)</f>
        <v>0</v>
      </c>
      <c r="AT142" s="85">
        <f t="shared" si="423"/>
        <v>0</v>
      </c>
      <c r="AU142" s="85">
        <f>SUM(AU127:AU141)</f>
        <v>0</v>
      </c>
      <c r="AV142" s="85">
        <f t="shared" si="423"/>
        <v>0</v>
      </c>
      <c r="AW142" s="85">
        <f t="shared" si="423"/>
        <v>0</v>
      </c>
      <c r="AX142" s="85">
        <f t="shared" si="423"/>
        <v>0</v>
      </c>
      <c r="AY142" s="85">
        <f t="shared" si="423"/>
        <v>0</v>
      </c>
      <c r="AZ142" s="85">
        <f>SUM(AZ127:AZ141)</f>
        <v>0</v>
      </c>
      <c r="BA142" s="85">
        <f t="shared" si="422"/>
        <v>0</v>
      </c>
      <c r="BB142" s="85">
        <f t="shared" si="422"/>
        <v>0</v>
      </c>
      <c r="BC142" s="85">
        <f>SUM(BC127:BC141)</f>
        <v>0</v>
      </c>
      <c r="BD142" s="85">
        <f>SUM(BD127:BD141)</f>
        <v>0</v>
      </c>
      <c r="BE142" s="85">
        <f t="shared" ref="BE142:BG142" si="424">SUM(BE127:BE141)</f>
        <v>0</v>
      </c>
      <c r="BF142" s="85">
        <f t="shared" si="424"/>
        <v>0</v>
      </c>
      <c r="BG142" s="85">
        <f t="shared" si="424"/>
        <v>0</v>
      </c>
      <c r="BH142" s="85">
        <f t="shared" ref="BH142:BL142" si="425">SUM(BH127:BH141)</f>
        <v>0</v>
      </c>
      <c r="BI142" s="85">
        <f t="shared" si="425"/>
        <v>0</v>
      </c>
      <c r="BJ142" s="85">
        <f t="shared" si="425"/>
        <v>0</v>
      </c>
      <c r="BK142" s="85">
        <f t="shared" si="425"/>
        <v>0</v>
      </c>
      <c r="BL142" s="85">
        <f t="shared" si="425"/>
        <v>0</v>
      </c>
    </row>
    <row r="143" spans="1:64" ht="14.1" customHeight="1">
      <c r="A143" s="379">
        <f t="shared" si="417"/>
        <v>137</v>
      </c>
      <c r="B143" s="6"/>
      <c r="C143" s="2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</row>
    <row r="144" spans="1:64" ht="14.1" customHeight="1">
      <c r="A144" s="379">
        <f t="shared" si="417"/>
        <v>138</v>
      </c>
      <c r="B144" s="3" t="s">
        <v>121</v>
      </c>
      <c r="C144" s="1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</row>
    <row r="145" spans="1:64" ht="14.1" customHeight="1">
      <c r="A145" s="379">
        <f t="shared" si="417"/>
        <v>139</v>
      </c>
      <c r="B145" s="88" t="s">
        <v>122</v>
      </c>
      <c r="C145" s="38">
        <f t="shared" ref="C145:C156" si="426">SUM(D145:BI145)</f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0</v>
      </c>
      <c r="AQ145" s="10">
        <v>0</v>
      </c>
      <c r="AR145" s="10">
        <v>0</v>
      </c>
      <c r="AS145" s="10">
        <v>0</v>
      </c>
      <c r="AT145" s="10">
        <v>0</v>
      </c>
      <c r="AU145" s="10">
        <v>0</v>
      </c>
      <c r="AV145" s="10">
        <v>0</v>
      </c>
      <c r="AW145" s="10">
        <v>0</v>
      </c>
      <c r="AX145" s="10">
        <v>0</v>
      </c>
      <c r="AY145" s="10">
        <v>0</v>
      </c>
      <c r="AZ145" s="10">
        <v>0</v>
      </c>
      <c r="BA145" s="10">
        <v>0</v>
      </c>
      <c r="BB145" s="10">
        <v>0</v>
      </c>
      <c r="BC145" s="10">
        <v>0</v>
      </c>
      <c r="BD145" s="10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</row>
    <row r="146" spans="1:64" ht="14.1" customHeight="1">
      <c r="A146" s="379">
        <f t="shared" si="417"/>
        <v>140</v>
      </c>
      <c r="B146" s="88" t="s">
        <v>123</v>
      </c>
      <c r="C146" s="38">
        <f t="shared" si="426"/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10">
        <v>0</v>
      </c>
      <c r="AS146" s="10">
        <v>0</v>
      </c>
      <c r="AT146" s="10">
        <v>0</v>
      </c>
      <c r="AU146" s="10">
        <v>0</v>
      </c>
      <c r="AV146" s="10">
        <v>0</v>
      </c>
      <c r="AW146" s="10">
        <v>0</v>
      </c>
      <c r="AX146" s="10">
        <v>0</v>
      </c>
      <c r="AY146" s="10">
        <v>0</v>
      </c>
      <c r="AZ146" s="10">
        <v>0</v>
      </c>
      <c r="BA146" s="10">
        <v>0</v>
      </c>
      <c r="BB146" s="10">
        <v>0</v>
      </c>
      <c r="BC146" s="10">
        <v>0</v>
      </c>
      <c r="BD146" s="10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</row>
    <row r="147" spans="1:64" ht="14.1" customHeight="1">
      <c r="A147" s="379">
        <f t="shared" si="417"/>
        <v>141</v>
      </c>
      <c r="B147" s="88" t="s">
        <v>124</v>
      </c>
      <c r="C147" s="38">
        <f t="shared" si="426"/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0</v>
      </c>
      <c r="AV147" s="10">
        <v>0</v>
      </c>
      <c r="AW147" s="10">
        <v>0</v>
      </c>
      <c r="AX147" s="10">
        <v>0</v>
      </c>
      <c r="AY147" s="10">
        <v>0</v>
      </c>
      <c r="AZ147" s="10">
        <v>0</v>
      </c>
      <c r="BA147" s="10">
        <v>0</v>
      </c>
      <c r="BB147" s="10">
        <v>0</v>
      </c>
      <c r="BC147" s="10">
        <v>0</v>
      </c>
      <c r="BD147" s="10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</row>
    <row r="148" spans="1:64" ht="14.1" customHeight="1">
      <c r="A148" s="379">
        <f t="shared" si="417"/>
        <v>142</v>
      </c>
      <c r="B148" s="88" t="s">
        <v>125</v>
      </c>
      <c r="C148" s="38">
        <f t="shared" si="426"/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0</v>
      </c>
      <c r="AQ148" s="10">
        <v>0</v>
      </c>
      <c r="AR148" s="10">
        <v>0</v>
      </c>
      <c r="AS148" s="10">
        <v>0</v>
      </c>
      <c r="AT148" s="10">
        <v>0</v>
      </c>
      <c r="AU148" s="10">
        <v>0</v>
      </c>
      <c r="AV148" s="10">
        <v>0</v>
      </c>
      <c r="AW148" s="10">
        <v>0</v>
      </c>
      <c r="AX148" s="10">
        <v>0</v>
      </c>
      <c r="AY148" s="10">
        <v>0</v>
      </c>
      <c r="AZ148" s="10">
        <v>0</v>
      </c>
      <c r="BA148" s="10">
        <v>0</v>
      </c>
      <c r="BB148" s="10">
        <v>0</v>
      </c>
      <c r="BC148" s="10">
        <v>0</v>
      </c>
      <c r="BD148" s="10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0</v>
      </c>
      <c r="BL148" s="10">
        <v>0</v>
      </c>
    </row>
    <row r="149" spans="1:64" ht="14.1" customHeight="1">
      <c r="A149" s="379">
        <f t="shared" si="417"/>
        <v>143</v>
      </c>
      <c r="B149" s="88" t="s">
        <v>126</v>
      </c>
      <c r="C149" s="38">
        <f t="shared" si="426"/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0</v>
      </c>
      <c r="AW149" s="10">
        <v>0</v>
      </c>
      <c r="AX149" s="10">
        <v>0</v>
      </c>
      <c r="AY149" s="10">
        <v>0</v>
      </c>
      <c r="AZ149" s="10">
        <v>0</v>
      </c>
      <c r="BA149" s="10">
        <v>0</v>
      </c>
      <c r="BB149" s="10">
        <v>0</v>
      </c>
      <c r="BC149" s="10">
        <v>0</v>
      </c>
      <c r="BD149" s="10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</row>
    <row r="150" spans="1:64" ht="14.1" customHeight="1">
      <c r="A150" s="379">
        <f t="shared" si="417"/>
        <v>144</v>
      </c>
      <c r="B150" s="88" t="s">
        <v>127</v>
      </c>
      <c r="C150" s="38">
        <f t="shared" si="426"/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10">
        <v>0</v>
      </c>
      <c r="AS150" s="10">
        <v>0</v>
      </c>
      <c r="AT150" s="10">
        <v>0</v>
      </c>
      <c r="AU150" s="10">
        <v>0</v>
      </c>
      <c r="AV150" s="10">
        <v>0</v>
      </c>
      <c r="AW150" s="10">
        <v>0</v>
      </c>
      <c r="AX150" s="10">
        <v>0</v>
      </c>
      <c r="AY150" s="10">
        <v>0</v>
      </c>
      <c r="AZ150" s="10">
        <v>0</v>
      </c>
      <c r="BA150" s="10">
        <v>0</v>
      </c>
      <c r="BB150" s="10">
        <v>0</v>
      </c>
      <c r="BC150" s="10">
        <v>0</v>
      </c>
      <c r="BD150" s="10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</row>
    <row r="151" spans="1:64" ht="14.1" customHeight="1">
      <c r="A151" s="379">
        <f t="shared" si="417"/>
        <v>145</v>
      </c>
      <c r="B151" s="88" t="s">
        <v>128</v>
      </c>
      <c r="C151" s="38">
        <f t="shared" si="426"/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10">
        <v>0</v>
      </c>
      <c r="AX151" s="10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10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</row>
    <row r="152" spans="1:64" ht="14.1" customHeight="1">
      <c r="A152" s="379">
        <f t="shared" si="417"/>
        <v>146</v>
      </c>
      <c r="B152" s="88" t="s">
        <v>129</v>
      </c>
      <c r="C152" s="38">
        <f t="shared" si="426"/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0">
        <v>0</v>
      </c>
      <c r="AZ152" s="10">
        <v>0</v>
      </c>
      <c r="BA152" s="10">
        <v>0</v>
      </c>
      <c r="BB152" s="10">
        <v>0</v>
      </c>
      <c r="BC152" s="10">
        <v>0</v>
      </c>
      <c r="BD152" s="10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</row>
    <row r="153" spans="1:64" ht="14.1" customHeight="1">
      <c r="A153" s="379">
        <f t="shared" si="417"/>
        <v>147</v>
      </c>
      <c r="B153" s="88" t="s">
        <v>130</v>
      </c>
      <c r="C153" s="38">
        <f t="shared" si="426"/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0</v>
      </c>
      <c r="AU153" s="10">
        <v>0</v>
      </c>
      <c r="AV153" s="10">
        <v>0</v>
      </c>
      <c r="AW153" s="10">
        <v>0</v>
      </c>
      <c r="AX153" s="10">
        <v>0</v>
      </c>
      <c r="AY153" s="10">
        <v>0</v>
      </c>
      <c r="AZ153" s="10">
        <v>0</v>
      </c>
      <c r="BA153" s="10">
        <v>0</v>
      </c>
      <c r="BB153" s="10">
        <v>0</v>
      </c>
      <c r="BC153" s="10">
        <v>0</v>
      </c>
      <c r="BD153" s="10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</row>
    <row r="154" spans="1:64" ht="14.1" customHeight="1">
      <c r="A154" s="379">
        <f t="shared" si="417"/>
        <v>148</v>
      </c>
      <c r="B154" s="88" t="s">
        <v>131</v>
      </c>
      <c r="C154" s="38">
        <f t="shared" si="426"/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0</v>
      </c>
      <c r="AW154" s="10">
        <v>0</v>
      </c>
      <c r="AX154" s="10">
        <v>0</v>
      </c>
      <c r="AY154" s="10">
        <v>0</v>
      </c>
      <c r="AZ154" s="10">
        <v>0</v>
      </c>
      <c r="BA154" s="10">
        <v>0</v>
      </c>
      <c r="BB154" s="10">
        <v>0</v>
      </c>
      <c r="BC154" s="10">
        <v>0</v>
      </c>
      <c r="BD154" s="10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</row>
    <row r="155" spans="1:64" ht="14.1" customHeight="1">
      <c r="A155" s="379">
        <f t="shared" si="417"/>
        <v>149</v>
      </c>
      <c r="B155" s="88" t="s">
        <v>132</v>
      </c>
      <c r="C155" s="38">
        <f t="shared" si="426"/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0</v>
      </c>
      <c r="AQ155" s="10">
        <v>0</v>
      </c>
      <c r="AR155" s="10">
        <v>0</v>
      </c>
      <c r="AS155" s="10">
        <v>0</v>
      </c>
      <c r="AT155" s="10">
        <v>0</v>
      </c>
      <c r="AU155" s="10">
        <v>0</v>
      </c>
      <c r="AV155" s="10">
        <v>0</v>
      </c>
      <c r="AW155" s="10">
        <v>0</v>
      </c>
      <c r="AX155" s="10">
        <v>0</v>
      </c>
      <c r="AY155" s="10">
        <v>0</v>
      </c>
      <c r="AZ155" s="10">
        <v>0</v>
      </c>
      <c r="BA155" s="10">
        <v>0</v>
      </c>
      <c r="BB155" s="10">
        <v>0</v>
      </c>
      <c r="BC155" s="10">
        <v>0</v>
      </c>
      <c r="BD155" s="10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0</v>
      </c>
    </row>
    <row r="156" spans="1:64" ht="14.1" customHeight="1">
      <c r="A156" s="379">
        <f t="shared" si="417"/>
        <v>150</v>
      </c>
      <c r="B156" s="56" t="s">
        <v>133</v>
      </c>
      <c r="C156" s="38">
        <f t="shared" si="426"/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0</v>
      </c>
      <c r="AW156" s="10">
        <v>0</v>
      </c>
      <c r="AX156" s="10">
        <v>0</v>
      </c>
      <c r="AY156" s="10">
        <v>0</v>
      </c>
      <c r="AZ156" s="10">
        <v>0</v>
      </c>
      <c r="BA156" s="10">
        <v>0</v>
      </c>
      <c r="BB156" s="10">
        <v>0</v>
      </c>
      <c r="BC156" s="10">
        <v>0</v>
      </c>
      <c r="BD156" s="10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</row>
    <row r="157" spans="1:64" ht="14.1" customHeight="1">
      <c r="A157" s="379">
        <f t="shared" si="417"/>
        <v>151</v>
      </c>
      <c r="B157" s="90" t="s">
        <v>487</v>
      </c>
      <c r="C157" s="85">
        <f t="shared" ref="C157:K157" si="427">SUM(C145:C156)</f>
        <v>0</v>
      </c>
      <c r="D157" s="85">
        <f t="shared" si="427"/>
        <v>0</v>
      </c>
      <c r="E157" s="85">
        <f t="shared" si="427"/>
        <v>0</v>
      </c>
      <c r="F157" s="85">
        <f t="shared" si="427"/>
        <v>0</v>
      </c>
      <c r="G157" s="85">
        <f t="shared" si="427"/>
        <v>0</v>
      </c>
      <c r="H157" s="85">
        <f t="shared" si="427"/>
        <v>0</v>
      </c>
      <c r="I157" s="85">
        <f t="shared" si="427"/>
        <v>0</v>
      </c>
      <c r="J157" s="85">
        <f t="shared" si="427"/>
        <v>0</v>
      </c>
      <c r="K157" s="85">
        <f t="shared" si="427"/>
        <v>0</v>
      </c>
      <c r="L157" s="85">
        <f t="shared" ref="L157:Y157" si="428">SUM(L145:L156)</f>
        <v>0</v>
      </c>
      <c r="M157" s="85">
        <f t="shared" si="428"/>
        <v>0</v>
      </c>
      <c r="N157" s="85">
        <f t="shared" si="428"/>
        <v>0</v>
      </c>
      <c r="O157" s="85">
        <f t="shared" si="428"/>
        <v>0</v>
      </c>
      <c r="P157" s="85">
        <f t="shared" si="428"/>
        <v>0</v>
      </c>
      <c r="Q157" s="85">
        <f t="shared" si="428"/>
        <v>0</v>
      </c>
      <c r="R157" s="85">
        <f t="shared" si="428"/>
        <v>0</v>
      </c>
      <c r="S157" s="85">
        <f t="shared" si="428"/>
        <v>0</v>
      </c>
      <c r="T157" s="85">
        <f>SUM(T145:T156)</f>
        <v>0</v>
      </c>
      <c r="U157" s="85">
        <f t="shared" si="428"/>
        <v>0</v>
      </c>
      <c r="V157" s="85">
        <f t="shared" si="428"/>
        <v>0</v>
      </c>
      <c r="W157" s="85">
        <f t="shared" si="428"/>
        <v>0</v>
      </c>
      <c r="X157" s="85">
        <f t="shared" si="428"/>
        <v>0</v>
      </c>
      <c r="Y157" s="85">
        <f t="shared" si="428"/>
        <v>0</v>
      </c>
      <c r="Z157" s="85">
        <f t="shared" ref="Z157:AE157" si="429">SUM(Z145:Z156)</f>
        <v>0</v>
      </c>
      <c r="AA157" s="85">
        <f t="shared" si="429"/>
        <v>0</v>
      </c>
      <c r="AB157" s="85">
        <f t="shared" si="429"/>
        <v>0</v>
      </c>
      <c r="AC157" s="85">
        <f t="shared" si="429"/>
        <v>0</v>
      </c>
      <c r="AD157" s="85">
        <f t="shared" si="429"/>
        <v>0</v>
      </c>
      <c r="AE157" s="85">
        <f t="shared" si="429"/>
        <v>0</v>
      </c>
      <c r="AF157" s="85">
        <f t="shared" ref="AF157:AL157" si="430">SUM(AF145:AF156)</f>
        <v>0</v>
      </c>
      <c r="AG157" s="85">
        <f t="shared" si="430"/>
        <v>0</v>
      </c>
      <c r="AH157" s="85">
        <f t="shared" si="430"/>
        <v>0</v>
      </c>
      <c r="AI157" s="85">
        <f t="shared" si="430"/>
        <v>0</v>
      </c>
      <c r="AJ157" s="85">
        <f t="shared" si="430"/>
        <v>0</v>
      </c>
      <c r="AK157" s="85">
        <f t="shared" si="430"/>
        <v>0</v>
      </c>
      <c r="AL157" s="85">
        <f t="shared" si="430"/>
        <v>0</v>
      </c>
      <c r="AM157" s="85">
        <f t="shared" ref="AM157:BB157" si="431">SUM(AM145:AM156)</f>
        <v>0</v>
      </c>
      <c r="AN157" s="85">
        <f t="shared" si="431"/>
        <v>0</v>
      </c>
      <c r="AO157" s="85">
        <f t="shared" si="431"/>
        <v>0</v>
      </c>
      <c r="AP157" s="85">
        <f t="shared" si="431"/>
        <v>0</v>
      </c>
      <c r="AQ157" s="85">
        <f>SUM(AQ145:AQ156)</f>
        <v>0</v>
      </c>
      <c r="AR157" s="85">
        <f>SUM(AR145:AR156)</f>
        <v>0</v>
      </c>
      <c r="AS157" s="85">
        <f t="shared" ref="AS157:AY157" si="432">SUM(AS145:AS156)</f>
        <v>0</v>
      </c>
      <c r="AT157" s="85">
        <f t="shared" si="432"/>
        <v>0</v>
      </c>
      <c r="AU157" s="85">
        <f>SUM(AU145:AU156)</f>
        <v>0</v>
      </c>
      <c r="AV157" s="85">
        <f t="shared" si="432"/>
        <v>0</v>
      </c>
      <c r="AW157" s="85">
        <f t="shared" si="432"/>
        <v>0</v>
      </c>
      <c r="AX157" s="85">
        <f t="shared" si="432"/>
        <v>0</v>
      </c>
      <c r="AY157" s="85">
        <f t="shared" si="432"/>
        <v>0</v>
      </c>
      <c r="AZ157" s="85">
        <f>SUM(AZ145:AZ156)</f>
        <v>0</v>
      </c>
      <c r="BA157" s="85">
        <f t="shared" si="431"/>
        <v>0</v>
      </c>
      <c r="BB157" s="85">
        <f t="shared" si="431"/>
        <v>0</v>
      </c>
      <c r="BC157" s="85">
        <f>SUM(BC145:BC156)</f>
        <v>0</v>
      </c>
      <c r="BD157" s="85">
        <f>SUM(BD145:BD156)</f>
        <v>0</v>
      </c>
      <c r="BE157" s="85">
        <f t="shared" ref="BE157:BG157" si="433">SUM(BE145:BE156)</f>
        <v>0</v>
      </c>
      <c r="BF157" s="85">
        <f t="shared" si="433"/>
        <v>0</v>
      </c>
      <c r="BG157" s="85">
        <f t="shared" si="433"/>
        <v>0</v>
      </c>
      <c r="BH157" s="85">
        <f t="shared" ref="BH157:BL157" si="434">SUM(BH145:BH156)</f>
        <v>0</v>
      </c>
      <c r="BI157" s="85">
        <f t="shared" si="434"/>
        <v>0</v>
      </c>
      <c r="BJ157" s="85">
        <f t="shared" si="434"/>
        <v>0</v>
      </c>
      <c r="BK157" s="85">
        <f t="shared" si="434"/>
        <v>0</v>
      </c>
      <c r="BL157" s="85">
        <f t="shared" si="434"/>
        <v>0</v>
      </c>
    </row>
    <row r="158" spans="1:64" ht="14.1" customHeight="1">
      <c r="A158" s="379">
        <f t="shared" si="417"/>
        <v>152</v>
      </c>
      <c r="B158" s="90"/>
      <c r="C158" s="90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</row>
    <row r="159" spans="1:64" s="18" customFormat="1" ht="14.1" customHeight="1">
      <c r="A159" s="379">
        <f t="shared" si="417"/>
        <v>153</v>
      </c>
      <c r="B159" s="90" t="s">
        <v>147</v>
      </c>
      <c r="C159" s="9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</row>
    <row r="160" spans="1:64" s="18" customFormat="1" ht="14.1" customHeight="1">
      <c r="A160" s="379">
        <f t="shared" si="417"/>
        <v>154</v>
      </c>
      <c r="B160" s="25" t="s">
        <v>148</v>
      </c>
      <c r="C160" s="38">
        <f>SUM(D160:BI160)</f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10">
        <v>0</v>
      </c>
      <c r="AS160" s="10">
        <v>0</v>
      </c>
      <c r="AT160" s="10">
        <v>0</v>
      </c>
      <c r="AU160" s="10">
        <v>0</v>
      </c>
      <c r="AV160" s="10">
        <v>0</v>
      </c>
      <c r="AW160" s="10">
        <v>0</v>
      </c>
      <c r="AX160" s="10">
        <v>0</v>
      </c>
      <c r="AY160" s="10">
        <v>0</v>
      </c>
      <c r="AZ160" s="10">
        <v>0</v>
      </c>
      <c r="BA160" s="10">
        <v>0</v>
      </c>
      <c r="BB160" s="10">
        <v>0</v>
      </c>
      <c r="BC160" s="10">
        <v>0</v>
      </c>
      <c r="BD160" s="10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</row>
    <row r="161" spans="1:64" s="18" customFormat="1" ht="14.1" customHeight="1">
      <c r="A161" s="379">
        <f t="shared" si="417"/>
        <v>155</v>
      </c>
      <c r="B161" s="25" t="s">
        <v>149</v>
      </c>
      <c r="C161" s="38">
        <f>SUM(D161:BI161)</f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10">
        <v>0</v>
      </c>
      <c r="AS161" s="10">
        <v>0</v>
      </c>
      <c r="AT161" s="10">
        <v>0</v>
      </c>
      <c r="AU161" s="10">
        <v>0</v>
      </c>
      <c r="AV161" s="10">
        <v>0</v>
      </c>
      <c r="AW161" s="10">
        <v>0</v>
      </c>
      <c r="AX161" s="10">
        <v>0</v>
      </c>
      <c r="AY161" s="10">
        <v>0</v>
      </c>
      <c r="AZ161" s="10">
        <v>0</v>
      </c>
      <c r="BA161" s="10">
        <v>0</v>
      </c>
      <c r="BB161" s="10">
        <v>0</v>
      </c>
      <c r="BC161" s="10">
        <v>0</v>
      </c>
      <c r="BD161" s="10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</row>
    <row r="162" spans="1:64" s="18" customFormat="1" ht="14.1" customHeight="1">
      <c r="A162" s="379">
        <f t="shared" si="417"/>
        <v>156</v>
      </c>
      <c r="B162" s="25" t="s">
        <v>137</v>
      </c>
      <c r="C162" s="38">
        <f>SUM(D162:BI162)</f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10">
        <v>0</v>
      </c>
      <c r="AS162" s="10">
        <v>0</v>
      </c>
      <c r="AT162" s="10">
        <v>0</v>
      </c>
      <c r="AU162" s="10">
        <v>0</v>
      </c>
      <c r="AV162" s="10">
        <v>0</v>
      </c>
      <c r="AW162" s="10">
        <v>0</v>
      </c>
      <c r="AX162" s="10">
        <v>0</v>
      </c>
      <c r="AY162" s="10">
        <v>0</v>
      </c>
      <c r="AZ162" s="10">
        <v>0</v>
      </c>
      <c r="BA162" s="10">
        <v>0</v>
      </c>
      <c r="BB162" s="10">
        <v>0</v>
      </c>
      <c r="BC162" s="10">
        <v>0</v>
      </c>
      <c r="BD162" s="10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</row>
    <row r="163" spans="1:64" s="18" customFormat="1" ht="14.1" customHeight="1">
      <c r="A163" s="379">
        <f t="shared" si="417"/>
        <v>157</v>
      </c>
      <c r="B163" s="25" t="s">
        <v>150</v>
      </c>
      <c r="C163" s="38">
        <f>SUM(D163:BI163)</f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0</v>
      </c>
      <c r="AW163" s="10">
        <v>0</v>
      </c>
      <c r="AX163" s="10">
        <v>0</v>
      </c>
      <c r="AY163" s="10">
        <v>0</v>
      </c>
      <c r="AZ163" s="10">
        <v>0</v>
      </c>
      <c r="BA163" s="10">
        <v>0</v>
      </c>
      <c r="BB163" s="10">
        <v>0</v>
      </c>
      <c r="BC163" s="10">
        <v>0</v>
      </c>
      <c r="BD163" s="10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</row>
    <row r="164" spans="1:64" ht="14.1" customHeight="1">
      <c r="A164" s="379">
        <f t="shared" si="417"/>
        <v>158</v>
      </c>
      <c r="B164" s="52" t="s">
        <v>151</v>
      </c>
      <c r="C164" s="38">
        <f>SUM(D164:BI164)</f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10">
        <v>0</v>
      </c>
      <c r="AS164" s="10">
        <v>0</v>
      </c>
      <c r="AT164" s="10">
        <v>0</v>
      </c>
      <c r="AU164" s="10">
        <v>0</v>
      </c>
      <c r="AV164" s="10">
        <v>0</v>
      </c>
      <c r="AW164" s="10">
        <v>0</v>
      </c>
      <c r="AX164" s="10">
        <v>0</v>
      </c>
      <c r="AY164" s="10">
        <v>0</v>
      </c>
      <c r="AZ164" s="10">
        <v>0</v>
      </c>
      <c r="BA164" s="10">
        <v>0</v>
      </c>
      <c r="BB164" s="10">
        <v>0</v>
      </c>
      <c r="BC164" s="10">
        <v>0</v>
      </c>
      <c r="BD164" s="10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</row>
    <row r="165" spans="1:64" ht="14.1" customHeight="1">
      <c r="A165" s="379">
        <f t="shared" si="417"/>
        <v>159</v>
      </c>
      <c r="B165" s="90" t="s">
        <v>493</v>
      </c>
      <c r="C165" s="85">
        <f t="shared" ref="C165:K165" si="435">SUM(C160:C164)</f>
        <v>0</v>
      </c>
      <c r="D165" s="85">
        <f t="shared" si="435"/>
        <v>0</v>
      </c>
      <c r="E165" s="85">
        <f t="shared" si="435"/>
        <v>0</v>
      </c>
      <c r="F165" s="85">
        <f t="shared" si="435"/>
        <v>0</v>
      </c>
      <c r="G165" s="85">
        <f t="shared" si="435"/>
        <v>0</v>
      </c>
      <c r="H165" s="85">
        <f t="shared" si="435"/>
        <v>0</v>
      </c>
      <c r="I165" s="85">
        <f t="shared" si="435"/>
        <v>0</v>
      </c>
      <c r="J165" s="85">
        <f t="shared" si="435"/>
        <v>0</v>
      </c>
      <c r="K165" s="85">
        <f t="shared" si="435"/>
        <v>0</v>
      </c>
      <c r="L165" s="85">
        <f t="shared" ref="L165:Y165" si="436">SUM(L160:L164)</f>
        <v>0</v>
      </c>
      <c r="M165" s="85">
        <f t="shared" si="436"/>
        <v>0</v>
      </c>
      <c r="N165" s="85">
        <f t="shared" si="436"/>
        <v>0</v>
      </c>
      <c r="O165" s="85">
        <f t="shared" si="436"/>
        <v>0</v>
      </c>
      <c r="P165" s="85">
        <f t="shared" si="436"/>
        <v>0</v>
      </c>
      <c r="Q165" s="85">
        <f t="shared" si="436"/>
        <v>0</v>
      </c>
      <c r="R165" s="85">
        <f t="shared" si="436"/>
        <v>0</v>
      </c>
      <c r="S165" s="85">
        <f t="shared" si="436"/>
        <v>0</v>
      </c>
      <c r="T165" s="85">
        <f>SUM(T160:T164)</f>
        <v>0</v>
      </c>
      <c r="U165" s="85">
        <f t="shared" si="436"/>
        <v>0</v>
      </c>
      <c r="V165" s="85">
        <f t="shared" si="436"/>
        <v>0</v>
      </c>
      <c r="W165" s="85">
        <f t="shared" si="436"/>
        <v>0</v>
      </c>
      <c r="X165" s="85">
        <f t="shared" si="436"/>
        <v>0</v>
      </c>
      <c r="Y165" s="85">
        <f t="shared" si="436"/>
        <v>0</v>
      </c>
      <c r="Z165" s="85">
        <f t="shared" ref="Z165:AE165" si="437">SUM(Z160:Z164)</f>
        <v>0</v>
      </c>
      <c r="AA165" s="85">
        <f t="shared" si="437"/>
        <v>0</v>
      </c>
      <c r="AB165" s="85">
        <f t="shared" si="437"/>
        <v>0</v>
      </c>
      <c r="AC165" s="85">
        <f t="shared" si="437"/>
        <v>0</v>
      </c>
      <c r="AD165" s="85">
        <f t="shared" si="437"/>
        <v>0</v>
      </c>
      <c r="AE165" s="85">
        <f t="shared" si="437"/>
        <v>0</v>
      </c>
      <c r="AF165" s="85">
        <f t="shared" ref="AF165:AL165" si="438">SUM(AF160:AF164)</f>
        <v>0</v>
      </c>
      <c r="AG165" s="85">
        <f t="shared" si="438"/>
        <v>0</v>
      </c>
      <c r="AH165" s="85">
        <f t="shared" si="438"/>
        <v>0</v>
      </c>
      <c r="AI165" s="85">
        <f t="shared" si="438"/>
        <v>0</v>
      </c>
      <c r="AJ165" s="85">
        <f t="shared" si="438"/>
        <v>0</v>
      </c>
      <c r="AK165" s="85">
        <f t="shared" si="438"/>
        <v>0</v>
      </c>
      <c r="AL165" s="85">
        <f t="shared" si="438"/>
        <v>0</v>
      </c>
      <c r="AM165" s="85">
        <f t="shared" ref="AM165:BB165" si="439">SUM(AM160:AM164)</f>
        <v>0</v>
      </c>
      <c r="AN165" s="85">
        <f t="shared" si="439"/>
        <v>0</v>
      </c>
      <c r="AO165" s="85">
        <f t="shared" si="439"/>
        <v>0</v>
      </c>
      <c r="AP165" s="85">
        <f t="shared" si="439"/>
        <v>0</v>
      </c>
      <c r="AQ165" s="85">
        <f>SUM(AQ160:AQ164)</f>
        <v>0</v>
      </c>
      <c r="AR165" s="85">
        <f>SUM(AR160:AR164)</f>
        <v>0</v>
      </c>
      <c r="AS165" s="85">
        <f t="shared" ref="AS165:AY165" si="440">SUM(AS160:AS164)</f>
        <v>0</v>
      </c>
      <c r="AT165" s="85">
        <f t="shared" si="440"/>
        <v>0</v>
      </c>
      <c r="AU165" s="85">
        <f>SUM(AU160:AU164)</f>
        <v>0</v>
      </c>
      <c r="AV165" s="85">
        <f t="shared" si="440"/>
        <v>0</v>
      </c>
      <c r="AW165" s="85">
        <f t="shared" si="440"/>
        <v>0</v>
      </c>
      <c r="AX165" s="85">
        <f t="shared" si="440"/>
        <v>0</v>
      </c>
      <c r="AY165" s="85">
        <f t="shared" si="440"/>
        <v>0</v>
      </c>
      <c r="AZ165" s="85">
        <f>SUM(AZ160:AZ164)</f>
        <v>0</v>
      </c>
      <c r="BA165" s="85">
        <f t="shared" si="439"/>
        <v>0</v>
      </c>
      <c r="BB165" s="85">
        <f t="shared" si="439"/>
        <v>0</v>
      </c>
      <c r="BC165" s="85">
        <f>SUM(BC160:BC164)</f>
        <v>0</v>
      </c>
      <c r="BD165" s="85">
        <f>SUM(BD160:BD164)</f>
        <v>0</v>
      </c>
      <c r="BE165" s="85">
        <f t="shared" ref="BE165:BG165" si="441">SUM(BE160:BE164)</f>
        <v>0</v>
      </c>
      <c r="BF165" s="85">
        <f t="shared" si="441"/>
        <v>0</v>
      </c>
      <c r="BG165" s="85">
        <f t="shared" si="441"/>
        <v>0</v>
      </c>
      <c r="BH165" s="85">
        <f t="shared" ref="BH165:BL165" si="442">SUM(BH160:BH164)</f>
        <v>0</v>
      </c>
      <c r="BI165" s="85">
        <f t="shared" si="442"/>
        <v>0</v>
      </c>
      <c r="BJ165" s="85">
        <f t="shared" si="442"/>
        <v>0</v>
      </c>
      <c r="BK165" s="85">
        <f t="shared" si="442"/>
        <v>0</v>
      </c>
      <c r="BL165" s="85">
        <f t="shared" si="442"/>
        <v>0</v>
      </c>
    </row>
    <row r="166" spans="1:64" s="18" customFormat="1" ht="14.1" customHeight="1">
      <c r="A166" s="379">
        <f t="shared" si="417"/>
        <v>160</v>
      </c>
      <c r="B166" s="25"/>
      <c r="C166" s="2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</row>
    <row r="167" spans="1:64" ht="14.1" customHeight="1">
      <c r="A167" s="379">
        <f t="shared" si="417"/>
        <v>161</v>
      </c>
      <c r="B167" s="25" t="s">
        <v>332</v>
      </c>
      <c r="C167" s="38">
        <f>SUM(D167:BI167)</f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</row>
    <row r="168" spans="1:64" ht="14.1" customHeight="1">
      <c r="A168" s="379">
        <f t="shared" si="417"/>
        <v>162</v>
      </c>
      <c r="B168" s="52" t="s">
        <v>333</v>
      </c>
      <c r="C168" s="38">
        <f>SUM(D168:BI168)</f>
        <v>0</v>
      </c>
      <c r="D168" s="151">
        <v>0</v>
      </c>
      <c r="E168" s="151">
        <v>0</v>
      </c>
      <c r="F168" s="151">
        <v>0</v>
      </c>
      <c r="G168" s="151">
        <v>0</v>
      </c>
      <c r="H168" s="151">
        <v>0</v>
      </c>
      <c r="I168" s="151">
        <v>0</v>
      </c>
      <c r="J168" s="151">
        <v>0</v>
      </c>
      <c r="K168" s="151">
        <v>0</v>
      </c>
      <c r="L168" s="151">
        <v>0</v>
      </c>
      <c r="M168" s="151">
        <v>0</v>
      </c>
      <c r="N168" s="151">
        <v>0</v>
      </c>
      <c r="O168" s="151">
        <v>0</v>
      </c>
      <c r="P168" s="151">
        <v>0</v>
      </c>
      <c r="Q168" s="151">
        <v>0</v>
      </c>
      <c r="R168" s="151">
        <v>0</v>
      </c>
      <c r="S168" s="151">
        <v>0</v>
      </c>
      <c r="T168" s="151">
        <v>0</v>
      </c>
      <c r="U168" s="151">
        <v>0</v>
      </c>
      <c r="V168" s="151">
        <v>0</v>
      </c>
      <c r="W168" s="151">
        <v>0</v>
      </c>
      <c r="X168" s="151">
        <v>0</v>
      </c>
      <c r="Y168" s="151">
        <v>0</v>
      </c>
      <c r="Z168" s="151">
        <v>0</v>
      </c>
      <c r="AA168" s="151">
        <v>0</v>
      </c>
      <c r="AB168" s="151">
        <v>0</v>
      </c>
      <c r="AC168" s="151">
        <v>0</v>
      </c>
      <c r="AD168" s="151">
        <v>0</v>
      </c>
      <c r="AE168" s="151">
        <v>0</v>
      </c>
      <c r="AF168" s="151">
        <v>0</v>
      </c>
      <c r="AG168" s="151">
        <v>0</v>
      </c>
      <c r="AH168" s="151">
        <v>0</v>
      </c>
      <c r="AI168" s="151">
        <v>0</v>
      </c>
      <c r="AJ168" s="151">
        <v>0</v>
      </c>
      <c r="AK168" s="151">
        <v>0</v>
      </c>
      <c r="AL168" s="151">
        <v>0</v>
      </c>
      <c r="AM168" s="151">
        <v>0</v>
      </c>
      <c r="AN168" s="151">
        <v>0</v>
      </c>
      <c r="AO168" s="151">
        <v>0</v>
      </c>
      <c r="AP168" s="151">
        <v>0</v>
      </c>
      <c r="AQ168" s="151">
        <v>0</v>
      </c>
      <c r="AR168" s="151">
        <v>0</v>
      </c>
      <c r="AS168" s="151">
        <v>0</v>
      </c>
      <c r="AT168" s="151">
        <v>0</v>
      </c>
      <c r="AU168" s="151">
        <v>0</v>
      </c>
      <c r="AV168" s="151">
        <v>0</v>
      </c>
      <c r="AW168" s="151">
        <v>0</v>
      </c>
      <c r="AX168" s="151">
        <v>0</v>
      </c>
      <c r="AY168" s="151">
        <v>0</v>
      </c>
      <c r="AZ168" s="151">
        <v>0</v>
      </c>
      <c r="BA168" s="151">
        <v>0</v>
      </c>
      <c r="BB168" s="151">
        <v>0</v>
      </c>
      <c r="BC168" s="151">
        <v>0</v>
      </c>
      <c r="BD168" s="151">
        <v>0</v>
      </c>
      <c r="BE168" s="151">
        <v>0</v>
      </c>
      <c r="BF168" s="151">
        <v>0</v>
      </c>
      <c r="BG168" s="151">
        <v>0</v>
      </c>
      <c r="BH168" s="151">
        <v>0</v>
      </c>
      <c r="BI168" s="151">
        <v>0</v>
      </c>
      <c r="BJ168" s="151">
        <v>0</v>
      </c>
      <c r="BK168" s="151">
        <v>0</v>
      </c>
      <c r="BL168" s="151">
        <v>0</v>
      </c>
    </row>
    <row r="169" spans="1:64" ht="14.1" customHeight="1">
      <c r="A169" s="379">
        <f t="shared" si="417"/>
        <v>163</v>
      </c>
      <c r="B169" s="90" t="s">
        <v>529</v>
      </c>
      <c r="C169" s="85">
        <f t="shared" ref="C169:K169" si="443">SUM(C167:C168)</f>
        <v>0</v>
      </c>
      <c r="D169" s="85">
        <f t="shared" si="443"/>
        <v>0</v>
      </c>
      <c r="E169" s="85">
        <f t="shared" si="443"/>
        <v>0</v>
      </c>
      <c r="F169" s="85">
        <f t="shared" si="443"/>
        <v>0</v>
      </c>
      <c r="G169" s="85">
        <f t="shared" si="443"/>
        <v>0</v>
      </c>
      <c r="H169" s="85">
        <f t="shared" si="443"/>
        <v>0</v>
      </c>
      <c r="I169" s="85">
        <f t="shared" si="443"/>
        <v>0</v>
      </c>
      <c r="J169" s="85">
        <f t="shared" si="443"/>
        <v>0</v>
      </c>
      <c r="K169" s="85">
        <f t="shared" si="443"/>
        <v>0</v>
      </c>
      <c r="L169" s="85">
        <f t="shared" ref="L169:Y169" si="444">SUM(L167:L168)</f>
        <v>0</v>
      </c>
      <c r="M169" s="85">
        <f t="shared" si="444"/>
        <v>0</v>
      </c>
      <c r="N169" s="85">
        <f t="shared" si="444"/>
        <v>0</v>
      </c>
      <c r="O169" s="85">
        <f t="shared" si="444"/>
        <v>0</v>
      </c>
      <c r="P169" s="85">
        <f t="shared" si="444"/>
        <v>0</v>
      </c>
      <c r="Q169" s="85">
        <f t="shared" si="444"/>
        <v>0</v>
      </c>
      <c r="R169" s="85">
        <f t="shared" si="444"/>
        <v>0</v>
      </c>
      <c r="S169" s="85">
        <f t="shared" si="444"/>
        <v>0</v>
      </c>
      <c r="T169" s="85">
        <f>SUM(T167:T168)</f>
        <v>0</v>
      </c>
      <c r="U169" s="85">
        <f t="shared" si="444"/>
        <v>0</v>
      </c>
      <c r="V169" s="85">
        <f t="shared" si="444"/>
        <v>0</v>
      </c>
      <c r="W169" s="85">
        <f t="shared" si="444"/>
        <v>0</v>
      </c>
      <c r="X169" s="85">
        <f t="shared" si="444"/>
        <v>0</v>
      </c>
      <c r="Y169" s="85">
        <f t="shared" si="444"/>
        <v>0</v>
      </c>
      <c r="Z169" s="85">
        <f t="shared" ref="Z169:AE169" si="445">SUM(Z167:Z168)</f>
        <v>0</v>
      </c>
      <c r="AA169" s="85">
        <f t="shared" si="445"/>
        <v>0</v>
      </c>
      <c r="AB169" s="85">
        <f t="shared" si="445"/>
        <v>0</v>
      </c>
      <c r="AC169" s="85">
        <f t="shared" si="445"/>
        <v>0</v>
      </c>
      <c r="AD169" s="85">
        <f t="shared" si="445"/>
        <v>0</v>
      </c>
      <c r="AE169" s="85">
        <f t="shared" si="445"/>
        <v>0</v>
      </c>
      <c r="AF169" s="85">
        <f t="shared" ref="AF169:AL169" si="446">SUM(AF167:AF168)</f>
        <v>0</v>
      </c>
      <c r="AG169" s="85">
        <f t="shared" si="446"/>
        <v>0</v>
      </c>
      <c r="AH169" s="85">
        <f t="shared" si="446"/>
        <v>0</v>
      </c>
      <c r="AI169" s="85">
        <f t="shared" si="446"/>
        <v>0</v>
      </c>
      <c r="AJ169" s="85">
        <f t="shared" si="446"/>
        <v>0</v>
      </c>
      <c r="AK169" s="85">
        <f t="shared" si="446"/>
        <v>0</v>
      </c>
      <c r="AL169" s="85">
        <f t="shared" si="446"/>
        <v>0</v>
      </c>
      <c r="AM169" s="85">
        <f t="shared" ref="AM169:BB169" si="447">SUM(AM167:AM168)</f>
        <v>0</v>
      </c>
      <c r="AN169" s="85">
        <f t="shared" si="447"/>
        <v>0</v>
      </c>
      <c r="AO169" s="85">
        <f t="shared" si="447"/>
        <v>0</v>
      </c>
      <c r="AP169" s="85">
        <f t="shared" si="447"/>
        <v>0</v>
      </c>
      <c r="AQ169" s="85">
        <f>SUM(AQ167:AQ168)</f>
        <v>0</v>
      </c>
      <c r="AR169" s="85">
        <f>SUM(AR167:AR168)</f>
        <v>0</v>
      </c>
      <c r="AS169" s="85">
        <f t="shared" ref="AS169:AY169" si="448">SUM(AS167:AS168)</f>
        <v>0</v>
      </c>
      <c r="AT169" s="85">
        <f t="shared" si="448"/>
        <v>0</v>
      </c>
      <c r="AU169" s="85">
        <f>SUM(AU167:AU168)</f>
        <v>0</v>
      </c>
      <c r="AV169" s="85">
        <f t="shared" si="448"/>
        <v>0</v>
      </c>
      <c r="AW169" s="85">
        <f t="shared" si="448"/>
        <v>0</v>
      </c>
      <c r="AX169" s="85">
        <f t="shared" si="448"/>
        <v>0</v>
      </c>
      <c r="AY169" s="85">
        <f t="shared" si="448"/>
        <v>0</v>
      </c>
      <c r="AZ169" s="85">
        <f>SUM(AZ167:AZ168)</f>
        <v>0</v>
      </c>
      <c r="BA169" s="85">
        <f t="shared" si="447"/>
        <v>0</v>
      </c>
      <c r="BB169" s="85">
        <f t="shared" si="447"/>
        <v>0</v>
      </c>
      <c r="BC169" s="85">
        <f>SUM(BC167:BC168)</f>
        <v>0</v>
      </c>
      <c r="BD169" s="85">
        <f>SUM(BD167:BD168)</f>
        <v>0</v>
      </c>
      <c r="BE169" s="85">
        <f t="shared" ref="BE169:BG169" si="449">SUM(BE167:BE168)</f>
        <v>0</v>
      </c>
      <c r="BF169" s="85">
        <f t="shared" si="449"/>
        <v>0</v>
      </c>
      <c r="BG169" s="85">
        <f t="shared" si="449"/>
        <v>0</v>
      </c>
      <c r="BH169" s="85">
        <f t="shared" ref="BH169:BL169" si="450">SUM(BH167:BH168)</f>
        <v>0</v>
      </c>
      <c r="BI169" s="85">
        <f t="shared" si="450"/>
        <v>0</v>
      </c>
      <c r="BJ169" s="85">
        <f t="shared" si="450"/>
        <v>0</v>
      </c>
      <c r="BK169" s="85">
        <f t="shared" si="450"/>
        <v>0</v>
      </c>
      <c r="BL169" s="85">
        <f t="shared" si="450"/>
        <v>0</v>
      </c>
    </row>
    <row r="170" spans="1:64" ht="14.1" customHeight="1">
      <c r="A170" s="379">
        <f t="shared" si="417"/>
        <v>164</v>
      </c>
      <c r="B170" s="60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  <c r="AB170" s="151"/>
      <c r="AC170" s="151"/>
      <c r="AD170" s="151"/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  <c r="BI170" s="151"/>
      <c r="BJ170" s="151"/>
      <c r="BK170" s="151"/>
      <c r="BL170" s="151"/>
    </row>
    <row r="171" spans="1:64" ht="14.1" customHeight="1" thickBot="1">
      <c r="A171" s="379">
        <f t="shared" si="417"/>
        <v>165</v>
      </c>
      <c r="B171" s="54" t="s">
        <v>134</v>
      </c>
      <c r="C171" s="153">
        <f>C157+C142+C124+C110+C62+C165+C169+C106</f>
        <v>-323850066</v>
      </c>
      <c r="D171" s="153">
        <f t="shared" ref="D171:BB171" si="451">D157+D142+D124+D110+D62+D165+D169+D106</f>
        <v>0</v>
      </c>
      <c r="E171" s="153">
        <f t="shared" si="451"/>
        <v>0</v>
      </c>
      <c r="F171" s="153">
        <f t="shared" si="451"/>
        <v>0</v>
      </c>
      <c r="G171" s="153">
        <f t="shared" si="451"/>
        <v>-323850066</v>
      </c>
      <c r="H171" s="153">
        <f t="shared" si="451"/>
        <v>0</v>
      </c>
      <c r="I171" s="153">
        <f t="shared" si="451"/>
        <v>0</v>
      </c>
      <c r="J171" s="153">
        <f t="shared" si="451"/>
        <v>0</v>
      </c>
      <c r="K171" s="153">
        <f t="shared" si="451"/>
        <v>0</v>
      </c>
      <c r="L171" s="153">
        <f t="shared" si="451"/>
        <v>0</v>
      </c>
      <c r="M171" s="153">
        <f t="shared" si="451"/>
        <v>0</v>
      </c>
      <c r="N171" s="153">
        <f t="shared" si="451"/>
        <v>0</v>
      </c>
      <c r="O171" s="153">
        <f t="shared" si="451"/>
        <v>0</v>
      </c>
      <c r="P171" s="153">
        <f t="shared" si="451"/>
        <v>0</v>
      </c>
      <c r="Q171" s="153">
        <f t="shared" si="451"/>
        <v>0</v>
      </c>
      <c r="R171" s="153">
        <f t="shared" si="451"/>
        <v>0</v>
      </c>
      <c r="S171" s="153">
        <f t="shared" si="451"/>
        <v>0</v>
      </c>
      <c r="T171" s="153">
        <f>T157+T142+T124+T110+T62+T165+T169+T106</f>
        <v>0</v>
      </c>
      <c r="U171" s="153">
        <f t="shared" si="451"/>
        <v>0</v>
      </c>
      <c r="V171" s="153">
        <f t="shared" si="451"/>
        <v>0</v>
      </c>
      <c r="W171" s="153">
        <f t="shared" si="451"/>
        <v>0</v>
      </c>
      <c r="X171" s="153">
        <f t="shared" si="451"/>
        <v>0</v>
      </c>
      <c r="Y171" s="153">
        <f t="shared" si="451"/>
        <v>0</v>
      </c>
      <c r="Z171" s="153">
        <f t="shared" si="451"/>
        <v>0</v>
      </c>
      <c r="AA171" s="153">
        <f t="shared" si="451"/>
        <v>0</v>
      </c>
      <c r="AB171" s="153">
        <f t="shared" si="451"/>
        <v>0</v>
      </c>
      <c r="AC171" s="153">
        <f t="shared" si="451"/>
        <v>0</v>
      </c>
      <c r="AD171" s="153">
        <f t="shared" si="451"/>
        <v>0</v>
      </c>
      <c r="AE171" s="153">
        <f t="shared" si="451"/>
        <v>0</v>
      </c>
      <c r="AF171" s="153">
        <f t="shared" si="451"/>
        <v>0</v>
      </c>
      <c r="AG171" s="153">
        <f t="shared" si="451"/>
        <v>0</v>
      </c>
      <c r="AH171" s="153">
        <f t="shared" si="451"/>
        <v>0</v>
      </c>
      <c r="AI171" s="153">
        <f t="shared" si="451"/>
        <v>0</v>
      </c>
      <c r="AJ171" s="153">
        <f t="shared" si="451"/>
        <v>0</v>
      </c>
      <c r="AK171" s="153">
        <f t="shared" si="451"/>
        <v>0</v>
      </c>
      <c r="AL171" s="153">
        <f t="shared" si="451"/>
        <v>0</v>
      </c>
      <c r="AM171" s="153">
        <f t="shared" si="451"/>
        <v>0</v>
      </c>
      <c r="AN171" s="153">
        <f t="shared" si="451"/>
        <v>0</v>
      </c>
      <c r="AO171" s="153">
        <f t="shared" si="451"/>
        <v>0</v>
      </c>
      <c r="AP171" s="153">
        <f t="shared" si="451"/>
        <v>0</v>
      </c>
      <c r="AQ171" s="153">
        <f>AQ157+AQ142+AQ124+AQ110+AQ62+AQ165+AQ169+AQ106</f>
        <v>0</v>
      </c>
      <c r="AR171" s="153">
        <f>AR157+AR142+AR124+AR110+AR62+AR165+AR169+AR106</f>
        <v>0</v>
      </c>
      <c r="AS171" s="153">
        <f t="shared" ref="AS171:AY171" si="452">AS157+AS142+AS124+AS110+AS62+AS165+AS169+AS106</f>
        <v>0</v>
      </c>
      <c r="AT171" s="153">
        <f t="shared" si="452"/>
        <v>0</v>
      </c>
      <c r="AU171" s="153">
        <f>AU157+AU142+AU124+AU110+AU62+AU165+AU169+AU106</f>
        <v>0</v>
      </c>
      <c r="AV171" s="153">
        <f t="shared" si="452"/>
        <v>0</v>
      </c>
      <c r="AW171" s="153">
        <f t="shared" si="452"/>
        <v>0</v>
      </c>
      <c r="AX171" s="153">
        <f t="shared" si="452"/>
        <v>0</v>
      </c>
      <c r="AY171" s="153">
        <f t="shared" si="452"/>
        <v>0</v>
      </c>
      <c r="AZ171" s="153">
        <f>AZ157+AZ142+AZ124+AZ110+AZ62+AZ165+AZ169+AZ106</f>
        <v>0</v>
      </c>
      <c r="BA171" s="153">
        <f t="shared" si="451"/>
        <v>0</v>
      </c>
      <c r="BB171" s="153">
        <f t="shared" si="451"/>
        <v>0</v>
      </c>
      <c r="BC171" s="153">
        <f>BC157+BC142+BC124+BC110+BC62+BC165+BC169+BC106</f>
        <v>0</v>
      </c>
      <c r="BD171" s="153">
        <f>BD157+BD142+BD124+BD110+BD62+BD165+BD169+BD106</f>
        <v>0</v>
      </c>
      <c r="BE171" s="153">
        <f t="shared" ref="BE171:BG171" si="453">BE157+BE142+BE124+BE110+BE62+BE165+BE169+BE106</f>
        <v>0</v>
      </c>
      <c r="BF171" s="153">
        <f t="shared" si="453"/>
        <v>0</v>
      </c>
      <c r="BG171" s="153">
        <f t="shared" si="453"/>
        <v>0</v>
      </c>
      <c r="BH171" s="153">
        <f t="shared" ref="BH171:BL171" si="454">BH157+BH142+BH124+BH110+BH62+BH165+BH169+BH106</f>
        <v>0</v>
      </c>
      <c r="BI171" s="153">
        <f t="shared" si="454"/>
        <v>0</v>
      </c>
      <c r="BJ171" s="153">
        <f t="shared" si="454"/>
        <v>0</v>
      </c>
      <c r="BK171" s="153">
        <f t="shared" si="454"/>
        <v>0</v>
      </c>
      <c r="BL171" s="153">
        <f t="shared" si="454"/>
        <v>0</v>
      </c>
    </row>
    <row r="172" spans="1:64" ht="14.1" customHeight="1" thickTop="1">
      <c r="A172" s="379">
        <f t="shared" si="417"/>
        <v>166</v>
      </c>
      <c r="C172" s="22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</row>
    <row r="173" spans="1:64" ht="14.1" customHeight="1">
      <c r="A173" s="379">
        <f t="shared" si="417"/>
        <v>167</v>
      </c>
      <c r="B173" s="3" t="s">
        <v>135</v>
      </c>
      <c r="C173" s="3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</row>
    <row r="174" spans="1:64" ht="14.1" customHeight="1">
      <c r="A174" s="379">
        <f t="shared" si="417"/>
        <v>168</v>
      </c>
      <c r="B174" s="88" t="s">
        <v>136</v>
      </c>
      <c r="C174" s="38">
        <f>SUM(D174:BI174)</f>
        <v>-121568119</v>
      </c>
      <c r="D174" s="10">
        <v>0</v>
      </c>
      <c r="E174" s="10">
        <v>0</v>
      </c>
      <c r="F174" s="10">
        <v>0</v>
      </c>
      <c r="G174" s="10">
        <v>-121568119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M174" s="10">
        <v>0</v>
      </c>
      <c r="AN174" s="10">
        <v>0</v>
      </c>
      <c r="AO174" s="10">
        <v>0</v>
      </c>
      <c r="AP174" s="10">
        <v>0</v>
      </c>
      <c r="AQ174" s="10">
        <v>0</v>
      </c>
      <c r="AR174" s="10">
        <v>0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0">
        <v>0</v>
      </c>
      <c r="AZ174" s="10">
        <v>0</v>
      </c>
      <c r="BA174" s="10">
        <v>0</v>
      </c>
      <c r="BB174" s="10">
        <v>0</v>
      </c>
      <c r="BC174" s="10">
        <v>0</v>
      </c>
      <c r="BD174" s="10">
        <v>0</v>
      </c>
      <c r="BE174" s="10">
        <v>0</v>
      </c>
      <c r="BF174" s="10">
        <v>0</v>
      </c>
      <c r="BG174" s="10">
        <v>0</v>
      </c>
      <c r="BH174" s="10">
        <v>0</v>
      </c>
      <c r="BI174" s="10">
        <v>0</v>
      </c>
      <c r="BJ174" s="10">
        <v>0</v>
      </c>
      <c r="BK174" s="10">
        <v>0</v>
      </c>
      <c r="BL174" s="10">
        <v>0</v>
      </c>
    </row>
    <row r="175" spans="1:64" ht="14.1" customHeight="1">
      <c r="A175" s="379">
        <f t="shared" si="417"/>
        <v>169</v>
      </c>
      <c r="B175" s="22" t="s">
        <v>145</v>
      </c>
      <c r="C175" s="38">
        <f>SUM(D175:BI175)</f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0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0">
        <v>0</v>
      </c>
      <c r="AZ175" s="10">
        <v>0</v>
      </c>
      <c r="BA175" s="10">
        <v>0</v>
      </c>
      <c r="BB175" s="10">
        <v>0</v>
      </c>
      <c r="BC175" s="10">
        <v>0</v>
      </c>
      <c r="BD175" s="10">
        <v>0</v>
      </c>
      <c r="BE175" s="10">
        <v>0</v>
      </c>
      <c r="BF175" s="10">
        <v>0</v>
      </c>
      <c r="BG175" s="10">
        <v>0</v>
      </c>
      <c r="BH175" s="10">
        <v>0</v>
      </c>
      <c r="BI175" s="10">
        <v>0</v>
      </c>
      <c r="BJ175" s="10">
        <v>0</v>
      </c>
      <c r="BK175" s="10">
        <v>0</v>
      </c>
      <c r="BL175" s="10">
        <v>0</v>
      </c>
    </row>
    <row r="176" spans="1:64" ht="14.1" customHeight="1">
      <c r="A176" s="379">
        <f t="shared" si="417"/>
        <v>170</v>
      </c>
      <c r="B176" s="22" t="s">
        <v>138</v>
      </c>
      <c r="C176" s="38">
        <f>SUM(D176:BI176)</f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0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0">
        <v>0</v>
      </c>
      <c r="AZ176" s="10">
        <v>0</v>
      </c>
      <c r="BA176" s="10">
        <v>0</v>
      </c>
      <c r="BB176" s="10">
        <v>0</v>
      </c>
      <c r="BC176" s="10">
        <v>0</v>
      </c>
      <c r="BD176" s="10">
        <v>0</v>
      </c>
      <c r="BE176" s="10">
        <v>0</v>
      </c>
      <c r="BF176" s="10">
        <v>0</v>
      </c>
      <c r="BG176" s="10">
        <v>0</v>
      </c>
      <c r="BH176" s="10">
        <v>0</v>
      </c>
      <c r="BI176" s="10">
        <v>0</v>
      </c>
      <c r="BJ176" s="10">
        <v>0</v>
      </c>
      <c r="BK176" s="10">
        <v>0</v>
      </c>
      <c r="BL176" s="10">
        <v>0</v>
      </c>
    </row>
    <row r="177" spans="1:64" ht="13.5" customHeight="1">
      <c r="A177" s="379">
        <f t="shared" si="417"/>
        <v>171</v>
      </c>
      <c r="B177" s="22" t="s">
        <v>139</v>
      </c>
      <c r="C177" s="38">
        <f>SUM(D177:BI177)</f>
        <v>0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0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0">
        <v>0</v>
      </c>
      <c r="AZ177" s="10">
        <v>0</v>
      </c>
      <c r="BA177" s="10">
        <v>0</v>
      </c>
      <c r="BB177" s="10">
        <v>0</v>
      </c>
      <c r="BC177" s="10">
        <v>0</v>
      </c>
      <c r="BD177" s="10">
        <v>0</v>
      </c>
      <c r="BE177" s="10">
        <v>0</v>
      </c>
      <c r="BF177" s="10">
        <v>0</v>
      </c>
      <c r="BG177" s="10">
        <v>0</v>
      </c>
      <c r="BH177" s="10">
        <v>0</v>
      </c>
      <c r="BI177" s="10">
        <v>0</v>
      </c>
      <c r="BJ177" s="10">
        <v>0</v>
      </c>
      <c r="BK177" s="10">
        <v>0</v>
      </c>
      <c r="BL177" s="10">
        <v>0</v>
      </c>
    </row>
    <row r="178" spans="1:64" ht="14.1" customHeight="1">
      <c r="A178" s="379">
        <f t="shared" si="417"/>
        <v>172</v>
      </c>
      <c r="B178" s="90" t="s">
        <v>484</v>
      </c>
      <c r="C178" s="85">
        <f t="shared" ref="C178:H178" si="455">SUM(C174:C177)</f>
        <v>-121568119</v>
      </c>
      <c r="D178" s="85">
        <f t="shared" si="455"/>
        <v>0</v>
      </c>
      <c r="E178" s="85">
        <f>SUM(E174:E177)</f>
        <v>0</v>
      </c>
      <c r="F178" s="85">
        <f>SUM(F174:F177)</f>
        <v>0</v>
      </c>
      <c r="G178" s="85">
        <f>SUM(G174:G177)</f>
        <v>-121568119</v>
      </c>
      <c r="H178" s="85">
        <f t="shared" si="455"/>
        <v>0</v>
      </c>
      <c r="I178" s="85">
        <f>SUM(I174:I177)</f>
        <v>0</v>
      </c>
      <c r="J178" s="85">
        <f>SUM(J174:J177)</f>
        <v>0</v>
      </c>
      <c r="K178" s="85">
        <f>SUM(K174:K177)</f>
        <v>0</v>
      </c>
      <c r="L178" s="85">
        <f t="shared" ref="L178:Y178" si="456">SUM(L174:L177)</f>
        <v>0</v>
      </c>
      <c r="M178" s="85">
        <f t="shared" si="456"/>
        <v>0</v>
      </c>
      <c r="N178" s="85">
        <f t="shared" si="456"/>
        <v>0</v>
      </c>
      <c r="O178" s="85">
        <f t="shared" si="456"/>
        <v>0</v>
      </c>
      <c r="P178" s="85">
        <f t="shared" si="456"/>
        <v>0</v>
      </c>
      <c r="Q178" s="85">
        <f t="shared" si="456"/>
        <v>0</v>
      </c>
      <c r="R178" s="85">
        <f t="shared" si="456"/>
        <v>0</v>
      </c>
      <c r="S178" s="85">
        <f t="shared" si="456"/>
        <v>0</v>
      </c>
      <c r="T178" s="85">
        <f>SUM(T174:T177)</f>
        <v>0</v>
      </c>
      <c r="U178" s="85">
        <f t="shared" si="456"/>
        <v>0</v>
      </c>
      <c r="V178" s="85">
        <f t="shared" si="456"/>
        <v>0</v>
      </c>
      <c r="W178" s="85">
        <f t="shared" si="456"/>
        <v>0</v>
      </c>
      <c r="X178" s="85">
        <f t="shared" si="456"/>
        <v>0</v>
      </c>
      <c r="Y178" s="85">
        <f t="shared" si="456"/>
        <v>0</v>
      </c>
      <c r="Z178" s="85">
        <f>SUM(Z174:Z177)</f>
        <v>0</v>
      </c>
      <c r="AA178" s="85">
        <f>SUM(AA174:AA177)</f>
        <v>0</v>
      </c>
      <c r="AB178" s="85">
        <f>SUM(AB174:AB177)</f>
        <v>0</v>
      </c>
      <c r="AC178" s="85">
        <f t="shared" ref="AC178:AL178" si="457">SUM(AC174:AC177)</f>
        <v>0</v>
      </c>
      <c r="AD178" s="85">
        <f t="shared" si="457"/>
        <v>0</v>
      </c>
      <c r="AE178" s="85">
        <f t="shared" si="457"/>
        <v>0</v>
      </c>
      <c r="AF178" s="85">
        <f t="shared" si="457"/>
        <v>0</v>
      </c>
      <c r="AG178" s="85">
        <f t="shared" si="457"/>
        <v>0</v>
      </c>
      <c r="AH178" s="85">
        <f t="shared" si="457"/>
        <v>0</v>
      </c>
      <c r="AI178" s="85">
        <f t="shared" si="457"/>
        <v>0</v>
      </c>
      <c r="AJ178" s="85">
        <f t="shared" si="457"/>
        <v>0</v>
      </c>
      <c r="AK178" s="85">
        <f t="shared" si="457"/>
        <v>0</v>
      </c>
      <c r="AL178" s="85">
        <f t="shared" si="457"/>
        <v>0</v>
      </c>
      <c r="AM178" s="85">
        <f t="shared" ref="AM178:BB178" si="458">SUM(AM174:AM177)</f>
        <v>0</v>
      </c>
      <c r="AN178" s="85">
        <f t="shared" si="458"/>
        <v>0</v>
      </c>
      <c r="AO178" s="85">
        <f t="shared" si="458"/>
        <v>0</v>
      </c>
      <c r="AP178" s="85">
        <f t="shared" si="458"/>
        <v>0</v>
      </c>
      <c r="AQ178" s="85">
        <f>SUM(AQ174:AQ177)</f>
        <v>0</v>
      </c>
      <c r="AR178" s="85">
        <f>SUM(AR174:AR177)</f>
        <v>0</v>
      </c>
      <c r="AS178" s="85">
        <f t="shared" ref="AS178:AY178" si="459">SUM(AS174:AS177)</f>
        <v>0</v>
      </c>
      <c r="AT178" s="85">
        <f t="shared" si="459"/>
        <v>0</v>
      </c>
      <c r="AU178" s="85">
        <f>SUM(AU174:AU177)</f>
        <v>0</v>
      </c>
      <c r="AV178" s="85">
        <f t="shared" si="459"/>
        <v>0</v>
      </c>
      <c r="AW178" s="85">
        <f t="shared" si="459"/>
        <v>0</v>
      </c>
      <c r="AX178" s="85">
        <f t="shared" si="459"/>
        <v>0</v>
      </c>
      <c r="AY178" s="85">
        <f t="shared" si="459"/>
        <v>0</v>
      </c>
      <c r="AZ178" s="85">
        <f>SUM(AZ174:AZ177)</f>
        <v>0</v>
      </c>
      <c r="BA178" s="85">
        <f t="shared" si="458"/>
        <v>0</v>
      </c>
      <c r="BB178" s="85">
        <f t="shared" si="458"/>
        <v>0</v>
      </c>
      <c r="BC178" s="85">
        <f>SUM(BC174:BC177)</f>
        <v>0</v>
      </c>
      <c r="BD178" s="85">
        <f>SUM(BD174:BD177)</f>
        <v>0</v>
      </c>
      <c r="BE178" s="85">
        <f t="shared" ref="BE178:BG178" si="460">SUM(BE174:BE177)</f>
        <v>0</v>
      </c>
      <c r="BF178" s="85">
        <f t="shared" si="460"/>
        <v>0</v>
      </c>
      <c r="BG178" s="85">
        <f t="shared" si="460"/>
        <v>0</v>
      </c>
      <c r="BH178" s="85">
        <f t="shared" ref="BH178:BL178" si="461">SUM(BH174:BH177)</f>
        <v>0</v>
      </c>
      <c r="BI178" s="85">
        <f t="shared" si="461"/>
        <v>0</v>
      </c>
      <c r="BJ178" s="85">
        <f t="shared" si="461"/>
        <v>0</v>
      </c>
      <c r="BK178" s="85">
        <f t="shared" si="461"/>
        <v>0</v>
      </c>
      <c r="BL178" s="85">
        <f t="shared" si="461"/>
        <v>0</v>
      </c>
    </row>
    <row r="179" spans="1:64" ht="14.1" customHeight="1">
      <c r="A179" s="379">
        <f t="shared" si="417"/>
        <v>173</v>
      </c>
      <c r="B179" s="25"/>
      <c r="C179" s="2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</row>
    <row r="180" spans="1:64" ht="14.1" customHeight="1">
      <c r="A180" s="379">
        <f t="shared" si="417"/>
        <v>174</v>
      </c>
      <c r="B180" s="90" t="s">
        <v>140</v>
      </c>
      <c r="C180" s="90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</row>
    <row r="181" spans="1:64" ht="14.1" customHeight="1">
      <c r="A181" s="379">
        <f t="shared" si="417"/>
        <v>175</v>
      </c>
      <c r="B181" s="22" t="s">
        <v>143</v>
      </c>
      <c r="C181" s="38">
        <f>SUM(D181:BI181)</f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0</v>
      </c>
      <c r="AW181" s="10">
        <v>0</v>
      </c>
      <c r="AX181" s="10">
        <v>0</v>
      </c>
      <c r="AY181" s="10">
        <v>0</v>
      </c>
      <c r="AZ181" s="10">
        <v>0</v>
      </c>
      <c r="BA181" s="10">
        <v>0</v>
      </c>
      <c r="BB181" s="10">
        <v>0</v>
      </c>
      <c r="BC181" s="10">
        <v>0</v>
      </c>
      <c r="BD181" s="10">
        <v>0</v>
      </c>
      <c r="BE181" s="10">
        <v>0</v>
      </c>
      <c r="BF181" s="10">
        <v>0</v>
      </c>
      <c r="BG181" s="10">
        <v>0</v>
      </c>
      <c r="BH181" s="10">
        <v>0</v>
      </c>
      <c r="BI181" s="10">
        <v>0</v>
      </c>
      <c r="BJ181" s="10">
        <v>0</v>
      </c>
      <c r="BK181" s="10">
        <v>0</v>
      </c>
      <c r="BL181" s="10">
        <v>0</v>
      </c>
    </row>
    <row r="182" spans="1:64" ht="14.1" customHeight="1">
      <c r="A182" s="379">
        <f t="shared" si="417"/>
        <v>176</v>
      </c>
      <c r="B182" s="22" t="s">
        <v>136</v>
      </c>
      <c r="C182" s="38">
        <f>SUM(D182:BI182)</f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v>0</v>
      </c>
      <c r="O182" s="43">
        <v>0</v>
      </c>
      <c r="P182" s="43">
        <v>0</v>
      </c>
      <c r="Q182" s="43">
        <v>0</v>
      </c>
      <c r="R182" s="43">
        <v>0</v>
      </c>
      <c r="S182" s="43">
        <v>0</v>
      </c>
      <c r="T182" s="43">
        <v>0</v>
      </c>
      <c r="U182" s="43">
        <v>0</v>
      </c>
      <c r="V182" s="43">
        <v>0</v>
      </c>
      <c r="W182" s="43">
        <v>0</v>
      </c>
      <c r="X182" s="43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43">
        <v>0</v>
      </c>
      <c r="AF182" s="43">
        <v>0</v>
      </c>
      <c r="AG182" s="43">
        <v>0</v>
      </c>
      <c r="AH182" s="43">
        <v>0</v>
      </c>
      <c r="AI182" s="43">
        <v>0</v>
      </c>
      <c r="AJ182" s="43">
        <v>0</v>
      </c>
      <c r="AK182" s="43">
        <v>0</v>
      </c>
      <c r="AL182" s="43">
        <v>0</v>
      </c>
      <c r="AM182" s="43">
        <v>0</v>
      </c>
      <c r="AN182" s="43">
        <v>0</v>
      </c>
      <c r="AO182" s="43">
        <v>0</v>
      </c>
      <c r="AP182" s="43">
        <v>0</v>
      </c>
      <c r="AQ182" s="43">
        <v>0</v>
      </c>
      <c r="AR182" s="43">
        <v>0</v>
      </c>
      <c r="AS182" s="43">
        <v>0</v>
      </c>
      <c r="AT182" s="43">
        <v>0</v>
      </c>
      <c r="AU182" s="43">
        <v>0</v>
      </c>
      <c r="AV182" s="43">
        <v>0</v>
      </c>
      <c r="AW182" s="43">
        <v>0</v>
      </c>
      <c r="AX182" s="43">
        <v>0</v>
      </c>
      <c r="AY182" s="43">
        <v>0</v>
      </c>
      <c r="AZ182" s="43">
        <v>0</v>
      </c>
      <c r="BA182" s="43">
        <v>0</v>
      </c>
      <c r="BB182" s="43">
        <v>0</v>
      </c>
      <c r="BC182" s="43">
        <v>0</v>
      </c>
      <c r="BD182" s="43">
        <v>0</v>
      </c>
      <c r="BE182" s="43">
        <v>0</v>
      </c>
      <c r="BF182" s="43">
        <v>0</v>
      </c>
      <c r="BG182" s="43">
        <v>0</v>
      </c>
      <c r="BH182" s="43">
        <v>0</v>
      </c>
      <c r="BI182" s="43">
        <v>0</v>
      </c>
      <c r="BJ182" s="43">
        <v>0</v>
      </c>
      <c r="BK182" s="43">
        <v>0</v>
      </c>
      <c r="BL182" s="43">
        <v>0</v>
      </c>
    </row>
    <row r="183" spans="1:64" ht="14.1" customHeight="1">
      <c r="A183" s="379">
        <f t="shared" si="417"/>
        <v>177</v>
      </c>
      <c r="B183" s="22" t="s">
        <v>137</v>
      </c>
      <c r="C183" s="38">
        <f>SUM(D183:BI183)</f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v>0</v>
      </c>
      <c r="O183" s="43">
        <v>0</v>
      </c>
      <c r="P183" s="43">
        <v>0</v>
      </c>
      <c r="Q183" s="43">
        <v>0</v>
      </c>
      <c r="R183" s="43">
        <v>0</v>
      </c>
      <c r="S183" s="43">
        <v>0</v>
      </c>
      <c r="T183" s="43">
        <v>0</v>
      </c>
      <c r="U183" s="43">
        <v>0</v>
      </c>
      <c r="V183" s="43">
        <v>0</v>
      </c>
      <c r="W183" s="43">
        <v>0</v>
      </c>
      <c r="X183" s="43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43">
        <v>0</v>
      </c>
      <c r="AF183" s="43">
        <v>0</v>
      </c>
      <c r="AG183" s="43">
        <v>0</v>
      </c>
      <c r="AH183" s="43">
        <v>0</v>
      </c>
      <c r="AI183" s="43">
        <v>0</v>
      </c>
      <c r="AJ183" s="43">
        <v>0</v>
      </c>
      <c r="AK183" s="43">
        <v>0</v>
      </c>
      <c r="AL183" s="43">
        <v>0</v>
      </c>
      <c r="AM183" s="43">
        <v>0</v>
      </c>
      <c r="AN183" s="43">
        <v>0</v>
      </c>
      <c r="AO183" s="43">
        <v>0</v>
      </c>
      <c r="AP183" s="43">
        <v>0</v>
      </c>
      <c r="AQ183" s="43">
        <v>0</v>
      </c>
      <c r="AR183" s="43">
        <v>0</v>
      </c>
      <c r="AS183" s="43">
        <v>0</v>
      </c>
      <c r="AT183" s="43">
        <v>0</v>
      </c>
      <c r="AU183" s="43">
        <v>0</v>
      </c>
      <c r="AV183" s="43">
        <v>0</v>
      </c>
      <c r="AW183" s="43">
        <v>0</v>
      </c>
      <c r="AX183" s="43">
        <v>0</v>
      </c>
      <c r="AY183" s="43">
        <v>0</v>
      </c>
      <c r="AZ183" s="43">
        <v>0</v>
      </c>
      <c r="BA183" s="43">
        <v>0</v>
      </c>
      <c r="BB183" s="43">
        <v>0</v>
      </c>
      <c r="BC183" s="43">
        <v>0</v>
      </c>
      <c r="BD183" s="43">
        <v>0</v>
      </c>
      <c r="BE183" s="43">
        <v>0</v>
      </c>
      <c r="BF183" s="43">
        <v>0</v>
      </c>
      <c r="BG183" s="43">
        <v>0</v>
      </c>
      <c r="BH183" s="43">
        <v>0</v>
      </c>
      <c r="BI183" s="43">
        <v>0</v>
      </c>
      <c r="BJ183" s="43">
        <v>0</v>
      </c>
      <c r="BK183" s="43">
        <v>0</v>
      </c>
      <c r="BL183" s="43">
        <v>0</v>
      </c>
    </row>
    <row r="184" spans="1:64" ht="14.1" customHeight="1">
      <c r="A184" s="379">
        <f t="shared" si="417"/>
        <v>178</v>
      </c>
      <c r="B184" s="22" t="s">
        <v>138</v>
      </c>
      <c r="C184" s="38">
        <f>SUM(D184:BI184)</f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v>0</v>
      </c>
      <c r="O184" s="43">
        <v>0</v>
      </c>
      <c r="P184" s="43">
        <v>0</v>
      </c>
      <c r="Q184" s="43">
        <v>0</v>
      </c>
      <c r="R184" s="43">
        <v>0</v>
      </c>
      <c r="S184" s="43">
        <v>0</v>
      </c>
      <c r="T184" s="43">
        <v>0</v>
      </c>
      <c r="U184" s="43">
        <v>0</v>
      </c>
      <c r="V184" s="43">
        <v>0</v>
      </c>
      <c r="W184" s="43">
        <v>0</v>
      </c>
      <c r="X184" s="43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43">
        <v>0</v>
      </c>
      <c r="AF184" s="43">
        <v>0</v>
      </c>
      <c r="AG184" s="43">
        <v>0</v>
      </c>
      <c r="AH184" s="43">
        <v>0</v>
      </c>
      <c r="AI184" s="43">
        <v>0</v>
      </c>
      <c r="AJ184" s="43">
        <v>0</v>
      </c>
      <c r="AK184" s="43">
        <v>0</v>
      </c>
      <c r="AL184" s="43">
        <v>0</v>
      </c>
      <c r="AM184" s="43">
        <v>0</v>
      </c>
      <c r="AN184" s="43">
        <v>0</v>
      </c>
      <c r="AO184" s="43">
        <v>0</v>
      </c>
      <c r="AP184" s="43">
        <v>0</v>
      </c>
      <c r="AQ184" s="43">
        <v>0</v>
      </c>
      <c r="AR184" s="43">
        <v>0</v>
      </c>
      <c r="AS184" s="43">
        <v>0</v>
      </c>
      <c r="AT184" s="43">
        <v>0</v>
      </c>
      <c r="AU184" s="43">
        <v>0</v>
      </c>
      <c r="AV184" s="43">
        <v>0</v>
      </c>
      <c r="AW184" s="43">
        <v>0</v>
      </c>
      <c r="AX184" s="43">
        <v>0</v>
      </c>
      <c r="AY184" s="43">
        <v>0</v>
      </c>
      <c r="AZ184" s="43">
        <v>0</v>
      </c>
      <c r="BA184" s="43">
        <v>0</v>
      </c>
      <c r="BB184" s="43">
        <v>0</v>
      </c>
      <c r="BC184" s="43">
        <v>0</v>
      </c>
      <c r="BD184" s="43">
        <v>0</v>
      </c>
      <c r="BE184" s="43">
        <v>0</v>
      </c>
      <c r="BF184" s="43">
        <v>0</v>
      </c>
      <c r="BG184" s="43">
        <v>0</v>
      </c>
      <c r="BH184" s="43">
        <v>0</v>
      </c>
      <c r="BI184" s="43">
        <v>0</v>
      </c>
      <c r="BJ184" s="43">
        <v>0</v>
      </c>
      <c r="BK184" s="43">
        <v>0</v>
      </c>
      <c r="BL184" s="43">
        <v>0</v>
      </c>
    </row>
    <row r="185" spans="1:64" s="18" customFormat="1" ht="14.1" customHeight="1">
      <c r="A185" s="379">
        <f t="shared" si="417"/>
        <v>179</v>
      </c>
      <c r="B185" s="56" t="s">
        <v>139</v>
      </c>
      <c r="C185" s="206">
        <f>SUM(D185:BI185)</f>
        <v>0</v>
      </c>
      <c r="D185" s="64">
        <v>0</v>
      </c>
      <c r="E185" s="64">
        <v>0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64">
        <v>0</v>
      </c>
      <c r="V185" s="64">
        <v>0</v>
      </c>
      <c r="W185" s="64">
        <v>0</v>
      </c>
      <c r="X185" s="64">
        <v>0</v>
      </c>
      <c r="Y185" s="64">
        <v>0</v>
      </c>
      <c r="Z185" s="64">
        <v>0</v>
      </c>
      <c r="AA185" s="64">
        <v>0</v>
      </c>
      <c r="AB185" s="64">
        <v>0</v>
      </c>
      <c r="AC185" s="64">
        <v>0</v>
      </c>
      <c r="AD185" s="64">
        <v>0</v>
      </c>
      <c r="AE185" s="64">
        <v>0</v>
      </c>
      <c r="AF185" s="64">
        <v>0</v>
      </c>
      <c r="AG185" s="64">
        <v>0</v>
      </c>
      <c r="AH185" s="64">
        <v>0</v>
      </c>
      <c r="AI185" s="64">
        <v>0</v>
      </c>
      <c r="AJ185" s="64">
        <v>0</v>
      </c>
      <c r="AK185" s="64">
        <v>0</v>
      </c>
      <c r="AL185" s="64">
        <v>0</v>
      </c>
      <c r="AM185" s="64">
        <v>0</v>
      </c>
      <c r="AN185" s="64">
        <v>0</v>
      </c>
      <c r="AO185" s="64">
        <v>0</v>
      </c>
      <c r="AP185" s="64">
        <v>0</v>
      </c>
      <c r="AQ185" s="64">
        <v>0</v>
      </c>
      <c r="AR185" s="64">
        <v>0</v>
      </c>
      <c r="AS185" s="64">
        <v>0</v>
      </c>
      <c r="AT185" s="64">
        <v>0</v>
      </c>
      <c r="AU185" s="64">
        <v>0</v>
      </c>
      <c r="AV185" s="64">
        <v>0</v>
      </c>
      <c r="AW185" s="64">
        <v>0</v>
      </c>
      <c r="AX185" s="64">
        <v>0</v>
      </c>
      <c r="AY185" s="64">
        <v>0</v>
      </c>
      <c r="AZ185" s="64">
        <v>0</v>
      </c>
      <c r="BA185" s="64">
        <v>0</v>
      </c>
      <c r="BB185" s="64">
        <v>0</v>
      </c>
      <c r="BC185" s="64">
        <v>0</v>
      </c>
      <c r="BD185" s="64">
        <v>0</v>
      </c>
      <c r="BE185" s="64">
        <v>0</v>
      </c>
      <c r="BF185" s="64">
        <v>0</v>
      </c>
      <c r="BG185" s="64">
        <v>0</v>
      </c>
      <c r="BH185" s="64">
        <v>0</v>
      </c>
      <c r="BI185" s="64">
        <v>0</v>
      </c>
      <c r="BJ185" s="64">
        <v>0</v>
      </c>
      <c r="BK185" s="64">
        <v>0</v>
      </c>
      <c r="BL185" s="64">
        <v>0</v>
      </c>
    </row>
    <row r="186" spans="1:64" ht="14.1" customHeight="1">
      <c r="A186" s="379">
        <f t="shared" si="417"/>
        <v>180</v>
      </c>
      <c r="B186" s="90" t="s">
        <v>488</v>
      </c>
      <c r="C186" s="16">
        <f t="shared" ref="C186:K186" si="462">SUM(C181:C185)</f>
        <v>0</v>
      </c>
      <c r="D186" s="16">
        <f t="shared" si="462"/>
        <v>0</v>
      </c>
      <c r="E186" s="16">
        <f t="shared" si="462"/>
        <v>0</v>
      </c>
      <c r="F186" s="16">
        <f t="shared" si="462"/>
        <v>0</v>
      </c>
      <c r="G186" s="16">
        <f t="shared" si="462"/>
        <v>0</v>
      </c>
      <c r="H186" s="16">
        <f t="shared" si="462"/>
        <v>0</v>
      </c>
      <c r="I186" s="16">
        <f t="shared" si="462"/>
        <v>0</v>
      </c>
      <c r="J186" s="16">
        <f t="shared" si="462"/>
        <v>0</v>
      </c>
      <c r="K186" s="16">
        <f t="shared" si="462"/>
        <v>0</v>
      </c>
      <c r="L186" s="16">
        <f t="shared" ref="L186:Y186" si="463">SUM(L181:L185)</f>
        <v>0</v>
      </c>
      <c r="M186" s="16">
        <f t="shared" si="463"/>
        <v>0</v>
      </c>
      <c r="N186" s="16">
        <f t="shared" si="463"/>
        <v>0</v>
      </c>
      <c r="O186" s="16">
        <f t="shared" si="463"/>
        <v>0</v>
      </c>
      <c r="P186" s="16">
        <f t="shared" si="463"/>
        <v>0</v>
      </c>
      <c r="Q186" s="16">
        <f t="shared" si="463"/>
        <v>0</v>
      </c>
      <c r="R186" s="16">
        <f t="shared" si="463"/>
        <v>0</v>
      </c>
      <c r="S186" s="16">
        <f t="shared" si="463"/>
        <v>0</v>
      </c>
      <c r="T186" s="16">
        <f>SUM(T181:T185)</f>
        <v>0</v>
      </c>
      <c r="U186" s="16">
        <f t="shared" si="463"/>
        <v>0</v>
      </c>
      <c r="V186" s="16">
        <f t="shared" si="463"/>
        <v>0</v>
      </c>
      <c r="W186" s="16">
        <f t="shared" si="463"/>
        <v>0</v>
      </c>
      <c r="X186" s="16">
        <f t="shared" si="463"/>
        <v>0</v>
      </c>
      <c r="Y186" s="16">
        <f t="shared" si="463"/>
        <v>0</v>
      </c>
      <c r="Z186" s="16">
        <f t="shared" ref="Z186:AE186" si="464">SUM(Z181:Z185)</f>
        <v>0</v>
      </c>
      <c r="AA186" s="16">
        <f t="shared" si="464"/>
        <v>0</v>
      </c>
      <c r="AB186" s="16">
        <f t="shared" si="464"/>
        <v>0</v>
      </c>
      <c r="AC186" s="16">
        <f t="shared" si="464"/>
        <v>0</v>
      </c>
      <c r="AD186" s="16">
        <f t="shared" si="464"/>
        <v>0</v>
      </c>
      <c r="AE186" s="16">
        <f t="shared" si="464"/>
        <v>0</v>
      </c>
      <c r="AF186" s="16">
        <f t="shared" ref="AF186:AL186" si="465">SUM(AF181:AF185)</f>
        <v>0</v>
      </c>
      <c r="AG186" s="16">
        <f t="shared" si="465"/>
        <v>0</v>
      </c>
      <c r="AH186" s="16">
        <f t="shared" si="465"/>
        <v>0</v>
      </c>
      <c r="AI186" s="16">
        <f t="shared" si="465"/>
        <v>0</v>
      </c>
      <c r="AJ186" s="16">
        <f t="shared" si="465"/>
        <v>0</v>
      </c>
      <c r="AK186" s="16">
        <f t="shared" si="465"/>
        <v>0</v>
      </c>
      <c r="AL186" s="16">
        <f t="shared" si="465"/>
        <v>0</v>
      </c>
      <c r="AM186" s="16">
        <f t="shared" ref="AM186:BB186" si="466">SUM(AM181:AM185)</f>
        <v>0</v>
      </c>
      <c r="AN186" s="16">
        <f t="shared" si="466"/>
        <v>0</v>
      </c>
      <c r="AO186" s="16">
        <f t="shared" si="466"/>
        <v>0</v>
      </c>
      <c r="AP186" s="16">
        <f t="shared" si="466"/>
        <v>0</v>
      </c>
      <c r="AQ186" s="16">
        <f>SUM(AQ181:AQ185)</f>
        <v>0</v>
      </c>
      <c r="AR186" s="16">
        <f>SUM(AR181:AR185)</f>
        <v>0</v>
      </c>
      <c r="AS186" s="16">
        <f t="shared" ref="AS186:AY186" si="467">SUM(AS181:AS185)</f>
        <v>0</v>
      </c>
      <c r="AT186" s="16">
        <f t="shared" si="467"/>
        <v>0</v>
      </c>
      <c r="AU186" s="16">
        <f>SUM(AU181:AU185)</f>
        <v>0</v>
      </c>
      <c r="AV186" s="16">
        <f t="shared" si="467"/>
        <v>0</v>
      </c>
      <c r="AW186" s="16">
        <f t="shared" si="467"/>
        <v>0</v>
      </c>
      <c r="AX186" s="16">
        <f t="shared" si="467"/>
        <v>0</v>
      </c>
      <c r="AY186" s="16">
        <f t="shared" si="467"/>
        <v>0</v>
      </c>
      <c r="AZ186" s="16">
        <f>SUM(AZ181:AZ185)</f>
        <v>0</v>
      </c>
      <c r="BA186" s="16">
        <f t="shared" si="466"/>
        <v>0</v>
      </c>
      <c r="BB186" s="16">
        <f t="shared" si="466"/>
        <v>0</v>
      </c>
      <c r="BC186" s="16">
        <f>SUM(BC181:BC185)</f>
        <v>0</v>
      </c>
      <c r="BD186" s="16">
        <f>SUM(BD181:BD185)</f>
        <v>0</v>
      </c>
      <c r="BE186" s="16">
        <f t="shared" ref="BE186:BG186" si="468">SUM(BE181:BE185)</f>
        <v>0</v>
      </c>
      <c r="BF186" s="16">
        <f t="shared" si="468"/>
        <v>0</v>
      </c>
      <c r="BG186" s="16">
        <f t="shared" si="468"/>
        <v>0</v>
      </c>
      <c r="BH186" s="16">
        <f t="shared" ref="BH186:BL186" si="469">SUM(BH181:BH185)</f>
        <v>0</v>
      </c>
      <c r="BI186" s="16">
        <f t="shared" si="469"/>
        <v>0</v>
      </c>
      <c r="BJ186" s="16">
        <f t="shared" si="469"/>
        <v>0</v>
      </c>
      <c r="BK186" s="16">
        <f t="shared" si="469"/>
        <v>0</v>
      </c>
      <c r="BL186" s="16">
        <f t="shared" si="469"/>
        <v>0</v>
      </c>
    </row>
    <row r="187" spans="1:64" ht="14.1" customHeight="1">
      <c r="A187" s="379">
        <f t="shared" si="417"/>
        <v>181</v>
      </c>
      <c r="B187" s="25"/>
      <c r="C187" s="2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</row>
    <row r="188" spans="1:64" ht="14.1" customHeight="1">
      <c r="A188" s="379">
        <f t="shared" si="417"/>
        <v>182</v>
      </c>
      <c r="B188" s="52" t="s">
        <v>331</v>
      </c>
      <c r="C188" s="206">
        <f>SUM(D188:BI188)</f>
        <v>0</v>
      </c>
      <c r="D188" s="151">
        <v>0</v>
      </c>
      <c r="E188" s="151">
        <v>0</v>
      </c>
      <c r="F188" s="151">
        <v>0</v>
      </c>
      <c r="G188" s="151">
        <v>0</v>
      </c>
      <c r="H188" s="151">
        <v>0</v>
      </c>
      <c r="I188" s="151">
        <v>0</v>
      </c>
      <c r="J188" s="151">
        <v>0</v>
      </c>
      <c r="K188" s="151">
        <v>0</v>
      </c>
      <c r="L188" s="151">
        <v>0</v>
      </c>
      <c r="M188" s="151">
        <v>0</v>
      </c>
      <c r="N188" s="151">
        <v>0</v>
      </c>
      <c r="O188" s="151">
        <v>0</v>
      </c>
      <c r="P188" s="151">
        <v>0</v>
      </c>
      <c r="Q188" s="151">
        <v>0</v>
      </c>
      <c r="R188" s="151">
        <v>0</v>
      </c>
      <c r="S188" s="151">
        <v>0</v>
      </c>
      <c r="T188" s="151">
        <v>0</v>
      </c>
      <c r="U188" s="151">
        <v>0</v>
      </c>
      <c r="V188" s="151">
        <v>0</v>
      </c>
      <c r="W188" s="151">
        <v>0</v>
      </c>
      <c r="X188" s="151">
        <v>0</v>
      </c>
      <c r="Y188" s="151">
        <v>0</v>
      </c>
      <c r="Z188" s="151">
        <v>0</v>
      </c>
      <c r="AA188" s="151">
        <v>0</v>
      </c>
      <c r="AB188" s="151">
        <v>0</v>
      </c>
      <c r="AC188" s="151">
        <v>0</v>
      </c>
      <c r="AD188" s="151">
        <v>0</v>
      </c>
      <c r="AE188" s="151">
        <v>0</v>
      </c>
      <c r="AF188" s="151">
        <v>0</v>
      </c>
      <c r="AG188" s="151">
        <v>0</v>
      </c>
      <c r="AH188" s="151">
        <v>0</v>
      </c>
      <c r="AI188" s="151">
        <v>0</v>
      </c>
      <c r="AJ188" s="151">
        <v>0</v>
      </c>
      <c r="AK188" s="151">
        <v>0</v>
      </c>
      <c r="AL188" s="151">
        <v>0</v>
      </c>
      <c r="AM188" s="151">
        <v>0</v>
      </c>
      <c r="AN188" s="151">
        <v>0</v>
      </c>
      <c r="AO188" s="151">
        <v>0</v>
      </c>
      <c r="AP188" s="151">
        <v>0</v>
      </c>
      <c r="AQ188" s="151">
        <v>0</v>
      </c>
      <c r="AR188" s="151">
        <v>0</v>
      </c>
      <c r="AS188" s="151">
        <v>0</v>
      </c>
      <c r="AT188" s="151">
        <v>0</v>
      </c>
      <c r="AU188" s="151">
        <v>0</v>
      </c>
      <c r="AV188" s="151">
        <v>0</v>
      </c>
      <c r="AW188" s="151">
        <v>0</v>
      </c>
      <c r="AX188" s="151">
        <v>0</v>
      </c>
      <c r="AY188" s="151">
        <v>0</v>
      </c>
      <c r="AZ188" s="151">
        <v>0</v>
      </c>
      <c r="BA188" s="151">
        <v>0</v>
      </c>
      <c r="BB188" s="151">
        <v>0</v>
      </c>
      <c r="BC188" s="151">
        <v>0</v>
      </c>
      <c r="BD188" s="151">
        <v>0</v>
      </c>
      <c r="BE188" s="151">
        <v>0</v>
      </c>
      <c r="BF188" s="151">
        <v>0</v>
      </c>
      <c r="BG188" s="151">
        <v>0</v>
      </c>
      <c r="BH188" s="151">
        <v>0</v>
      </c>
      <c r="BI188" s="151">
        <v>0</v>
      </c>
      <c r="BJ188" s="151">
        <v>0</v>
      </c>
      <c r="BK188" s="151">
        <v>0</v>
      </c>
      <c r="BL188" s="151">
        <v>0</v>
      </c>
    </row>
    <row r="189" spans="1:64" ht="14.1" customHeight="1">
      <c r="A189" s="379">
        <f t="shared" si="417"/>
        <v>183</v>
      </c>
      <c r="B189" s="90" t="s">
        <v>491</v>
      </c>
      <c r="C189" s="16">
        <f t="shared" ref="C189:K189" si="470">SUM(C188:C188)</f>
        <v>0</v>
      </c>
      <c r="D189" s="16">
        <f t="shared" si="470"/>
        <v>0</v>
      </c>
      <c r="E189" s="16">
        <f t="shared" si="470"/>
        <v>0</v>
      </c>
      <c r="F189" s="16">
        <f t="shared" si="470"/>
        <v>0</v>
      </c>
      <c r="G189" s="16">
        <f t="shared" si="470"/>
        <v>0</v>
      </c>
      <c r="H189" s="16">
        <f t="shared" si="470"/>
        <v>0</v>
      </c>
      <c r="I189" s="16">
        <f t="shared" si="470"/>
        <v>0</v>
      </c>
      <c r="J189" s="16">
        <f t="shared" si="470"/>
        <v>0</v>
      </c>
      <c r="K189" s="16">
        <f t="shared" si="470"/>
        <v>0</v>
      </c>
      <c r="L189" s="16">
        <f t="shared" ref="L189:Y189" si="471">SUM(L188:L188)</f>
        <v>0</v>
      </c>
      <c r="M189" s="16">
        <f t="shared" si="471"/>
        <v>0</v>
      </c>
      <c r="N189" s="16">
        <f t="shared" si="471"/>
        <v>0</v>
      </c>
      <c r="O189" s="16">
        <f t="shared" si="471"/>
        <v>0</v>
      </c>
      <c r="P189" s="16">
        <f t="shared" si="471"/>
        <v>0</v>
      </c>
      <c r="Q189" s="16">
        <f t="shared" si="471"/>
        <v>0</v>
      </c>
      <c r="R189" s="16">
        <f t="shared" si="471"/>
        <v>0</v>
      </c>
      <c r="S189" s="16">
        <f t="shared" si="471"/>
        <v>0</v>
      </c>
      <c r="T189" s="16">
        <f>SUM(T188:T188)</f>
        <v>0</v>
      </c>
      <c r="U189" s="16">
        <f t="shared" si="471"/>
        <v>0</v>
      </c>
      <c r="V189" s="16">
        <f t="shared" si="471"/>
        <v>0</v>
      </c>
      <c r="W189" s="16">
        <f t="shared" si="471"/>
        <v>0</v>
      </c>
      <c r="X189" s="16">
        <f t="shared" si="471"/>
        <v>0</v>
      </c>
      <c r="Y189" s="16">
        <f t="shared" si="471"/>
        <v>0</v>
      </c>
      <c r="Z189" s="16">
        <f t="shared" ref="Z189:AE189" si="472">SUM(Z188:Z188)</f>
        <v>0</v>
      </c>
      <c r="AA189" s="16">
        <f t="shared" si="472"/>
        <v>0</v>
      </c>
      <c r="AB189" s="16">
        <f t="shared" si="472"/>
        <v>0</v>
      </c>
      <c r="AC189" s="16">
        <f t="shared" si="472"/>
        <v>0</v>
      </c>
      <c r="AD189" s="16">
        <f t="shared" si="472"/>
        <v>0</v>
      </c>
      <c r="AE189" s="16">
        <f t="shared" si="472"/>
        <v>0</v>
      </c>
      <c r="AF189" s="16">
        <f t="shared" ref="AF189:AL189" si="473">SUM(AF188:AF188)</f>
        <v>0</v>
      </c>
      <c r="AG189" s="16">
        <f t="shared" si="473"/>
        <v>0</v>
      </c>
      <c r="AH189" s="16">
        <f t="shared" si="473"/>
        <v>0</v>
      </c>
      <c r="AI189" s="16">
        <f t="shared" si="473"/>
        <v>0</v>
      </c>
      <c r="AJ189" s="16">
        <f t="shared" si="473"/>
        <v>0</v>
      </c>
      <c r="AK189" s="16">
        <f t="shared" si="473"/>
        <v>0</v>
      </c>
      <c r="AL189" s="16">
        <f t="shared" si="473"/>
        <v>0</v>
      </c>
      <c r="AM189" s="16">
        <f t="shared" ref="AM189:BB189" si="474">SUM(AM188:AM188)</f>
        <v>0</v>
      </c>
      <c r="AN189" s="16">
        <f t="shared" si="474"/>
        <v>0</v>
      </c>
      <c r="AO189" s="16">
        <f t="shared" si="474"/>
        <v>0</v>
      </c>
      <c r="AP189" s="16">
        <f t="shared" si="474"/>
        <v>0</v>
      </c>
      <c r="AQ189" s="16">
        <f>SUM(AQ188:AQ188)</f>
        <v>0</v>
      </c>
      <c r="AR189" s="16">
        <f>SUM(AR188:AR188)</f>
        <v>0</v>
      </c>
      <c r="AS189" s="16">
        <f t="shared" ref="AS189:AY189" si="475">SUM(AS188:AS188)</f>
        <v>0</v>
      </c>
      <c r="AT189" s="16">
        <f t="shared" si="475"/>
        <v>0</v>
      </c>
      <c r="AU189" s="16">
        <f>SUM(AU188:AU188)</f>
        <v>0</v>
      </c>
      <c r="AV189" s="16">
        <f t="shared" si="475"/>
        <v>0</v>
      </c>
      <c r="AW189" s="16">
        <f t="shared" si="475"/>
        <v>0</v>
      </c>
      <c r="AX189" s="16">
        <f t="shared" si="475"/>
        <v>0</v>
      </c>
      <c r="AY189" s="16">
        <f t="shared" si="475"/>
        <v>0</v>
      </c>
      <c r="AZ189" s="16">
        <f>SUM(AZ188:AZ188)</f>
        <v>0</v>
      </c>
      <c r="BA189" s="16">
        <f t="shared" si="474"/>
        <v>0</v>
      </c>
      <c r="BB189" s="16">
        <f t="shared" si="474"/>
        <v>0</v>
      </c>
      <c r="BC189" s="16">
        <f>SUM(BC188:BC188)</f>
        <v>0</v>
      </c>
      <c r="BD189" s="16">
        <f>SUM(BD188:BD188)</f>
        <v>0</v>
      </c>
      <c r="BE189" s="16">
        <f t="shared" ref="BE189:BG189" si="476">SUM(BE188:BE188)</f>
        <v>0</v>
      </c>
      <c r="BF189" s="16">
        <f t="shared" si="476"/>
        <v>0</v>
      </c>
      <c r="BG189" s="16">
        <f t="shared" si="476"/>
        <v>0</v>
      </c>
      <c r="BH189" s="16">
        <f t="shared" ref="BH189:BL189" si="477">SUM(BH188:BH188)</f>
        <v>0</v>
      </c>
      <c r="BI189" s="16">
        <f t="shared" si="477"/>
        <v>0</v>
      </c>
      <c r="BJ189" s="16">
        <f t="shared" si="477"/>
        <v>0</v>
      </c>
      <c r="BK189" s="16">
        <f t="shared" si="477"/>
        <v>0</v>
      </c>
      <c r="BL189" s="16">
        <f t="shared" si="477"/>
        <v>0</v>
      </c>
    </row>
    <row r="190" spans="1:64" ht="14.1" customHeight="1">
      <c r="A190" s="379">
        <f t="shared" si="417"/>
        <v>184</v>
      </c>
      <c r="B190" s="52"/>
      <c r="C190" s="151"/>
      <c r="D190" s="151"/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51"/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  <c r="BI190" s="151"/>
      <c r="BJ190" s="151"/>
      <c r="BK190" s="151"/>
      <c r="BL190" s="151"/>
    </row>
    <row r="191" spans="1:64" ht="14.1" customHeight="1">
      <c r="A191" s="379">
        <f t="shared" si="417"/>
        <v>185</v>
      </c>
      <c r="B191" s="90" t="s">
        <v>521</v>
      </c>
      <c r="C191" s="16">
        <f t="shared" ref="C191:K191" si="478">C186+C178+C189</f>
        <v>-121568119</v>
      </c>
      <c r="D191" s="16">
        <f t="shared" si="478"/>
        <v>0</v>
      </c>
      <c r="E191" s="16">
        <f t="shared" si="478"/>
        <v>0</v>
      </c>
      <c r="F191" s="16">
        <f t="shared" si="478"/>
        <v>0</v>
      </c>
      <c r="G191" s="16">
        <f t="shared" si="478"/>
        <v>-121568119</v>
      </c>
      <c r="H191" s="16">
        <f t="shared" si="478"/>
        <v>0</v>
      </c>
      <c r="I191" s="16">
        <f t="shared" si="478"/>
        <v>0</v>
      </c>
      <c r="J191" s="16">
        <f t="shared" si="478"/>
        <v>0</v>
      </c>
      <c r="K191" s="16">
        <f t="shared" si="478"/>
        <v>0</v>
      </c>
      <c r="L191" s="16">
        <f t="shared" ref="L191:Y191" si="479">L186+L178+L189</f>
        <v>0</v>
      </c>
      <c r="M191" s="16">
        <f t="shared" si="479"/>
        <v>0</v>
      </c>
      <c r="N191" s="16">
        <f t="shared" si="479"/>
        <v>0</v>
      </c>
      <c r="O191" s="16">
        <f t="shared" si="479"/>
        <v>0</v>
      </c>
      <c r="P191" s="16">
        <f t="shared" si="479"/>
        <v>0</v>
      </c>
      <c r="Q191" s="16">
        <f t="shared" si="479"/>
        <v>0</v>
      </c>
      <c r="R191" s="16">
        <f t="shared" si="479"/>
        <v>0</v>
      </c>
      <c r="S191" s="16">
        <f t="shared" si="479"/>
        <v>0</v>
      </c>
      <c r="T191" s="16">
        <f>T186+T178+T189</f>
        <v>0</v>
      </c>
      <c r="U191" s="16">
        <f t="shared" si="479"/>
        <v>0</v>
      </c>
      <c r="V191" s="16">
        <f t="shared" si="479"/>
        <v>0</v>
      </c>
      <c r="W191" s="16">
        <f t="shared" si="479"/>
        <v>0</v>
      </c>
      <c r="X191" s="16">
        <f t="shared" si="479"/>
        <v>0</v>
      </c>
      <c r="Y191" s="16">
        <f t="shared" si="479"/>
        <v>0</v>
      </c>
      <c r="Z191" s="16">
        <f t="shared" ref="Z191:AE191" si="480">Z186+Z178+Z189</f>
        <v>0</v>
      </c>
      <c r="AA191" s="16">
        <f t="shared" si="480"/>
        <v>0</v>
      </c>
      <c r="AB191" s="16">
        <f t="shared" si="480"/>
        <v>0</v>
      </c>
      <c r="AC191" s="16">
        <f t="shared" si="480"/>
        <v>0</v>
      </c>
      <c r="AD191" s="16">
        <f t="shared" si="480"/>
        <v>0</v>
      </c>
      <c r="AE191" s="16">
        <f t="shared" si="480"/>
        <v>0</v>
      </c>
      <c r="AF191" s="16">
        <f t="shared" ref="AF191:AL191" si="481">AF186+AF178+AF189</f>
        <v>0</v>
      </c>
      <c r="AG191" s="16">
        <f t="shared" si="481"/>
        <v>0</v>
      </c>
      <c r="AH191" s="16">
        <f t="shared" si="481"/>
        <v>0</v>
      </c>
      <c r="AI191" s="16">
        <f t="shared" si="481"/>
        <v>0</v>
      </c>
      <c r="AJ191" s="16">
        <f t="shared" si="481"/>
        <v>0</v>
      </c>
      <c r="AK191" s="16">
        <f t="shared" si="481"/>
        <v>0</v>
      </c>
      <c r="AL191" s="16">
        <f t="shared" si="481"/>
        <v>0</v>
      </c>
      <c r="AM191" s="16">
        <f t="shared" ref="AM191:BB191" si="482">AM186+AM178+AM189</f>
        <v>0</v>
      </c>
      <c r="AN191" s="16">
        <f t="shared" si="482"/>
        <v>0</v>
      </c>
      <c r="AO191" s="16">
        <f t="shared" si="482"/>
        <v>0</v>
      </c>
      <c r="AP191" s="16">
        <f t="shared" si="482"/>
        <v>0</v>
      </c>
      <c r="AQ191" s="16">
        <f>AQ186+AQ178+AQ189</f>
        <v>0</v>
      </c>
      <c r="AR191" s="16">
        <f>AR186+AR178+AR189</f>
        <v>0</v>
      </c>
      <c r="AS191" s="16">
        <f t="shared" ref="AS191:AY191" si="483">AS186+AS178+AS189</f>
        <v>0</v>
      </c>
      <c r="AT191" s="16">
        <f t="shared" si="483"/>
        <v>0</v>
      </c>
      <c r="AU191" s="16">
        <f>AU186+AU178+AU189</f>
        <v>0</v>
      </c>
      <c r="AV191" s="16">
        <f t="shared" si="483"/>
        <v>0</v>
      </c>
      <c r="AW191" s="16">
        <f t="shared" si="483"/>
        <v>0</v>
      </c>
      <c r="AX191" s="16">
        <f t="shared" si="483"/>
        <v>0</v>
      </c>
      <c r="AY191" s="16">
        <f t="shared" si="483"/>
        <v>0</v>
      </c>
      <c r="AZ191" s="16">
        <f>AZ186+AZ178+AZ189</f>
        <v>0</v>
      </c>
      <c r="BA191" s="16">
        <f t="shared" si="482"/>
        <v>0</v>
      </c>
      <c r="BB191" s="16">
        <f t="shared" si="482"/>
        <v>0</v>
      </c>
      <c r="BC191" s="16">
        <f>BC186+BC178+BC189</f>
        <v>0</v>
      </c>
      <c r="BD191" s="16">
        <f>BD186+BD178+BD189</f>
        <v>0</v>
      </c>
      <c r="BE191" s="16">
        <f t="shared" ref="BE191:BG191" si="484">BE186+BE178+BE189</f>
        <v>0</v>
      </c>
      <c r="BF191" s="16">
        <f t="shared" si="484"/>
        <v>0</v>
      </c>
      <c r="BG191" s="16">
        <f t="shared" si="484"/>
        <v>0</v>
      </c>
      <c r="BH191" s="16">
        <f t="shared" ref="BH191:BL191" si="485">BH186+BH178+BH189</f>
        <v>0</v>
      </c>
      <c r="BI191" s="16">
        <f t="shared" si="485"/>
        <v>0</v>
      </c>
      <c r="BJ191" s="16">
        <f t="shared" si="485"/>
        <v>0</v>
      </c>
      <c r="BK191" s="16">
        <f t="shared" si="485"/>
        <v>0</v>
      </c>
      <c r="BL191" s="16">
        <f t="shared" si="485"/>
        <v>0</v>
      </c>
    </row>
    <row r="192" spans="1:64" ht="14.1" customHeight="1">
      <c r="A192" s="379">
        <f t="shared" si="417"/>
        <v>186</v>
      </c>
      <c r="B192" s="52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  <c r="X192" s="151"/>
      <c r="Y192" s="151"/>
      <c r="Z192" s="151"/>
      <c r="AA192" s="151"/>
      <c r="AB192" s="151"/>
      <c r="AC192" s="151"/>
      <c r="AD192" s="151"/>
      <c r="AE192" s="151"/>
      <c r="AF192" s="151"/>
      <c r="AG192" s="151"/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  <c r="BI192" s="151"/>
      <c r="BJ192" s="151"/>
      <c r="BK192" s="151"/>
      <c r="BL192" s="151"/>
    </row>
    <row r="193" spans="1:64" ht="14.1" customHeight="1" thickBot="1">
      <c r="A193" s="379">
        <f t="shared" si="417"/>
        <v>187</v>
      </c>
      <c r="B193" s="54" t="s">
        <v>141</v>
      </c>
      <c r="C193" s="207">
        <f t="shared" ref="C193:K193" si="486">+C171-C191</f>
        <v>-202281947</v>
      </c>
      <c r="D193" s="207">
        <f t="shared" si="486"/>
        <v>0</v>
      </c>
      <c r="E193" s="207">
        <f t="shared" si="486"/>
        <v>0</v>
      </c>
      <c r="F193" s="92">
        <f t="shared" si="486"/>
        <v>0</v>
      </c>
      <c r="G193" s="207">
        <f t="shared" si="486"/>
        <v>-202281947</v>
      </c>
      <c r="H193" s="92">
        <f t="shared" si="486"/>
        <v>0</v>
      </c>
      <c r="I193" s="207">
        <f t="shared" si="486"/>
        <v>0</v>
      </c>
      <c r="J193" s="92">
        <f t="shared" si="486"/>
        <v>0</v>
      </c>
      <c r="K193" s="92">
        <f t="shared" si="486"/>
        <v>0</v>
      </c>
      <c r="L193" s="207">
        <f t="shared" ref="L193:Y193" si="487">+L171-L191</f>
        <v>0</v>
      </c>
      <c r="M193" s="207">
        <f t="shared" si="487"/>
        <v>0</v>
      </c>
      <c r="N193" s="207">
        <f t="shared" si="487"/>
        <v>0</v>
      </c>
      <c r="O193" s="92">
        <f t="shared" si="487"/>
        <v>0</v>
      </c>
      <c r="P193" s="92">
        <f t="shared" si="487"/>
        <v>0</v>
      </c>
      <c r="Q193" s="92">
        <f t="shared" si="487"/>
        <v>0</v>
      </c>
      <c r="R193" s="207">
        <f t="shared" si="487"/>
        <v>0</v>
      </c>
      <c r="S193" s="207">
        <f t="shared" si="487"/>
        <v>0</v>
      </c>
      <c r="T193" s="207">
        <f>+T171-T191</f>
        <v>0</v>
      </c>
      <c r="U193" s="207">
        <f t="shared" si="487"/>
        <v>0</v>
      </c>
      <c r="V193" s="207">
        <f t="shared" si="487"/>
        <v>0</v>
      </c>
      <c r="W193" s="207">
        <f t="shared" si="487"/>
        <v>0</v>
      </c>
      <c r="X193" s="207">
        <f t="shared" si="487"/>
        <v>0</v>
      </c>
      <c r="Y193" s="207">
        <f t="shared" si="487"/>
        <v>0</v>
      </c>
      <c r="Z193" s="92">
        <f t="shared" ref="Z193:AE193" si="488">+Z171-Z191</f>
        <v>0</v>
      </c>
      <c r="AA193" s="92">
        <f t="shared" si="488"/>
        <v>0</v>
      </c>
      <c r="AB193" s="207">
        <f t="shared" si="488"/>
        <v>0</v>
      </c>
      <c r="AC193" s="207">
        <f t="shared" si="488"/>
        <v>0</v>
      </c>
      <c r="AD193" s="92">
        <f t="shared" si="488"/>
        <v>0</v>
      </c>
      <c r="AE193" s="207">
        <f t="shared" si="488"/>
        <v>0</v>
      </c>
      <c r="AF193" s="207">
        <f t="shared" ref="AF193:AL193" si="489">+AF171-AF191</f>
        <v>0</v>
      </c>
      <c r="AG193" s="92">
        <f t="shared" si="489"/>
        <v>0</v>
      </c>
      <c r="AH193" s="92">
        <f t="shared" si="489"/>
        <v>0</v>
      </c>
      <c r="AI193" s="207">
        <f t="shared" si="489"/>
        <v>0</v>
      </c>
      <c r="AJ193" s="92">
        <f t="shared" si="489"/>
        <v>0</v>
      </c>
      <c r="AK193" s="207">
        <f t="shared" si="489"/>
        <v>0</v>
      </c>
      <c r="AL193" s="207">
        <f t="shared" si="489"/>
        <v>0</v>
      </c>
      <c r="AM193" s="207">
        <f t="shared" ref="AM193:BB193" si="490">+AM171-AM191</f>
        <v>0</v>
      </c>
      <c r="AN193" s="92">
        <f t="shared" si="490"/>
        <v>0</v>
      </c>
      <c r="AO193" s="207">
        <f t="shared" si="490"/>
        <v>0</v>
      </c>
      <c r="AP193" s="207">
        <f t="shared" si="490"/>
        <v>0</v>
      </c>
      <c r="AQ193" s="207">
        <f>+AQ171-AQ191</f>
        <v>0</v>
      </c>
      <c r="AR193" s="207">
        <f>+AR171-AR191</f>
        <v>0</v>
      </c>
      <c r="AS193" s="207">
        <f t="shared" ref="AS193:AY193" si="491">+AS171-AS191</f>
        <v>0</v>
      </c>
      <c r="AT193" s="207">
        <f t="shared" si="491"/>
        <v>0</v>
      </c>
      <c r="AU193" s="207">
        <f>+AU171-AU191</f>
        <v>0</v>
      </c>
      <c r="AV193" s="207">
        <f t="shared" si="491"/>
        <v>0</v>
      </c>
      <c r="AW193" s="207">
        <f t="shared" si="491"/>
        <v>0</v>
      </c>
      <c r="AX193" s="207">
        <f t="shared" si="491"/>
        <v>0</v>
      </c>
      <c r="AY193" s="207">
        <f t="shared" si="491"/>
        <v>0</v>
      </c>
      <c r="AZ193" s="207">
        <f>+AZ171-AZ191</f>
        <v>0</v>
      </c>
      <c r="BA193" s="207">
        <f t="shared" si="490"/>
        <v>0</v>
      </c>
      <c r="BB193" s="207">
        <f t="shared" si="490"/>
        <v>0</v>
      </c>
      <c r="BC193" s="207">
        <f>+BC171-BC191</f>
        <v>0</v>
      </c>
      <c r="BD193" s="207">
        <f>+BD171-BD191</f>
        <v>0</v>
      </c>
      <c r="BE193" s="207">
        <f t="shared" ref="BE193:BG193" si="492">+BE171-BE191</f>
        <v>0</v>
      </c>
      <c r="BF193" s="207">
        <f t="shared" si="492"/>
        <v>0</v>
      </c>
      <c r="BG193" s="207">
        <f t="shared" si="492"/>
        <v>0</v>
      </c>
      <c r="BH193" s="207">
        <f t="shared" ref="BH193:BL193" si="493">+BH171-BH191</f>
        <v>0</v>
      </c>
      <c r="BI193" s="207">
        <f t="shared" si="493"/>
        <v>0</v>
      </c>
      <c r="BJ193" s="207">
        <f t="shared" si="493"/>
        <v>0</v>
      </c>
      <c r="BK193" s="207">
        <f t="shared" si="493"/>
        <v>0</v>
      </c>
      <c r="BL193" s="207">
        <f t="shared" si="493"/>
        <v>0</v>
      </c>
    </row>
    <row r="194" spans="1:64" ht="14.1" customHeight="1" thickTop="1">
      <c r="A194" s="379">
        <f t="shared" si="417"/>
        <v>188</v>
      </c>
      <c r="B194" s="25"/>
      <c r="C194" s="2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</row>
    <row r="195" spans="1:64" ht="14.1" customHeight="1">
      <c r="A195" s="379">
        <f t="shared" si="417"/>
        <v>189</v>
      </c>
      <c r="B195" s="13" t="s">
        <v>142</v>
      </c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</row>
    <row r="196" spans="1:64" ht="14.1" customHeight="1">
      <c r="A196" s="379">
        <f t="shared" si="417"/>
        <v>190</v>
      </c>
      <c r="B196" s="22" t="s">
        <v>143</v>
      </c>
      <c r="C196" s="38">
        <f>SUM(D196:BI196)</f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0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0</v>
      </c>
      <c r="AW196" s="10">
        <v>0</v>
      </c>
      <c r="AX196" s="10">
        <v>0</v>
      </c>
      <c r="AY196" s="10">
        <v>0</v>
      </c>
      <c r="AZ196" s="10">
        <v>0</v>
      </c>
      <c r="BA196" s="10">
        <v>0</v>
      </c>
      <c r="BB196" s="10">
        <v>0</v>
      </c>
      <c r="BC196" s="10">
        <v>0</v>
      </c>
      <c r="BD196" s="10">
        <v>0</v>
      </c>
      <c r="BE196" s="10">
        <v>0</v>
      </c>
      <c r="BF196" s="10">
        <v>0</v>
      </c>
      <c r="BG196" s="10">
        <v>0</v>
      </c>
      <c r="BH196" s="10">
        <v>0</v>
      </c>
      <c r="BI196" s="10">
        <v>0</v>
      </c>
      <c r="BJ196" s="10">
        <v>0</v>
      </c>
      <c r="BK196" s="10">
        <v>0</v>
      </c>
      <c r="BL196" s="10">
        <v>0</v>
      </c>
    </row>
    <row r="197" spans="1:64" ht="14.1" customHeight="1">
      <c r="A197" s="379">
        <f t="shared" si="417"/>
        <v>191</v>
      </c>
      <c r="B197" s="56" t="s">
        <v>55</v>
      </c>
      <c r="C197" s="38">
        <f>SUM(D197:BI197)</f>
        <v>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0</v>
      </c>
      <c r="AS197" s="10">
        <v>0</v>
      </c>
      <c r="AT197" s="10">
        <v>0</v>
      </c>
      <c r="AU197" s="10">
        <v>0</v>
      </c>
      <c r="AV197" s="10">
        <v>0</v>
      </c>
      <c r="AW197" s="10">
        <v>0</v>
      </c>
      <c r="AX197" s="10">
        <v>0</v>
      </c>
      <c r="AY197" s="10">
        <v>0</v>
      </c>
      <c r="AZ197" s="10">
        <v>0</v>
      </c>
      <c r="BA197" s="10">
        <v>0</v>
      </c>
      <c r="BB197" s="10">
        <v>0</v>
      </c>
      <c r="BC197" s="10">
        <v>0</v>
      </c>
      <c r="BD197" s="10">
        <v>0</v>
      </c>
      <c r="BE197" s="10">
        <v>0</v>
      </c>
      <c r="BF197" s="10">
        <v>0</v>
      </c>
      <c r="BG197" s="10">
        <v>0</v>
      </c>
      <c r="BH197" s="10">
        <v>0</v>
      </c>
      <c r="BI197" s="10">
        <v>0</v>
      </c>
      <c r="BJ197" s="10">
        <v>0</v>
      </c>
      <c r="BK197" s="10">
        <v>0</v>
      </c>
      <c r="BL197" s="10">
        <v>0</v>
      </c>
    </row>
    <row r="198" spans="1:64" ht="14.1" customHeight="1">
      <c r="A198" s="379">
        <f t="shared" si="417"/>
        <v>192</v>
      </c>
      <c r="B198" s="13" t="s">
        <v>489</v>
      </c>
      <c r="C198" s="47">
        <f t="shared" ref="C198:K198" si="494">SUM(C196:C197)</f>
        <v>0</v>
      </c>
      <c r="D198" s="47">
        <f t="shared" si="494"/>
        <v>0</v>
      </c>
      <c r="E198" s="47">
        <f t="shared" si="494"/>
        <v>0</v>
      </c>
      <c r="F198" s="47">
        <f t="shared" si="494"/>
        <v>0</v>
      </c>
      <c r="G198" s="47">
        <f t="shared" si="494"/>
        <v>0</v>
      </c>
      <c r="H198" s="47">
        <f t="shared" si="494"/>
        <v>0</v>
      </c>
      <c r="I198" s="47">
        <f t="shared" si="494"/>
        <v>0</v>
      </c>
      <c r="J198" s="47">
        <f t="shared" si="494"/>
        <v>0</v>
      </c>
      <c r="K198" s="47">
        <f t="shared" si="494"/>
        <v>0</v>
      </c>
      <c r="L198" s="47">
        <f t="shared" ref="L198:Y198" si="495">SUM(L196:L197)</f>
        <v>0</v>
      </c>
      <c r="M198" s="47">
        <f t="shared" si="495"/>
        <v>0</v>
      </c>
      <c r="N198" s="47">
        <f t="shared" si="495"/>
        <v>0</v>
      </c>
      <c r="O198" s="47">
        <f t="shared" si="495"/>
        <v>0</v>
      </c>
      <c r="P198" s="47">
        <f t="shared" si="495"/>
        <v>0</v>
      </c>
      <c r="Q198" s="47">
        <f t="shared" si="495"/>
        <v>0</v>
      </c>
      <c r="R198" s="47">
        <f t="shared" si="495"/>
        <v>0</v>
      </c>
      <c r="S198" s="47">
        <f t="shared" si="495"/>
        <v>0</v>
      </c>
      <c r="T198" s="47">
        <f>SUM(T196:T197)</f>
        <v>0</v>
      </c>
      <c r="U198" s="47">
        <f t="shared" si="495"/>
        <v>0</v>
      </c>
      <c r="V198" s="47">
        <f t="shared" si="495"/>
        <v>0</v>
      </c>
      <c r="W198" s="47">
        <f t="shared" si="495"/>
        <v>0</v>
      </c>
      <c r="X198" s="47">
        <f t="shared" si="495"/>
        <v>0</v>
      </c>
      <c r="Y198" s="47">
        <f t="shared" si="495"/>
        <v>0</v>
      </c>
      <c r="Z198" s="47">
        <f t="shared" ref="Z198:AE198" si="496">SUM(Z196:Z197)</f>
        <v>0</v>
      </c>
      <c r="AA198" s="47">
        <f t="shared" si="496"/>
        <v>0</v>
      </c>
      <c r="AB198" s="47">
        <f t="shared" si="496"/>
        <v>0</v>
      </c>
      <c r="AC198" s="47">
        <f t="shared" si="496"/>
        <v>0</v>
      </c>
      <c r="AD198" s="47">
        <f t="shared" si="496"/>
        <v>0</v>
      </c>
      <c r="AE198" s="47">
        <f t="shared" si="496"/>
        <v>0</v>
      </c>
      <c r="AF198" s="47">
        <f t="shared" ref="AF198:AL198" si="497">SUM(AF196:AF197)</f>
        <v>0</v>
      </c>
      <c r="AG198" s="47">
        <f t="shared" si="497"/>
        <v>0</v>
      </c>
      <c r="AH198" s="47">
        <f t="shared" si="497"/>
        <v>0</v>
      </c>
      <c r="AI198" s="47">
        <f t="shared" si="497"/>
        <v>0</v>
      </c>
      <c r="AJ198" s="47">
        <f t="shared" si="497"/>
        <v>0</v>
      </c>
      <c r="AK198" s="47">
        <f t="shared" si="497"/>
        <v>0</v>
      </c>
      <c r="AL198" s="47">
        <f t="shared" si="497"/>
        <v>0</v>
      </c>
      <c r="AM198" s="47">
        <f t="shared" ref="AM198:BB198" si="498">SUM(AM196:AM197)</f>
        <v>0</v>
      </c>
      <c r="AN198" s="47">
        <f t="shared" si="498"/>
        <v>0</v>
      </c>
      <c r="AO198" s="47">
        <f t="shared" si="498"/>
        <v>0</v>
      </c>
      <c r="AP198" s="47">
        <f t="shared" si="498"/>
        <v>0</v>
      </c>
      <c r="AQ198" s="47">
        <f>SUM(AQ196:AQ197)</f>
        <v>0</v>
      </c>
      <c r="AR198" s="47">
        <f>SUM(AR196:AR197)</f>
        <v>0</v>
      </c>
      <c r="AS198" s="47">
        <f t="shared" ref="AS198:AY198" si="499">SUM(AS196:AS197)</f>
        <v>0</v>
      </c>
      <c r="AT198" s="47">
        <f t="shared" si="499"/>
        <v>0</v>
      </c>
      <c r="AU198" s="47">
        <f>SUM(AU196:AU197)</f>
        <v>0</v>
      </c>
      <c r="AV198" s="47">
        <f t="shared" si="499"/>
        <v>0</v>
      </c>
      <c r="AW198" s="47">
        <f t="shared" si="499"/>
        <v>0</v>
      </c>
      <c r="AX198" s="47">
        <f t="shared" si="499"/>
        <v>0</v>
      </c>
      <c r="AY198" s="47">
        <f t="shared" si="499"/>
        <v>0</v>
      </c>
      <c r="AZ198" s="47">
        <f>SUM(AZ196:AZ197)</f>
        <v>0</v>
      </c>
      <c r="BA198" s="47">
        <f t="shared" si="498"/>
        <v>0</v>
      </c>
      <c r="BB198" s="47">
        <f t="shared" si="498"/>
        <v>0</v>
      </c>
      <c r="BC198" s="47">
        <f>SUM(BC196:BC197)</f>
        <v>0</v>
      </c>
      <c r="BD198" s="47">
        <f>SUM(BD196:BD197)</f>
        <v>0</v>
      </c>
      <c r="BE198" s="47">
        <f t="shared" ref="BE198:BG198" si="500">SUM(BE196:BE197)</f>
        <v>0</v>
      </c>
      <c r="BF198" s="47">
        <f t="shared" si="500"/>
        <v>0</v>
      </c>
      <c r="BG198" s="47">
        <f t="shared" si="500"/>
        <v>0</v>
      </c>
      <c r="BH198" s="47">
        <f t="shared" ref="BH198:BL198" si="501">SUM(BH196:BH197)</f>
        <v>0</v>
      </c>
      <c r="BI198" s="47">
        <f t="shared" si="501"/>
        <v>0</v>
      </c>
      <c r="BJ198" s="47">
        <f t="shared" si="501"/>
        <v>0</v>
      </c>
      <c r="BK198" s="47">
        <f t="shared" si="501"/>
        <v>0</v>
      </c>
      <c r="BL198" s="47">
        <f t="shared" si="501"/>
        <v>0</v>
      </c>
    </row>
    <row r="199" spans="1:64" ht="14.1" customHeight="1">
      <c r="A199" s="379">
        <f t="shared" si="417"/>
        <v>193</v>
      </c>
      <c r="B199" s="22"/>
      <c r="C199" s="22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</row>
    <row r="200" spans="1:64" ht="14.1" customHeight="1">
      <c r="A200" s="379">
        <f t="shared" si="417"/>
        <v>194</v>
      </c>
      <c r="B200" s="22" t="s">
        <v>136</v>
      </c>
      <c r="C200" s="38">
        <f>SUM(D200:BI200)</f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0</v>
      </c>
      <c r="AT200" s="10">
        <v>0</v>
      </c>
      <c r="AU200" s="10">
        <v>0</v>
      </c>
      <c r="AV200" s="10">
        <v>0</v>
      </c>
      <c r="AW200" s="10">
        <v>0</v>
      </c>
      <c r="AX200" s="10">
        <v>0</v>
      </c>
      <c r="AY200" s="10">
        <v>0</v>
      </c>
      <c r="AZ200" s="10">
        <v>0</v>
      </c>
      <c r="BA200" s="10">
        <v>0</v>
      </c>
      <c r="BB200" s="10">
        <v>0</v>
      </c>
      <c r="BC200" s="10">
        <v>0</v>
      </c>
      <c r="BD200" s="10">
        <v>0</v>
      </c>
      <c r="BE200" s="10">
        <v>0</v>
      </c>
      <c r="BF200" s="10">
        <v>0</v>
      </c>
      <c r="BG200" s="10">
        <v>0</v>
      </c>
      <c r="BH200" s="10">
        <v>0</v>
      </c>
      <c r="BI200" s="10">
        <v>0</v>
      </c>
      <c r="BJ200" s="10">
        <v>0</v>
      </c>
      <c r="BK200" s="10">
        <v>0</v>
      </c>
      <c r="BL200" s="10">
        <v>0</v>
      </c>
    </row>
    <row r="201" spans="1:64" ht="14.1" customHeight="1">
      <c r="A201" s="379">
        <f t="shared" si="417"/>
        <v>195</v>
      </c>
      <c r="B201" s="56" t="s">
        <v>144</v>
      </c>
      <c r="C201" s="38">
        <f>SUM(D201:BI201)</f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0</v>
      </c>
      <c r="AU201" s="10">
        <v>0</v>
      </c>
      <c r="AV201" s="10">
        <v>0</v>
      </c>
      <c r="AW201" s="10">
        <v>0</v>
      </c>
      <c r="AX201" s="10">
        <v>0</v>
      </c>
      <c r="AY201" s="10">
        <v>0</v>
      </c>
      <c r="AZ201" s="10">
        <v>0</v>
      </c>
      <c r="BA201" s="10">
        <v>0</v>
      </c>
      <c r="BB201" s="10">
        <v>0</v>
      </c>
      <c r="BC201" s="10">
        <v>0</v>
      </c>
      <c r="BD201" s="10">
        <v>0</v>
      </c>
      <c r="BE201" s="10">
        <v>0</v>
      </c>
      <c r="BF201" s="10">
        <v>0</v>
      </c>
      <c r="BG201" s="10">
        <v>0</v>
      </c>
      <c r="BH201" s="10">
        <v>0</v>
      </c>
      <c r="BI201" s="10">
        <v>0</v>
      </c>
      <c r="BJ201" s="10">
        <v>0</v>
      </c>
      <c r="BK201" s="10">
        <v>0</v>
      </c>
      <c r="BL201" s="10">
        <v>0</v>
      </c>
    </row>
    <row r="202" spans="1:64" ht="14.1" customHeight="1">
      <c r="A202" s="379">
        <f t="shared" si="417"/>
        <v>196</v>
      </c>
      <c r="B202" s="90" t="s">
        <v>490</v>
      </c>
      <c r="C202" s="47">
        <f t="shared" ref="C202:K202" si="502">SUM(C200:C201)</f>
        <v>0</v>
      </c>
      <c r="D202" s="47">
        <f t="shared" si="502"/>
        <v>0</v>
      </c>
      <c r="E202" s="47">
        <f t="shared" si="502"/>
        <v>0</v>
      </c>
      <c r="F202" s="47">
        <f t="shared" si="502"/>
        <v>0</v>
      </c>
      <c r="G202" s="47">
        <f t="shared" si="502"/>
        <v>0</v>
      </c>
      <c r="H202" s="47">
        <f t="shared" si="502"/>
        <v>0</v>
      </c>
      <c r="I202" s="47">
        <f t="shared" si="502"/>
        <v>0</v>
      </c>
      <c r="J202" s="47">
        <f t="shared" si="502"/>
        <v>0</v>
      </c>
      <c r="K202" s="47">
        <f t="shared" si="502"/>
        <v>0</v>
      </c>
      <c r="L202" s="47">
        <f t="shared" ref="L202:Y202" si="503">SUM(L200:L201)</f>
        <v>0</v>
      </c>
      <c r="M202" s="47">
        <f t="shared" si="503"/>
        <v>0</v>
      </c>
      <c r="N202" s="47">
        <f t="shared" si="503"/>
        <v>0</v>
      </c>
      <c r="O202" s="47">
        <f t="shared" si="503"/>
        <v>0</v>
      </c>
      <c r="P202" s="47">
        <f t="shared" si="503"/>
        <v>0</v>
      </c>
      <c r="Q202" s="47">
        <f t="shared" si="503"/>
        <v>0</v>
      </c>
      <c r="R202" s="47">
        <f t="shared" si="503"/>
        <v>0</v>
      </c>
      <c r="S202" s="47">
        <f t="shared" si="503"/>
        <v>0</v>
      </c>
      <c r="T202" s="47">
        <f>SUM(T200:T201)</f>
        <v>0</v>
      </c>
      <c r="U202" s="47">
        <f t="shared" si="503"/>
        <v>0</v>
      </c>
      <c r="V202" s="47">
        <f t="shared" si="503"/>
        <v>0</v>
      </c>
      <c r="W202" s="47">
        <f t="shared" si="503"/>
        <v>0</v>
      </c>
      <c r="X202" s="47">
        <f t="shared" si="503"/>
        <v>0</v>
      </c>
      <c r="Y202" s="47">
        <f t="shared" si="503"/>
        <v>0</v>
      </c>
      <c r="Z202" s="47">
        <f t="shared" ref="Z202:AE202" si="504">SUM(Z200:Z201)</f>
        <v>0</v>
      </c>
      <c r="AA202" s="47">
        <f t="shared" si="504"/>
        <v>0</v>
      </c>
      <c r="AB202" s="47">
        <f t="shared" si="504"/>
        <v>0</v>
      </c>
      <c r="AC202" s="47">
        <f t="shared" si="504"/>
        <v>0</v>
      </c>
      <c r="AD202" s="47">
        <f t="shared" si="504"/>
        <v>0</v>
      </c>
      <c r="AE202" s="47">
        <f t="shared" si="504"/>
        <v>0</v>
      </c>
      <c r="AF202" s="47">
        <f t="shared" ref="AF202:AL202" si="505">SUM(AF200:AF201)</f>
        <v>0</v>
      </c>
      <c r="AG202" s="47">
        <f t="shared" si="505"/>
        <v>0</v>
      </c>
      <c r="AH202" s="47">
        <f t="shared" si="505"/>
        <v>0</v>
      </c>
      <c r="AI202" s="47">
        <f t="shared" si="505"/>
        <v>0</v>
      </c>
      <c r="AJ202" s="47">
        <f t="shared" si="505"/>
        <v>0</v>
      </c>
      <c r="AK202" s="47">
        <f t="shared" si="505"/>
        <v>0</v>
      </c>
      <c r="AL202" s="47">
        <f t="shared" si="505"/>
        <v>0</v>
      </c>
      <c r="AM202" s="47">
        <f t="shared" ref="AM202:BB202" si="506">SUM(AM200:AM201)</f>
        <v>0</v>
      </c>
      <c r="AN202" s="47">
        <f t="shared" si="506"/>
        <v>0</v>
      </c>
      <c r="AO202" s="47">
        <f t="shared" si="506"/>
        <v>0</v>
      </c>
      <c r="AP202" s="47">
        <f t="shared" si="506"/>
        <v>0</v>
      </c>
      <c r="AQ202" s="47">
        <f>SUM(AQ200:AQ201)</f>
        <v>0</v>
      </c>
      <c r="AR202" s="47">
        <f>SUM(AR200:AR201)</f>
        <v>0</v>
      </c>
      <c r="AS202" s="47">
        <f t="shared" ref="AS202:AY202" si="507">SUM(AS200:AS201)</f>
        <v>0</v>
      </c>
      <c r="AT202" s="47">
        <f t="shared" si="507"/>
        <v>0</v>
      </c>
      <c r="AU202" s="47">
        <f>SUM(AU200:AU201)</f>
        <v>0</v>
      </c>
      <c r="AV202" s="47">
        <f t="shared" si="507"/>
        <v>0</v>
      </c>
      <c r="AW202" s="47">
        <f t="shared" si="507"/>
        <v>0</v>
      </c>
      <c r="AX202" s="47">
        <f t="shared" si="507"/>
        <v>0</v>
      </c>
      <c r="AY202" s="47">
        <f t="shared" si="507"/>
        <v>0</v>
      </c>
      <c r="AZ202" s="47">
        <f>SUM(AZ200:AZ201)</f>
        <v>0</v>
      </c>
      <c r="BA202" s="47">
        <f t="shared" si="506"/>
        <v>0</v>
      </c>
      <c r="BB202" s="47">
        <f t="shared" si="506"/>
        <v>0</v>
      </c>
      <c r="BC202" s="47">
        <f>SUM(BC200:BC201)</f>
        <v>0</v>
      </c>
      <c r="BD202" s="47">
        <f>SUM(BD200:BD201)</f>
        <v>0</v>
      </c>
      <c r="BE202" s="47">
        <f t="shared" ref="BE202:BG202" si="508">SUM(BE200:BE201)</f>
        <v>0</v>
      </c>
      <c r="BF202" s="47">
        <f t="shared" si="508"/>
        <v>0</v>
      </c>
      <c r="BG202" s="47">
        <f t="shared" si="508"/>
        <v>0</v>
      </c>
      <c r="BH202" s="47">
        <f t="shared" ref="BH202:BL202" si="509">SUM(BH200:BH201)</f>
        <v>0</v>
      </c>
      <c r="BI202" s="47">
        <f t="shared" si="509"/>
        <v>0</v>
      </c>
      <c r="BJ202" s="47">
        <f t="shared" si="509"/>
        <v>0</v>
      </c>
      <c r="BK202" s="47">
        <f t="shared" si="509"/>
        <v>0</v>
      </c>
      <c r="BL202" s="47">
        <f t="shared" si="509"/>
        <v>0</v>
      </c>
    </row>
    <row r="203" spans="1:64" ht="14.1" customHeight="1">
      <c r="A203" s="379">
        <f t="shared" si="417"/>
        <v>197</v>
      </c>
      <c r="B203" s="25"/>
      <c r="C203" s="38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</row>
    <row r="204" spans="1:64" ht="14.1" customHeight="1">
      <c r="A204" s="379">
        <f t="shared" si="417"/>
        <v>198</v>
      </c>
      <c r="B204" s="22" t="s">
        <v>145</v>
      </c>
      <c r="C204" s="38">
        <f>SUM(D204:BI204)</f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0</v>
      </c>
      <c r="AV204" s="10">
        <v>0</v>
      </c>
      <c r="AW204" s="10">
        <v>0</v>
      </c>
      <c r="AX204" s="10">
        <v>0</v>
      </c>
      <c r="AY204" s="10">
        <v>0</v>
      </c>
      <c r="AZ204" s="10">
        <v>0</v>
      </c>
      <c r="BA204" s="10">
        <v>0</v>
      </c>
      <c r="BB204" s="10">
        <v>0</v>
      </c>
      <c r="BC204" s="10">
        <v>0</v>
      </c>
      <c r="BD204" s="10">
        <v>0</v>
      </c>
      <c r="BE204" s="10">
        <v>0</v>
      </c>
      <c r="BF204" s="10">
        <v>0</v>
      </c>
      <c r="BG204" s="10">
        <v>0</v>
      </c>
      <c r="BH204" s="10">
        <v>0</v>
      </c>
      <c r="BI204" s="10">
        <v>0</v>
      </c>
      <c r="BJ204" s="10">
        <v>0</v>
      </c>
      <c r="BK204" s="10">
        <v>0</v>
      </c>
      <c r="BL204" s="10">
        <v>0</v>
      </c>
    </row>
    <row r="205" spans="1:64" ht="14.1" customHeight="1">
      <c r="A205" s="379">
        <f t="shared" ref="A205:A268" si="510">+A204+1</f>
        <v>199</v>
      </c>
      <c r="B205" s="52" t="s">
        <v>55</v>
      </c>
      <c r="C205" s="38">
        <f>SUM(D205:BI205)</f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0</v>
      </c>
      <c r="AX205" s="10">
        <v>0</v>
      </c>
      <c r="AY205" s="10">
        <v>0</v>
      </c>
      <c r="AZ205" s="10">
        <v>0</v>
      </c>
      <c r="BA205" s="10">
        <v>0</v>
      </c>
      <c r="BB205" s="10">
        <v>0</v>
      </c>
      <c r="BC205" s="10">
        <v>0</v>
      </c>
      <c r="BD205" s="10">
        <v>0</v>
      </c>
      <c r="BE205" s="10">
        <v>0</v>
      </c>
      <c r="BF205" s="10">
        <v>0</v>
      </c>
      <c r="BG205" s="10">
        <v>0</v>
      </c>
      <c r="BH205" s="10">
        <v>0</v>
      </c>
      <c r="BI205" s="10">
        <v>0</v>
      </c>
      <c r="BJ205" s="10">
        <v>0</v>
      </c>
      <c r="BK205" s="10">
        <v>0</v>
      </c>
      <c r="BL205" s="10">
        <v>0</v>
      </c>
    </row>
    <row r="206" spans="1:64" ht="14.1" customHeight="1">
      <c r="A206" s="379">
        <f t="shared" si="510"/>
        <v>200</v>
      </c>
      <c r="B206" s="13" t="s">
        <v>485</v>
      </c>
      <c r="C206" s="47">
        <f t="shared" ref="C206:K206" si="511">SUM(C204:C205)</f>
        <v>0</v>
      </c>
      <c r="D206" s="47">
        <f t="shared" si="511"/>
        <v>0</v>
      </c>
      <c r="E206" s="47">
        <f t="shared" si="511"/>
        <v>0</v>
      </c>
      <c r="F206" s="47">
        <f t="shared" si="511"/>
        <v>0</v>
      </c>
      <c r="G206" s="47">
        <f t="shared" si="511"/>
        <v>0</v>
      </c>
      <c r="H206" s="47">
        <f t="shared" si="511"/>
        <v>0</v>
      </c>
      <c r="I206" s="47">
        <f t="shared" si="511"/>
        <v>0</v>
      </c>
      <c r="J206" s="47">
        <f t="shared" si="511"/>
        <v>0</v>
      </c>
      <c r="K206" s="47">
        <f t="shared" si="511"/>
        <v>0</v>
      </c>
      <c r="L206" s="47">
        <f t="shared" ref="L206:Y206" si="512">SUM(L204:L205)</f>
        <v>0</v>
      </c>
      <c r="M206" s="47">
        <f t="shared" si="512"/>
        <v>0</v>
      </c>
      <c r="N206" s="47">
        <f t="shared" si="512"/>
        <v>0</v>
      </c>
      <c r="O206" s="47">
        <f t="shared" si="512"/>
        <v>0</v>
      </c>
      <c r="P206" s="47">
        <f t="shared" si="512"/>
        <v>0</v>
      </c>
      <c r="Q206" s="47">
        <f t="shared" si="512"/>
        <v>0</v>
      </c>
      <c r="R206" s="47">
        <f t="shared" si="512"/>
        <v>0</v>
      </c>
      <c r="S206" s="47">
        <f t="shared" si="512"/>
        <v>0</v>
      </c>
      <c r="T206" s="47">
        <f>SUM(T204:T205)</f>
        <v>0</v>
      </c>
      <c r="U206" s="47">
        <f t="shared" si="512"/>
        <v>0</v>
      </c>
      <c r="V206" s="47">
        <f t="shared" si="512"/>
        <v>0</v>
      </c>
      <c r="W206" s="47">
        <f t="shared" si="512"/>
        <v>0</v>
      </c>
      <c r="X206" s="47">
        <f t="shared" si="512"/>
        <v>0</v>
      </c>
      <c r="Y206" s="47">
        <f t="shared" si="512"/>
        <v>0</v>
      </c>
      <c r="Z206" s="47">
        <f t="shared" ref="Z206:AE206" si="513">SUM(Z204:Z205)</f>
        <v>0</v>
      </c>
      <c r="AA206" s="47">
        <f t="shared" si="513"/>
        <v>0</v>
      </c>
      <c r="AB206" s="47">
        <f t="shared" si="513"/>
        <v>0</v>
      </c>
      <c r="AC206" s="47">
        <f t="shared" si="513"/>
        <v>0</v>
      </c>
      <c r="AD206" s="47">
        <f t="shared" si="513"/>
        <v>0</v>
      </c>
      <c r="AE206" s="47">
        <f t="shared" si="513"/>
        <v>0</v>
      </c>
      <c r="AF206" s="47">
        <f t="shared" ref="AF206:AL206" si="514">SUM(AF204:AF205)</f>
        <v>0</v>
      </c>
      <c r="AG206" s="47">
        <f t="shared" si="514"/>
        <v>0</v>
      </c>
      <c r="AH206" s="47">
        <f t="shared" si="514"/>
        <v>0</v>
      </c>
      <c r="AI206" s="47">
        <f t="shared" si="514"/>
        <v>0</v>
      </c>
      <c r="AJ206" s="47">
        <f t="shared" si="514"/>
        <v>0</v>
      </c>
      <c r="AK206" s="47">
        <f t="shared" si="514"/>
        <v>0</v>
      </c>
      <c r="AL206" s="47">
        <f t="shared" si="514"/>
        <v>0</v>
      </c>
      <c r="AM206" s="47">
        <f t="shared" ref="AM206:BB206" si="515">SUM(AM204:AM205)</f>
        <v>0</v>
      </c>
      <c r="AN206" s="47">
        <f t="shared" si="515"/>
        <v>0</v>
      </c>
      <c r="AO206" s="47">
        <f t="shared" si="515"/>
        <v>0</v>
      </c>
      <c r="AP206" s="47">
        <f t="shared" si="515"/>
        <v>0</v>
      </c>
      <c r="AQ206" s="47">
        <f>SUM(AQ204:AQ205)</f>
        <v>0</v>
      </c>
      <c r="AR206" s="47">
        <f>SUM(AR204:AR205)</f>
        <v>0</v>
      </c>
      <c r="AS206" s="47">
        <f t="shared" ref="AS206:AY206" si="516">SUM(AS204:AS205)</f>
        <v>0</v>
      </c>
      <c r="AT206" s="47">
        <f t="shared" si="516"/>
        <v>0</v>
      </c>
      <c r="AU206" s="47">
        <f>SUM(AU204:AU205)</f>
        <v>0</v>
      </c>
      <c r="AV206" s="47">
        <f t="shared" si="516"/>
        <v>0</v>
      </c>
      <c r="AW206" s="47">
        <f t="shared" si="516"/>
        <v>0</v>
      </c>
      <c r="AX206" s="47">
        <f t="shared" si="516"/>
        <v>0</v>
      </c>
      <c r="AY206" s="47">
        <f t="shared" si="516"/>
        <v>0</v>
      </c>
      <c r="AZ206" s="47">
        <f>SUM(AZ204:AZ205)</f>
        <v>0</v>
      </c>
      <c r="BA206" s="47">
        <f t="shared" si="515"/>
        <v>0</v>
      </c>
      <c r="BB206" s="47">
        <f t="shared" si="515"/>
        <v>0</v>
      </c>
      <c r="BC206" s="47">
        <f>SUM(BC204:BC205)</f>
        <v>0</v>
      </c>
      <c r="BD206" s="47">
        <f>SUM(BD204:BD205)</f>
        <v>0</v>
      </c>
      <c r="BE206" s="47">
        <f t="shared" ref="BE206:BG206" si="517">SUM(BE204:BE205)</f>
        <v>0</v>
      </c>
      <c r="BF206" s="47">
        <f t="shared" si="517"/>
        <v>0</v>
      </c>
      <c r="BG206" s="47">
        <f t="shared" si="517"/>
        <v>0</v>
      </c>
      <c r="BH206" s="47">
        <f t="shared" ref="BH206:BL206" si="518">SUM(BH204:BH205)</f>
        <v>0</v>
      </c>
      <c r="BI206" s="47">
        <f t="shared" si="518"/>
        <v>0</v>
      </c>
      <c r="BJ206" s="47">
        <f t="shared" si="518"/>
        <v>0</v>
      </c>
      <c r="BK206" s="47">
        <f t="shared" si="518"/>
        <v>0</v>
      </c>
      <c r="BL206" s="47">
        <f t="shared" si="518"/>
        <v>0</v>
      </c>
    </row>
    <row r="207" spans="1:64" ht="14.1" customHeight="1">
      <c r="A207" s="379">
        <f t="shared" si="510"/>
        <v>201</v>
      </c>
      <c r="B207" s="22"/>
      <c r="C207" s="2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</row>
    <row r="208" spans="1:64" s="18" customFormat="1" ht="14.1" customHeight="1">
      <c r="A208" s="379">
        <f t="shared" si="510"/>
        <v>202</v>
      </c>
      <c r="B208" s="22" t="s">
        <v>138</v>
      </c>
      <c r="C208" s="38">
        <f>SUM(D208:BI208)</f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  <c r="AM208" s="10">
        <v>0</v>
      </c>
      <c r="AN208" s="10">
        <v>0</v>
      </c>
      <c r="AO208" s="10">
        <v>0</v>
      </c>
      <c r="AP208" s="10">
        <v>0</v>
      </c>
      <c r="AQ208" s="10">
        <v>0</v>
      </c>
      <c r="AR208" s="10">
        <v>0</v>
      </c>
      <c r="AS208" s="10">
        <v>0</v>
      </c>
      <c r="AT208" s="10">
        <v>0</v>
      </c>
      <c r="AU208" s="10">
        <v>0</v>
      </c>
      <c r="AV208" s="10">
        <v>0</v>
      </c>
      <c r="AW208" s="10">
        <v>0</v>
      </c>
      <c r="AX208" s="10">
        <v>0</v>
      </c>
      <c r="AY208" s="10">
        <v>0</v>
      </c>
      <c r="AZ208" s="10">
        <v>0</v>
      </c>
      <c r="BA208" s="10">
        <v>0</v>
      </c>
      <c r="BB208" s="10">
        <v>0</v>
      </c>
      <c r="BC208" s="10">
        <v>0</v>
      </c>
      <c r="BD208" s="10">
        <v>0</v>
      </c>
      <c r="BE208" s="10">
        <v>0</v>
      </c>
      <c r="BF208" s="10">
        <v>0</v>
      </c>
      <c r="BG208" s="10">
        <v>0</v>
      </c>
      <c r="BH208" s="10">
        <v>0</v>
      </c>
      <c r="BI208" s="10">
        <v>0</v>
      </c>
      <c r="BJ208" s="10">
        <v>0</v>
      </c>
      <c r="BK208" s="10">
        <v>0</v>
      </c>
      <c r="BL208" s="10">
        <v>0</v>
      </c>
    </row>
    <row r="209" spans="1:64" s="18" customFormat="1" ht="14.1" customHeight="1">
      <c r="A209" s="379">
        <f t="shared" si="510"/>
        <v>203</v>
      </c>
      <c r="B209" s="56" t="s">
        <v>55</v>
      </c>
      <c r="C209" s="38">
        <f>SUM(D209:BI209)</f>
        <v>0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0">
        <v>0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0</v>
      </c>
      <c r="AV209" s="10">
        <v>0</v>
      </c>
      <c r="AW209" s="10">
        <v>0</v>
      </c>
      <c r="AX209" s="10">
        <v>0</v>
      </c>
      <c r="AY209" s="10">
        <v>0</v>
      </c>
      <c r="AZ209" s="10">
        <v>0</v>
      </c>
      <c r="BA209" s="10">
        <v>0</v>
      </c>
      <c r="BB209" s="10">
        <v>0</v>
      </c>
      <c r="BC209" s="10">
        <v>0</v>
      </c>
      <c r="BD209" s="10">
        <v>0</v>
      </c>
      <c r="BE209" s="10">
        <v>0</v>
      </c>
      <c r="BF209" s="10">
        <v>0</v>
      </c>
      <c r="BG209" s="10">
        <v>0</v>
      </c>
      <c r="BH209" s="10">
        <v>0</v>
      </c>
      <c r="BI209" s="10">
        <v>0</v>
      </c>
      <c r="BJ209" s="10">
        <v>0</v>
      </c>
      <c r="BK209" s="10">
        <v>0</v>
      </c>
      <c r="BL209" s="10">
        <v>0</v>
      </c>
    </row>
    <row r="210" spans="1:64" s="18" customFormat="1" ht="14.1" customHeight="1">
      <c r="A210" s="379">
        <f t="shared" si="510"/>
        <v>204</v>
      </c>
      <c r="B210" s="13" t="s">
        <v>486</v>
      </c>
      <c r="C210" s="47">
        <f t="shared" ref="C210:K210" si="519">SUM(C208:C209)</f>
        <v>0</v>
      </c>
      <c r="D210" s="47">
        <f t="shared" si="519"/>
        <v>0</v>
      </c>
      <c r="E210" s="47">
        <f t="shared" si="519"/>
        <v>0</v>
      </c>
      <c r="F210" s="47">
        <f t="shared" si="519"/>
        <v>0</v>
      </c>
      <c r="G210" s="47">
        <f t="shared" si="519"/>
        <v>0</v>
      </c>
      <c r="H210" s="47">
        <f t="shared" si="519"/>
        <v>0</v>
      </c>
      <c r="I210" s="47">
        <f t="shared" si="519"/>
        <v>0</v>
      </c>
      <c r="J210" s="47">
        <f t="shared" si="519"/>
        <v>0</v>
      </c>
      <c r="K210" s="47">
        <f t="shared" si="519"/>
        <v>0</v>
      </c>
      <c r="L210" s="47">
        <f t="shared" ref="L210:Y210" si="520">SUM(L208:L209)</f>
        <v>0</v>
      </c>
      <c r="M210" s="47">
        <f t="shared" si="520"/>
        <v>0</v>
      </c>
      <c r="N210" s="47">
        <f t="shared" si="520"/>
        <v>0</v>
      </c>
      <c r="O210" s="47">
        <f t="shared" si="520"/>
        <v>0</v>
      </c>
      <c r="P210" s="47">
        <f t="shared" si="520"/>
        <v>0</v>
      </c>
      <c r="Q210" s="47">
        <f t="shared" si="520"/>
        <v>0</v>
      </c>
      <c r="R210" s="47">
        <f t="shared" si="520"/>
        <v>0</v>
      </c>
      <c r="S210" s="47">
        <f t="shared" si="520"/>
        <v>0</v>
      </c>
      <c r="T210" s="47">
        <f>SUM(T208:T209)</f>
        <v>0</v>
      </c>
      <c r="U210" s="47">
        <f t="shared" si="520"/>
        <v>0</v>
      </c>
      <c r="V210" s="47">
        <f t="shared" si="520"/>
        <v>0</v>
      </c>
      <c r="W210" s="47">
        <f t="shared" si="520"/>
        <v>0</v>
      </c>
      <c r="X210" s="47">
        <f t="shared" si="520"/>
        <v>0</v>
      </c>
      <c r="Y210" s="47">
        <f t="shared" si="520"/>
        <v>0</v>
      </c>
      <c r="Z210" s="47">
        <f t="shared" ref="Z210:AE210" si="521">SUM(Z208:Z209)</f>
        <v>0</v>
      </c>
      <c r="AA210" s="47">
        <f t="shared" si="521"/>
        <v>0</v>
      </c>
      <c r="AB210" s="47">
        <f t="shared" si="521"/>
        <v>0</v>
      </c>
      <c r="AC210" s="47">
        <f t="shared" si="521"/>
        <v>0</v>
      </c>
      <c r="AD210" s="47">
        <f t="shared" si="521"/>
        <v>0</v>
      </c>
      <c r="AE210" s="47">
        <f t="shared" si="521"/>
        <v>0</v>
      </c>
      <c r="AF210" s="47">
        <f t="shared" ref="AF210:AL210" si="522">SUM(AF208:AF209)</f>
        <v>0</v>
      </c>
      <c r="AG210" s="47">
        <f t="shared" si="522"/>
        <v>0</v>
      </c>
      <c r="AH210" s="47">
        <f t="shared" si="522"/>
        <v>0</v>
      </c>
      <c r="AI210" s="47">
        <f t="shared" si="522"/>
        <v>0</v>
      </c>
      <c r="AJ210" s="47">
        <f t="shared" si="522"/>
        <v>0</v>
      </c>
      <c r="AK210" s="47">
        <f t="shared" si="522"/>
        <v>0</v>
      </c>
      <c r="AL210" s="47">
        <f t="shared" si="522"/>
        <v>0</v>
      </c>
      <c r="AM210" s="47">
        <f t="shared" ref="AM210:BB210" si="523">SUM(AM208:AM209)</f>
        <v>0</v>
      </c>
      <c r="AN210" s="47">
        <f t="shared" si="523"/>
        <v>0</v>
      </c>
      <c r="AO210" s="47">
        <f t="shared" si="523"/>
        <v>0</v>
      </c>
      <c r="AP210" s="47">
        <f t="shared" si="523"/>
        <v>0</v>
      </c>
      <c r="AQ210" s="47">
        <f>SUM(AQ208:AQ209)</f>
        <v>0</v>
      </c>
      <c r="AR210" s="47">
        <f>SUM(AR208:AR209)</f>
        <v>0</v>
      </c>
      <c r="AS210" s="47">
        <f t="shared" ref="AS210:AY210" si="524">SUM(AS208:AS209)</f>
        <v>0</v>
      </c>
      <c r="AT210" s="47">
        <f t="shared" si="524"/>
        <v>0</v>
      </c>
      <c r="AU210" s="47">
        <f>SUM(AU208:AU209)</f>
        <v>0</v>
      </c>
      <c r="AV210" s="47">
        <f t="shared" si="524"/>
        <v>0</v>
      </c>
      <c r="AW210" s="47">
        <f t="shared" si="524"/>
        <v>0</v>
      </c>
      <c r="AX210" s="47">
        <f t="shared" si="524"/>
        <v>0</v>
      </c>
      <c r="AY210" s="47">
        <f t="shared" si="524"/>
        <v>0</v>
      </c>
      <c r="AZ210" s="47">
        <f>SUM(AZ208:AZ209)</f>
        <v>0</v>
      </c>
      <c r="BA210" s="47">
        <f t="shared" si="523"/>
        <v>0</v>
      </c>
      <c r="BB210" s="47">
        <f t="shared" si="523"/>
        <v>0</v>
      </c>
      <c r="BC210" s="47">
        <f>SUM(BC208:BC209)</f>
        <v>0</v>
      </c>
      <c r="BD210" s="47">
        <f>SUM(BD208:BD209)</f>
        <v>0</v>
      </c>
      <c r="BE210" s="47">
        <f t="shared" ref="BE210:BG210" si="525">SUM(BE208:BE209)</f>
        <v>0</v>
      </c>
      <c r="BF210" s="47">
        <f t="shared" si="525"/>
        <v>0</v>
      </c>
      <c r="BG210" s="47">
        <f t="shared" si="525"/>
        <v>0</v>
      </c>
      <c r="BH210" s="47">
        <f t="shared" ref="BH210:BL210" si="526">SUM(BH208:BH209)</f>
        <v>0</v>
      </c>
      <c r="BI210" s="47">
        <f t="shared" si="526"/>
        <v>0</v>
      </c>
      <c r="BJ210" s="47">
        <f t="shared" si="526"/>
        <v>0</v>
      </c>
      <c r="BK210" s="47">
        <f t="shared" si="526"/>
        <v>0</v>
      </c>
      <c r="BL210" s="47">
        <f t="shared" si="526"/>
        <v>0</v>
      </c>
    </row>
    <row r="211" spans="1:64" s="18" customFormat="1" ht="14.1" customHeight="1">
      <c r="A211" s="379">
        <f t="shared" si="510"/>
        <v>205</v>
      </c>
      <c r="B211" s="22"/>
      <c r="C211" s="22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</row>
    <row r="212" spans="1:64" s="18" customFormat="1" ht="14.1" customHeight="1">
      <c r="A212" s="379">
        <f t="shared" si="510"/>
        <v>206</v>
      </c>
      <c r="B212" s="22" t="s">
        <v>139</v>
      </c>
      <c r="C212" s="38">
        <f>SUM(D212:BI212)</f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0</v>
      </c>
      <c r="AR212" s="10">
        <v>0</v>
      </c>
      <c r="AS212" s="10">
        <v>0</v>
      </c>
      <c r="AT212" s="10">
        <v>0</v>
      </c>
      <c r="AU212" s="10">
        <v>0</v>
      </c>
      <c r="AV212" s="10">
        <v>0</v>
      </c>
      <c r="AW212" s="10">
        <v>0</v>
      </c>
      <c r="AX212" s="10">
        <v>0</v>
      </c>
      <c r="AY212" s="10">
        <v>0</v>
      </c>
      <c r="AZ212" s="10">
        <v>0</v>
      </c>
      <c r="BA212" s="10">
        <v>0</v>
      </c>
      <c r="BB212" s="10">
        <v>0</v>
      </c>
      <c r="BC212" s="10">
        <v>0</v>
      </c>
      <c r="BD212" s="10">
        <v>0</v>
      </c>
      <c r="BE212" s="10">
        <v>0</v>
      </c>
      <c r="BF212" s="10">
        <v>0</v>
      </c>
      <c r="BG212" s="10">
        <v>0</v>
      </c>
      <c r="BH212" s="10">
        <v>0</v>
      </c>
      <c r="BI212" s="10">
        <v>0</v>
      </c>
      <c r="BJ212" s="10">
        <v>0</v>
      </c>
      <c r="BK212" s="10">
        <v>0</v>
      </c>
      <c r="BL212" s="10">
        <v>0</v>
      </c>
    </row>
    <row r="213" spans="1:64" s="18" customFormat="1" ht="14.1" customHeight="1">
      <c r="A213" s="379">
        <f t="shared" si="510"/>
        <v>207</v>
      </c>
      <c r="B213" s="56" t="s">
        <v>55</v>
      </c>
      <c r="C213" s="38">
        <f>SUM(D213:BI213)</f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0</v>
      </c>
      <c r="AQ213" s="10">
        <v>0</v>
      </c>
      <c r="AR213" s="10">
        <v>0</v>
      </c>
      <c r="AS213" s="10">
        <v>0</v>
      </c>
      <c r="AT213" s="10">
        <v>0</v>
      </c>
      <c r="AU213" s="10">
        <v>0</v>
      </c>
      <c r="AV213" s="10">
        <v>0</v>
      </c>
      <c r="AW213" s="10">
        <v>0</v>
      </c>
      <c r="AX213" s="10">
        <v>0</v>
      </c>
      <c r="AY213" s="10">
        <v>0</v>
      </c>
      <c r="AZ213" s="10">
        <v>0</v>
      </c>
      <c r="BA213" s="10">
        <v>0</v>
      </c>
      <c r="BB213" s="10">
        <v>0</v>
      </c>
      <c r="BC213" s="10">
        <v>0</v>
      </c>
      <c r="BD213" s="10">
        <v>0</v>
      </c>
      <c r="BE213" s="10">
        <v>0</v>
      </c>
      <c r="BF213" s="10">
        <v>0</v>
      </c>
      <c r="BG213" s="10">
        <v>0</v>
      </c>
      <c r="BH213" s="10">
        <v>0</v>
      </c>
      <c r="BI213" s="10">
        <v>0</v>
      </c>
      <c r="BJ213" s="10">
        <v>0</v>
      </c>
      <c r="BK213" s="10">
        <v>0</v>
      </c>
      <c r="BL213" s="10">
        <v>0</v>
      </c>
    </row>
    <row r="214" spans="1:64" s="18" customFormat="1" ht="14.1" customHeight="1">
      <c r="A214" s="379">
        <f t="shared" si="510"/>
        <v>208</v>
      </c>
      <c r="B214" s="13" t="s">
        <v>487</v>
      </c>
      <c r="C214" s="47">
        <f t="shared" ref="C214:K214" si="527">SUM(C212:C213)</f>
        <v>0</v>
      </c>
      <c r="D214" s="47">
        <f t="shared" si="527"/>
        <v>0</v>
      </c>
      <c r="E214" s="47">
        <f t="shared" si="527"/>
        <v>0</v>
      </c>
      <c r="F214" s="47">
        <f t="shared" si="527"/>
        <v>0</v>
      </c>
      <c r="G214" s="47">
        <f t="shared" si="527"/>
        <v>0</v>
      </c>
      <c r="H214" s="47">
        <f t="shared" si="527"/>
        <v>0</v>
      </c>
      <c r="I214" s="47">
        <f t="shared" si="527"/>
        <v>0</v>
      </c>
      <c r="J214" s="47">
        <f t="shared" si="527"/>
        <v>0</v>
      </c>
      <c r="K214" s="47">
        <f t="shared" si="527"/>
        <v>0</v>
      </c>
      <c r="L214" s="47">
        <f t="shared" ref="L214:Y214" si="528">SUM(L212:L213)</f>
        <v>0</v>
      </c>
      <c r="M214" s="47">
        <f t="shared" si="528"/>
        <v>0</v>
      </c>
      <c r="N214" s="47">
        <f t="shared" si="528"/>
        <v>0</v>
      </c>
      <c r="O214" s="47">
        <f t="shared" si="528"/>
        <v>0</v>
      </c>
      <c r="P214" s="47">
        <f t="shared" si="528"/>
        <v>0</v>
      </c>
      <c r="Q214" s="47">
        <f t="shared" si="528"/>
        <v>0</v>
      </c>
      <c r="R214" s="47">
        <f t="shared" si="528"/>
        <v>0</v>
      </c>
      <c r="S214" s="47">
        <f t="shared" si="528"/>
        <v>0</v>
      </c>
      <c r="T214" s="47">
        <f>SUM(T212:T213)</f>
        <v>0</v>
      </c>
      <c r="U214" s="47">
        <f t="shared" si="528"/>
        <v>0</v>
      </c>
      <c r="V214" s="47">
        <f t="shared" si="528"/>
        <v>0</v>
      </c>
      <c r="W214" s="47">
        <f t="shared" si="528"/>
        <v>0</v>
      </c>
      <c r="X214" s="47">
        <f t="shared" si="528"/>
        <v>0</v>
      </c>
      <c r="Y214" s="47">
        <f t="shared" si="528"/>
        <v>0</v>
      </c>
      <c r="Z214" s="47">
        <f t="shared" ref="Z214:AE214" si="529">SUM(Z212:Z213)</f>
        <v>0</v>
      </c>
      <c r="AA214" s="47">
        <f t="shared" si="529"/>
        <v>0</v>
      </c>
      <c r="AB214" s="47">
        <f t="shared" si="529"/>
        <v>0</v>
      </c>
      <c r="AC214" s="47">
        <f t="shared" si="529"/>
        <v>0</v>
      </c>
      <c r="AD214" s="47">
        <f t="shared" si="529"/>
        <v>0</v>
      </c>
      <c r="AE214" s="47">
        <f t="shared" si="529"/>
        <v>0</v>
      </c>
      <c r="AF214" s="47">
        <f t="shared" ref="AF214:AL214" si="530">SUM(AF212:AF213)</f>
        <v>0</v>
      </c>
      <c r="AG214" s="47">
        <f t="shared" si="530"/>
        <v>0</v>
      </c>
      <c r="AH214" s="47">
        <f t="shared" si="530"/>
        <v>0</v>
      </c>
      <c r="AI214" s="47">
        <f t="shared" si="530"/>
        <v>0</v>
      </c>
      <c r="AJ214" s="47">
        <f t="shared" si="530"/>
        <v>0</v>
      </c>
      <c r="AK214" s="47">
        <f t="shared" si="530"/>
        <v>0</v>
      </c>
      <c r="AL214" s="47">
        <f t="shared" si="530"/>
        <v>0</v>
      </c>
      <c r="AM214" s="47">
        <f t="shared" ref="AM214:BB214" si="531">SUM(AM212:AM213)</f>
        <v>0</v>
      </c>
      <c r="AN214" s="47">
        <f t="shared" si="531"/>
        <v>0</v>
      </c>
      <c r="AO214" s="47">
        <f t="shared" si="531"/>
        <v>0</v>
      </c>
      <c r="AP214" s="47">
        <f t="shared" si="531"/>
        <v>0</v>
      </c>
      <c r="AQ214" s="47">
        <f>SUM(AQ212:AQ213)</f>
        <v>0</v>
      </c>
      <c r="AR214" s="47">
        <f>SUM(AR212:AR213)</f>
        <v>0</v>
      </c>
      <c r="AS214" s="47">
        <f t="shared" ref="AS214:AY214" si="532">SUM(AS212:AS213)</f>
        <v>0</v>
      </c>
      <c r="AT214" s="47">
        <f t="shared" si="532"/>
        <v>0</v>
      </c>
      <c r="AU214" s="47">
        <f>SUM(AU212:AU213)</f>
        <v>0</v>
      </c>
      <c r="AV214" s="47">
        <f t="shared" si="532"/>
        <v>0</v>
      </c>
      <c r="AW214" s="47">
        <f t="shared" si="532"/>
        <v>0</v>
      </c>
      <c r="AX214" s="47">
        <f t="shared" si="532"/>
        <v>0</v>
      </c>
      <c r="AY214" s="47">
        <f t="shared" si="532"/>
        <v>0</v>
      </c>
      <c r="AZ214" s="47">
        <f>SUM(AZ212:AZ213)</f>
        <v>0</v>
      </c>
      <c r="BA214" s="47">
        <f t="shared" si="531"/>
        <v>0</v>
      </c>
      <c r="BB214" s="47">
        <f t="shared" si="531"/>
        <v>0</v>
      </c>
      <c r="BC214" s="47">
        <f>SUM(BC212:BC213)</f>
        <v>0</v>
      </c>
      <c r="BD214" s="47">
        <f>SUM(BD212:BD213)</f>
        <v>0</v>
      </c>
      <c r="BE214" s="47">
        <f t="shared" ref="BE214:BG214" si="533">SUM(BE212:BE213)</f>
        <v>0</v>
      </c>
      <c r="BF214" s="47">
        <f t="shared" si="533"/>
        <v>0</v>
      </c>
      <c r="BG214" s="47">
        <f t="shared" si="533"/>
        <v>0</v>
      </c>
      <c r="BH214" s="47">
        <f t="shared" ref="BH214:BL214" si="534">SUM(BH212:BH213)</f>
        <v>0</v>
      </c>
      <c r="BI214" s="47">
        <f t="shared" si="534"/>
        <v>0</v>
      </c>
      <c r="BJ214" s="47">
        <f t="shared" si="534"/>
        <v>0</v>
      </c>
      <c r="BK214" s="47">
        <f t="shared" si="534"/>
        <v>0</v>
      </c>
      <c r="BL214" s="47">
        <f t="shared" si="534"/>
        <v>0</v>
      </c>
    </row>
    <row r="215" spans="1:64" s="18" customFormat="1" ht="14.1" customHeight="1">
      <c r="A215" s="379">
        <f t="shared" si="510"/>
        <v>209</v>
      </c>
      <c r="B215" s="56"/>
      <c r="C215" s="56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</row>
    <row r="216" spans="1:64" s="18" customFormat="1" ht="14.1" customHeight="1">
      <c r="A216" s="379">
        <f t="shared" si="510"/>
        <v>210</v>
      </c>
      <c r="B216" s="90" t="s">
        <v>146</v>
      </c>
      <c r="C216" s="16">
        <f t="shared" ref="C216:K216" si="535">C202+C206+C210+C214+C198</f>
        <v>0</v>
      </c>
      <c r="D216" s="16">
        <f t="shared" si="535"/>
        <v>0</v>
      </c>
      <c r="E216" s="16">
        <f t="shared" si="535"/>
        <v>0</v>
      </c>
      <c r="F216" s="16">
        <f t="shared" si="535"/>
        <v>0</v>
      </c>
      <c r="G216" s="16">
        <f t="shared" si="535"/>
        <v>0</v>
      </c>
      <c r="H216" s="16">
        <f t="shared" si="535"/>
        <v>0</v>
      </c>
      <c r="I216" s="16">
        <f t="shared" si="535"/>
        <v>0</v>
      </c>
      <c r="J216" s="16">
        <f t="shared" si="535"/>
        <v>0</v>
      </c>
      <c r="K216" s="16">
        <f t="shared" si="535"/>
        <v>0</v>
      </c>
      <c r="L216" s="16">
        <f t="shared" ref="L216:Y216" si="536">L202+L206+L210+L214+L198</f>
        <v>0</v>
      </c>
      <c r="M216" s="16">
        <f t="shared" si="536"/>
        <v>0</v>
      </c>
      <c r="N216" s="16">
        <f t="shared" si="536"/>
        <v>0</v>
      </c>
      <c r="O216" s="16">
        <f t="shared" si="536"/>
        <v>0</v>
      </c>
      <c r="P216" s="16">
        <f t="shared" si="536"/>
        <v>0</v>
      </c>
      <c r="Q216" s="16">
        <f t="shared" si="536"/>
        <v>0</v>
      </c>
      <c r="R216" s="16">
        <f t="shared" si="536"/>
        <v>0</v>
      </c>
      <c r="S216" s="16">
        <f t="shared" si="536"/>
        <v>0</v>
      </c>
      <c r="T216" s="16">
        <f>T202+T206+T210+T214+T198</f>
        <v>0</v>
      </c>
      <c r="U216" s="16">
        <f t="shared" si="536"/>
        <v>0</v>
      </c>
      <c r="V216" s="16">
        <f t="shared" si="536"/>
        <v>0</v>
      </c>
      <c r="W216" s="16">
        <f t="shared" si="536"/>
        <v>0</v>
      </c>
      <c r="X216" s="16">
        <f t="shared" si="536"/>
        <v>0</v>
      </c>
      <c r="Y216" s="16">
        <f t="shared" si="536"/>
        <v>0</v>
      </c>
      <c r="Z216" s="16">
        <f t="shared" ref="Z216:AE216" si="537">Z202+Z206+Z210+Z214+Z198</f>
        <v>0</v>
      </c>
      <c r="AA216" s="16">
        <f t="shared" si="537"/>
        <v>0</v>
      </c>
      <c r="AB216" s="16">
        <f t="shared" si="537"/>
        <v>0</v>
      </c>
      <c r="AC216" s="16">
        <f t="shared" si="537"/>
        <v>0</v>
      </c>
      <c r="AD216" s="16">
        <f t="shared" si="537"/>
        <v>0</v>
      </c>
      <c r="AE216" s="16">
        <f t="shared" si="537"/>
        <v>0</v>
      </c>
      <c r="AF216" s="16">
        <f t="shared" ref="AF216:AL216" si="538">AF202+AF206+AF210+AF214+AF198</f>
        <v>0</v>
      </c>
      <c r="AG216" s="16">
        <f t="shared" si="538"/>
        <v>0</v>
      </c>
      <c r="AH216" s="16">
        <f t="shared" si="538"/>
        <v>0</v>
      </c>
      <c r="AI216" s="16">
        <f t="shared" si="538"/>
        <v>0</v>
      </c>
      <c r="AJ216" s="16">
        <f t="shared" si="538"/>
        <v>0</v>
      </c>
      <c r="AK216" s="16">
        <f t="shared" si="538"/>
        <v>0</v>
      </c>
      <c r="AL216" s="16">
        <f t="shared" si="538"/>
        <v>0</v>
      </c>
      <c r="AM216" s="16">
        <f t="shared" ref="AM216:BB216" si="539">AM202+AM206+AM210+AM214+AM198</f>
        <v>0</v>
      </c>
      <c r="AN216" s="16">
        <f t="shared" si="539"/>
        <v>0</v>
      </c>
      <c r="AO216" s="16">
        <f t="shared" si="539"/>
        <v>0</v>
      </c>
      <c r="AP216" s="16">
        <f t="shared" si="539"/>
        <v>0</v>
      </c>
      <c r="AQ216" s="16">
        <f>AQ202+AQ206+AQ210+AQ214+AQ198</f>
        <v>0</v>
      </c>
      <c r="AR216" s="16">
        <f>AR202+AR206+AR210+AR214+AR198</f>
        <v>0</v>
      </c>
      <c r="AS216" s="16">
        <f t="shared" ref="AS216:AY216" si="540">AS202+AS206+AS210+AS214+AS198</f>
        <v>0</v>
      </c>
      <c r="AT216" s="16">
        <f t="shared" si="540"/>
        <v>0</v>
      </c>
      <c r="AU216" s="16">
        <f>AU202+AU206+AU210+AU214+AU198</f>
        <v>0</v>
      </c>
      <c r="AV216" s="16">
        <f t="shared" si="540"/>
        <v>0</v>
      </c>
      <c r="AW216" s="16">
        <f t="shared" si="540"/>
        <v>0</v>
      </c>
      <c r="AX216" s="16">
        <f t="shared" si="540"/>
        <v>0</v>
      </c>
      <c r="AY216" s="16">
        <f t="shared" si="540"/>
        <v>0</v>
      </c>
      <c r="AZ216" s="16">
        <f>AZ202+AZ206+AZ210+AZ214+AZ198</f>
        <v>0</v>
      </c>
      <c r="BA216" s="16">
        <f t="shared" si="539"/>
        <v>0</v>
      </c>
      <c r="BB216" s="16">
        <f t="shared" si="539"/>
        <v>0</v>
      </c>
      <c r="BC216" s="16">
        <f>BC202+BC206+BC210+BC214+BC198</f>
        <v>0</v>
      </c>
      <c r="BD216" s="16">
        <f>BD202+BD206+BD210+BD214+BD198</f>
        <v>0</v>
      </c>
      <c r="BE216" s="16">
        <f t="shared" ref="BE216:BG216" si="541">BE202+BE206+BE210+BE214+BE198</f>
        <v>0</v>
      </c>
      <c r="BF216" s="16">
        <f t="shared" si="541"/>
        <v>0</v>
      </c>
      <c r="BG216" s="16">
        <f t="shared" si="541"/>
        <v>0</v>
      </c>
      <c r="BH216" s="16">
        <f t="shared" ref="BH216:BL216" si="542">BH202+BH206+BH210+BH214+BH198</f>
        <v>0</v>
      </c>
      <c r="BI216" s="16">
        <f t="shared" si="542"/>
        <v>0</v>
      </c>
      <c r="BJ216" s="16">
        <f t="shared" si="542"/>
        <v>0</v>
      </c>
      <c r="BK216" s="16">
        <f t="shared" si="542"/>
        <v>0</v>
      </c>
      <c r="BL216" s="16">
        <f t="shared" si="542"/>
        <v>0</v>
      </c>
    </row>
    <row r="217" spans="1:64" ht="14.1" customHeight="1">
      <c r="A217" s="379">
        <f t="shared" si="510"/>
        <v>211</v>
      </c>
      <c r="B217" s="25"/>
      <c r="C217" s="2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</row>
    <row r="218" spans="1:64" ht="14.1" customHeight="1">
      <c r="A218" s="379">
        <f t="shared" si="510"/>
        <v>212</v>
      </c>
      <c r="B218" s="13" t="s">
        <v>152</v>
      </c>
      <c r="C218" s="1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</row>
    <row r="219" spans="1:64" ht="14.1" customHeight="1">
      <c r="A219" s="379">
        <f t="shared" si="510"/>
        <v>213</v>
      </c>
      <c r="B219" s="22" t="s">
        <v>136</v>
      </c>
      <c r="C219" s="38">
        <f>SUM(D219:BI219)</f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0">
        <v>0</v>
      </c>
      <c r="AZ219" s="10">
        <v>0</v>
      </c>
      <c r="BA219" s="10">
        <v>0</v>
      </c>
      <c r="BB219" s="10">
        <v>0</v>
      </c>
      <c r="BC219" s="10">
        <v>0</v>
      </c>
      <c r="BD219" s="10">
        <v>0</v>
      </c>
      <c r="BE219" s="10">
        <v>0</v>
      </c>
      <c r="BF219" s="10">
        <v>0</v>
      </c>
      <c r="BG219" s="10">
        <v>0</v>
      </c>
      <c r="BH219" s="10">
        <v>0</v>
      </c>
      <c r="BI219" s="10">
        <v>0</v>
      </c>
      <c r="BJ219" s="10">
        <v>0</v>
      </c>
      <c r="BK219" s="10">
        <v>0</v>
      </c>
      <c r="BL219" s="10">
        <v>0</v>
      </c>
    </row>
    <row r="220" spans="1:64" ht="14.1" customHeight="1">
      <c r="A220" s="379">
        <f t="shared" si="510"/>
        <v>214</v>
      </c>
      <c r="B220" s="22" t="s">
        <v>145</v>
      </c>
      <c r="C220" s="38">
        <f>SUM(D220:BI220)</f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0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v>0</v>
      </c>
      <c r="AP220" s="10">
        <v>0</v>
      </c>
      <c r="AQ220" s="10">
        <v>0</v>
      </c>
      <c r="AR220" s="10">
        <v>0</v>
      </c>
      <c r="AS220" s="10">
        <v>0</v>
      </c>
      <c r="AT220" s="10">
        <v>0</v>
      </c>
      <c r="AU220" s="10">
        <v>0</v>
      </c>
      <c r="AV220" s="10">
        <v>0</v>
      </c>
      <c r="AW220" s="10">
        <v>0</v>
      </c>
      <c r="AX220" s="10">
        <v>0</v>
      </c>
      <c r="AY220" s="10">
        <v>0</v>
      </c>
      <c r="AZ220" s="10">
        <v>0</v>
      </c>
      <c r="BA220" s="10">
        <v>0</v>
      </c>
      <c r="BB220" s="10">
        <v>0</v>
      </c>
      <c r="BC220" s="10">
        <v>0</v>
      </c>
      <c r="BD220" s="10">
        <v>0</v>
      </c>
      <c r="BE220" s="10">
        <v>0</v>
      </c>
      <c r="BF220" s="10">
        <v>0</v>
      </c>
      <c r="BG220" s="10">
        <v>0</v>
      </c>
      <c r="BH220" s="10">
        <v>0</v>
      </c>
      <c r="BI220" s="10">
        <v>0</v>
      </c>
      <c r="BJ220" s="10">
        <v>0</v>
      </c>
      <c r="BK220" s="10">
        <v>0</v>
      </c>
      <c r="BL220" s="10">
        <v>0</v>
      </c>
    </row>
    <row r="221" spans="1:64" ht="14.1" customHeight="1">
      <c r="A221" s="379">
        <f t="shared" si="510"/>
        <v>215</v>
      </c>
      <c r="B221" s="22" t="s">
        <v>138</v>
      </c>
      <c r="C221" s="38">
        <f>SUM(D221:BI221)</f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v>0</v>
      </c>
      <c r="AP221" s="10">
        <v>0</v>
      </c>
      <c r="AQ221" s="10">
        <v>0</v>
      </c>
      <c r="AR221" s="10">
        <v>0</v>
      </c>
      <c r="AS221" s="10">
        <v>0</v>
      </c>
      <c r="AT221" s="10">
        <v>0</v>
      </c>
      <c r="AU221" s="10">
        <v>0</v>
      </c>
      <c r="AV221" s="10">
        <v>0</v>
      </c>
      <c r="AW221" s="10">
        <v>0</v>
      </c>
      <c r="AX221" s="10">
        <v>0</v>
      </c>
      <c r="AY221" s="10">
        <v>0</v>
      </c>
      <c r="AZ221" s="10">
        <v>0</v>
      </c>
      <c r="BA221" s="10">
        <v>0</v>
      </c>
      <c r="BB221" s="10">
        <v>0</v>
      </c>
      <c r="BC221" s="10">
        <v>0</v>
      </c>
      <c r="BD221" s="10">
        <v>0</v>
      </c>
      <c r="BE221" s="10">
        <v>0</v>
      </c>
      <c r="BF221" s="10">
        <v>0</v>
      </c>
      <c r="BG221" s="10">
        <v>0</v>
      </c>
      <c r="BH221" s="10">
        <v>0</v>
      </c>
      <c r="BI221" s="10">
        <v>0</v>
      </c>
      <c r="BJ221" s="10">
        <v>0</v>
      </c>
      <c r="BK221" s="10">
        <v>0</v>
      </c>
      <c r="BL221" s="10">
        <v>0</v>
      </c>
    </row>
    <row r="222" spans="1:64" ht="14.1" customHeight="1">
      <c r="A222" s="379">
        <f t="shared" si="510"/>
        <v>216</v>
      </c>
      <c r="B222" s="56" t="s">
        <v>139</v>
      </c>
      <c r="C222" s="38">
        <f>SUM(D222:BI222)</f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0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0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0</v>
      </c>
      <c r="AW222" s="10">
        <v>0</v>
      </c>
      <c r="AX222" s="10">
        <v>0</v>
      </c>
      <c r="AY222" s="10">
        <v>0</v>
      </c>
      <c r="AZ222" s="10">
        <v>0</v>
      </c>
      <c r="BA222" s="10">
        <v>0</v>
      </c>
      <c r="BB222" s="10">
        <v>0</v>
      </c>
      <c r="BC222" s="10">
        <v>0</v>
      </c>
      <c r="BD222" s="10">
        <v>0</v>
      </c>
      <c r="BE222" s="10">
        <v>0</v>
      </c>
      <c r="BF222" s="10">
        <v>0</v>
      </c>
      <c r="BG222" s="10">
        <v>0</v>
      </c>
      <c r="BH222" s="10">
        <v>0</v>
      </c>
      <c r="BI222" s="10">
        <v>0</v>
      </c>
      <c r="BJ222" s="10">
        <v>0</v>
      </c>
      <c r="BK222" s="10">
        <v>0</v>
      </c>
      <c r="BL222" s="10">
        <v>0</v>
      </c>
    </row>
    <row r="223" spans="1:64" ht="14.1" customHeight="1">
      <c r="A223" s="379">
        <f t="shared" si="510"/>
        <v>217</v>
      </c>
      <c r="B223" s="90" t="s">
        <v>492</v>
      </c>
      <c r="C223" s="85">
        <f t="shared" ref="C223:K223" si="543">SUM(C219:C222)</f>
        <v>0</v>
      </c>
      <c r="D223" s="85">
        <f t="shared" si="543"/>
        <v>0</v>
      </c>
      <c r="E223" s="85">
        <f t="shared" si="543"/>
        <v>0</v>
      </c>
      <c r="F223" s="85">
        <f t="shared" si="543"/>
        <v>0</v>
      </c>
      <c r="G223" s="85">
        <f t="shared" si="543"/>
        <v>0</v>
      </c>
      <c r="H223" s="85">
        <f t="shared" si="543"/>
        <v>0</v>
      </c>
      <c r="I223" s="85">
        <f t="shared" si="543"/>
        <v>0</v>
      </c>
      <c r="J223" s="85">
        <f t="shared" si="543"/>
        <v>0</v>
      </c>
      <c r="K223" s="85">
        <f t="shared" si="543"/>
        <v>0</v>
      </c>
      <c r="L223" s="85">
        <f t="shared" ref="L223:Y223" si="544">SUM(L219:L222)</f>
        <v>0</v>
      </c>
      <c r="M223" s="85">
        <f t="shared" si="544"/>
        <v>0</v>
      </c>
      <c r="N223" s="85">
        <f t="shared" si="544"/>
        <v>0</v>
      </c>
      <c r="O223" s="85">
        <f t="shared" si="544"/>
        <v>0</v>
      </c>
      <c r="P223" s="85">
        <f t="shared" si="544"/>
        <v>0</v>
      </c>
      <c r="Q223" s="85">
        <f t="shared" si="544"/>
        <v>0</v>
      </c>
      <c r="R223" s="85">
        <f t="shared" si="544"/>
        <v>0</v>
      </c>
      <c r="S223" s="85">
        <f t="shared" si="544"/>
        <v>0</v>
      </c>
      <c r="T223" s="85">
        <f>SUM(T219:T222)</f>
        <v>0</v>
      </c>
      <c r="U223" s="85">
        <f t="shared" si="544"/>
        <v>0</v>
      </c>
      <c r="V223" s="85">
        <f t="shared" si="544"/>
        <v>0</v>
      </c>
      <c r="W223" s="85">
        <f t="shared" si="544"/>
        <v>0</v>
      </c>
      <c r="X223" s="85">
        <f t="shared" si="544"/>
        <v>0</v>
      </c>
      <c r="Y223" s="85">
        <f t="shared" si="544"/>
        <v>0</v>
      </c>
      <c r="Z223" s="85">
        <f t="shared" ref="Z223:AE223" si="545">SUM(Z219:Z222)</f>
        <v>0</v>
      </c>
      <c r="AA223" s="85">
        <f t="shared" si="545"/>
        <v>0</v>
      </c>
      <c r="AB223" s="85">
        <f t="shared" si="545"/>
        <v>0</v>
      </c>
      <c r="AC223" s="85">
        <f t="shared" si="545"/>
        <v>0</v>
      </c>
      <c r="AD223" s="85">
        <f t="shared" si="545"/>
        <v>0</v>
      </c>
      <c r="AE223" s="85">
        <f t="shared" si="545"/>
        <v>0</v>
      </c>
      <c r="AF223" s="85">
        <f t="shared" ref="AF223:AL223" si="546">SUM(AF219:AF222)</f>
        <v>0</v>
      </c>
      <c r="AG223" s="85">
        <f t="shared" si="546"/>
        <v>0</v>
      </c>
      <c r="AH223" s="85">
        <f t="shared" si="546"/>
        <v>0</v>
      </c>
      <c r="AI223" s="85">
        <f t="shared" si="546"/>
        <v>0</v>
      </c>
      <c r="AJ223" s="85">
        <f t="shared" si="546"/>
        <v>0</v>
      </c>
      <c r="AK223" s="85">
        <f t="shared" si="546"/>
        <v>0</v>
      </c>
      <c r="AL223" s="85">
        <f t="shared" si="546"/>
        <v>0</v>
      </c>
      <c r="AM223" s="85">
        <f t="shared" ref="AM223:BB223" si="547">SUM(AM219:AM222)</f>
        <v>0</v>
      </c>
      <c r="AN223" s="85">
        <f t="shared" si="547"/>
        <v>0</v>
      </c>
      <c r="AO223" s="85">
        <f t="shared" si="547"/>
        <v>0</v>
      </c>
      <c r="AP223" s="85">
        <f t="shared" si="547"/>
        <v>0</v>
      </c>
      <c r="AQ223" s="85">
        <f>SUM(AQ219:AQ222)</f>
        <v>0</v>
      </c>
      <c r="AR223" s="85">
        <f>SUM(AR219:AR222)</f>
        <v>0</v>
      </c>
      <c r="AS223" s="85">
        <f t="shared" ref="AS223:AY223" si="548">SUM(AS219:AS222)</f>
        <v>0</v>
      </c>
      <c r="AT223" s="85">
        <f t="shared" si="548"/>
        <v>0</v>
      </c>
      <c r="AU223" s="85">
        <f>SUM(AU219:AU222)</f>
        <v>0</v>
      </c>
      <c r="AV223" s="85">
        <f t="shared" si="548"/>
        <v>0</v>
      </c>
      <c r="AW223" s="85">
        <f t="shared" si="548"/>
        <v>0</v>
      </c>
      <c r="AX223" s="85">
        <f t="shared" si="548"/>
        <v>0</v>
      </c>
      <c r="AY223" s="85">
        <f t="shared" si="548"/>
        <v>0</v>
      </c>
      <c r="AZ223" s="85">
        <f>SUM(AZ219:AZ222)</f>
        <v>0</v>
      </c>
      <c r="BA223" s="85">
        <f t="shared" si="547"/>
        <v>0</v>
      </c>
      <c r="BB223" s="85">
        <f t="shared" si="547"/>
        <v>0</v>
      </c>
      <c r="BC223" s="85">
        <f>SUM(BC219:BC222)</f>
        <v>0</v>
      </c>
      <c r="BD223" s="85">
        <f>SUM(BD219:BD222)</f>
        <v>0</v>
      </c>
      <c r="BE223" s="85">
        <f t="shared" ref="BE223:BG223" si="549">SUM(BE219:BE222)</f>
        <v>0</v>
      </c>
      <c r="BF223" s="85">
        <f t="shared" si="549"/>
        <v>0</v>
      </c>
      <c r="BG223" s="85">
        <f t="shared" si="549"/>
        <v>0</v>
      </c>
      <c r="BH223" s="85">
        <f t="shared" ref="BH223:BL223" si="550">SUM(BH219:BH222)</f>
        <v>0</v>
      </c>
      <c r="BI223" s="85">
        <f t="shared" si="550"/>
        <v>0</v>
      </c>
      <c r="BJ223" s="85">
        <f t="shared" si="550"/>
        <v>0</v>
      </c>
      <c r="BK223" s="85">
        <f t="shared" si="550"/>
        <v>0</v>
      </c>
      <c r="BL223" s="85">
        <f t="shared" si="550"/>
        <v>0</v>
      </c>
    </row>
    <row r="224" spans="1:64" ht="14.1" customHeight="1">
      <c r="A224" s="379">
        <f t="shared" si="510"/>
        <v>218</v>
      </c>
      <c r="B224" s="25"/>
      <c r="C224" s="2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</row>
    <row r="225" spans="1:64" s="18" customFormat="1" ht="14.1" customHeight="1">
      <c r="A225" s="379">
        <f t="shared" si="510"/>
        <v>219</v>
      </c>
      <c r="B225" s="13" t="s">
        <v>374</v>
      </c>
      <c r="C225" s="1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</row>
    <row r="226" spans="1:64" ht="14.1" customHeight="1">
      <c r="A226" s="379">
        <f t="shared" si="510"/>
        <v>220</v>
      </c>
      <c r="B226" s="22" t="s">
        <v>153</v>
      </c>
      <c r="C226" s="38">
        <f>SUM(D226:BI226)</f>
        <v>-12888097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-12888097</v>
      </c>
      <c r="AM226" s="10">
        <v>0</v>
      </c>
      <c r="AN226" s="10">
        <v>0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0</v>
      </c>
      <c r="AW226" s="10">
        <v>0</v>
      </c>
      <c r="AX226" s="10">
        <v>0</v>
      </c>
      <c r="AY226" s="10">
        <v>0</v>
      </c>
      <c r="AZ226" s="10">
        <v>0</v>
      </c>
      <c r="BA226" s="10">
        <v>0</v>
      </c>
      <c r="BB226" s="10">
        <v>0</v>
      </c>
      <c r="BC226" s="10">
        <v>0</v>
      </c>
      <c r="BD226" s="10">
        <v>0</v>
      </c>
      <c r="BE226" s="10">
        <v>0</v>
      </c>
      <c r="BF226" s="10">
        <v>0</v>
      </c>
      <c r="BG226" s="10">
        <v>0</v>
      </c>
      <c r="BH226" s="10">
        <v>0</v>
      </c>
      <c r="BI226" s="10">
        <v>0</v>
      </c>
      <c r="BJ226" s="10">
        <v>0</v>
      </c>
      <c r="BK226" s="10">
        <v>0</v>
      </c>
      <c r="BL226" s="10">
        <v>0</v>
      </c>
    </row>
    <row r="227" spans="1:64" ht="14.1" customHeight="1">
      <c r="A227" s="379">
        <f t="shared" si="510"/>
        <v>221</v>
      </c>
      <c r="B227" s="22" t="s">
        <v>155</v>
      </c>
      <c r="C227" s="38">
        <f>SUM(D227:BI227)</f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0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0</v>
      </c>
      <c r="AW227" s="10">
        <v>0</v>
      </c>
      <c r="AX227" s="10">
        <v>0</v>
      </c>
      <c r="AY227" s="10">
        <v>0</v>
      </c>
      <c r="AZ227" s="10">
        <v>0</v>
      </c>
      <c r="BA227" s="10">
        <v>0</v>
      </c>
      <c r="BB227" s="10">
        <v>0</v>
      </c>
      <c r="BC227" s="10">
        <v>0</v>
      </c>
      <c r="BD227" s="10">
        <v>0</v>
      </c>
      <c r="BE227" s="10">
        <v>0</v>
      </c>
      <c r="BF227" s="10">
        <v>0</v>
      </c>
      <c r="BG227" s="10">
        <v>0</v>
      </c>
      <c r="BH227" s="10">
        <v>0</v>
      </c>
      <c r="BI227" s="10">
        <v>0</v>
      </c>
      <c r="BJ227" s="10">
        <v>0</v>
      </c>
      <c r="BK227" s="10">
        <v>0</v>
      </c>
      <c r="BL227" s="10">
        <v>0</v>
      </c>
    </row>
    <row r="228" spans="1:64" ht="14.1" customHeight="1">
      <c r="A228" s="379">
        <f t="shared" si="510"/>
        <v>222</v>
      </c>
      <c r="B228" s="22" t="s">
        <v>155</v>
      </c>
      <c r="C228" s="38">
        <f>SUM(D228:BI228)</f>
        <v>-1699124</v>
      </c>
      <c r="D228" s="10">
        <v>0</v>
      </c>
      <c r="E228" s="10">
        <v>0</v>
      </c>
      <c r="F228" s="10">
        <v>0</v>
      </c>
      <c r="G228" s="10">
        <v>-1699124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0</v>
      </c>
      <c r="AU228" s="10">
        <v>0</v>
      </c>
      <c r="AV228" s="10">
        <v>0</v>
      </c>
      <c r="AW228" s="10">
        <v>0</v>
      </c>
      <c r="AX228" s="10">
        <v>0</v>
      </c>
      <c r="AY228" s="10">
        <v>0</v>
      </c>
      <c r="AZ228" s="10">
        <v>0</v>
      </c>
      <c r="BA228" s="10">
        <v>0</v>
      </c>
      <c r="BB228" s="10">
        <v>0</v>
      </c>
      <c r="BC228" s="10">
        <v>0</v>
      </c>
      <c r="BD228" s="10">
        <v>0</v>
      </c>
      <c r="BE228" s="10">
        <v>0</v>
      </c>
      <c r="BF228" s="10">
        <v>0</v>
      </c>
      <c r="BG228" s="10">
        <v>0</v>
      </c>
      <c r="BH228" s="10">
        <v>0</v>
      </c>
      <c r="BI228" s="10">
        <v>0</v>
      </c>
      <c r="BJ228" s="10">
        <v>0</v>
      </c>
      <c r="BK228" s="10">
        <v>0</v>
      </c>
      <c r="BL228" s="10">
        <v>0</v>
      </c>
    </row>
    <row r="229" spans="1:64" ht="14.1" customHeight="1">
      <c r="A229" s="379">
        <f t="shared" si="510"/>
        <v>223</v>
      </c>
      <c r="B229" s="22" t="s">
        <v>156</v>
      </c>
      <c r="C229" s="38">
        <f>SUM(D229:BI229)</f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0">
        <v>0</v>
      </c>
      <c r="AZ229" s="10">
        <v>0</v>
      </c>
      <c r="BA229" s="10">
        <v>0</v>
      </c>
      <c r="BB229" s="10">
        <v>0</v>
      </c>
      <c r="BC229" s="10">
        <v>0</v>
      </c>
      <c r="BD229" s="10">
        <v>0</v>
      </c>
      <c r="BE229" s="10">
        <v>0</v>
      </c>
      <c r="BF229" s="10">
        <v>0</v>
      </c>
      <c r="BG229" s="10">
        <v>0</v>
      </c>
      <c r="BH229" s="10">
        <v>0</v>
      </c>
      <c r="BI229" s="10">
        <v>0</v>
      </c>
      <c r="BJ229" s="10">
        <v>0</v>
      </c>
      <c r="BK229" s="10">
        <v>0</v>
      </c>
      <c r="BL229" s="10">
        <v>0</v>
      </c>
    </row>
    <row r="230" spans="1:64" ht="14.1" customHeight="1">
      <c r="A230" s="379">
        <f t="shared" si="510"/>
        <v>224</v>
      </c>
      <c r="B230" s="56" t="s">
        <v>157</v>
      </c>
      <c r="C230" s="206">
        <f>SUM(D230:BI230)</f>
        <v>0</v>
      </c>
      <c r="D230" s="64">
        <v>0</v>
      </c>
      <c r="E230" s="64">
        <v>0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64">
        <v>0</v>
      </c>
      <c r="V230" s="64">
        <v>0</v>
      </c>
      <c r="W230" s="64">
        <v>0</v>
      </c>
      <c r="X230" s="64">
        <v>0</v>
      </c>
      <c r="Y230" s="64">
        <v>0</v>
      </c>
      <c r="Z230" s="64">
        <v>0</v>
      </c>
      <c r="AA230" s="64">
        <v>0</v>
      </c>
      <c r="AB230" s="64">
        <v>0</v>
      </c>
      <c r="AC230" s="64">
        <v>0</v>
      </c>
      <c r="AD230" s="64">
        <v>0</v>
      </c>
      <c r="AE230" s="64">
        <v>0</v>
      </c>
      <c r="AF230" s="64">
        <v>0</v>
      </c>
      <c r="AG230" s="64">
        <v>0</v>
      </c>
      <c r="AH230" s="64">
        <v>0</v>
      </c>
      <c r="AI230" s="64">
        <v>0</v>
      </c>
      <c r="AJ230" s="64">
        <v>0</v>
      </c>
      <c r="AK230" s="64">
        <v>0</v>
      </c>
      <c r="AL230" s="64">
        <v>0</v>
      </c>
      <c r="AM230" s="64">
        <v>0</v>
      </c>
      <c r="AN230" s="64">
        <v>0</v>
      </c>
      <c r="AO230" s="64">
        <v>0</v>
      </c>
      <c r="AP230" s="64">
        <v>0</v>
      </c>
      <c r="AQ230" s="64">
        <v>0</v>
      </c>
      <c r="AR230" s="64">
        <v>0</v>
      </c>
      <c r="AS230" s="64">
        <v>0</v>
      </c>
      <c r="AT230" s="64">
        <v>0</v>
      </c>
      <c r="AU230" s="64">
        <v>0</v>
      </c>
      <c r="AV230" s="64">
        <v>0</v>
      </c>
      <c r="AW230" s="64">
        <v>0</v>
      </c>
      <c r="AX230" s="64">
        <v>0</v>
      </c>
      <c r="AY230" s="64">
        <v>0</v>
      </c>
      <c r="AZ230" s="64">
        <v>0</v>
      </c>
      <c r="BA230" s="64">
        <v>0</v>
      </c>
      <c r="BB230" s="64">
        <v>0</v>
      </c>
      <c r="BC230" s="64">
        <v>0</v>
      </c>
      <c r="BD230" s="64">
        <v>0</v>
      </c>
      <c r="BE230" s="64">
        <v>0</v>
      </c>
      <c r="BF230" s="64">
        <v>0</v>
      </c>
      <c r="BG230" s="64">
        <v>0</v>
      </c>
      <c r="BH230" s="64">
        <v>0</v>
      </c>
      <c r="BI230" s="64">
        <v>0</v>
      </c>
      <c r="BJ230" s="64">
        <v>0</v>
      </c>
      <c r="BK230" s="64">
        <v>0</v>
      </c>
      <c r="BL230" s="64">
        <v>0</v>
      </c>
    </row>
    <row r="231" spans="1:64" ht="14.1" customHeight="1">
      <c r="A231" s="379">
        <f t="shared" si="510"/>
        <v>225</v>
      </c>
      <c r="B231" s="13" t="s">
        <v>522</v>
      </c>
      <c r="C231" s="10">
        <f t="shared" ref="C231:H231" si="551">SUM(C226:C230)</f>
        <v>-14587221</v>
      </c>
      <c r="D231" s="10">
        <f t="shared" si="551"/>
        <v>0</v>
      </c>
      <c r="E231" s="10">
        <f>SUM(E226:E230)</f>
        <v>0</v>
      </c>
      <c r="F231" s="10">
        <f>SUM(F226:F230)</f>
        <v>0</v>
      </c>
      <c r="G231" s="10">
        <f>SUM(G226:G230)</f>
        <v>-1699124</v>
      </c>
      <c r="H231" s="10">
        <f t="shared" si="551"/>
        <v>0</v>
      </c>
      <c r="I231" s="10">
        <f>SUM(I226:I230)</f>
        <v>0</v>
      </c>
      <c r="J231" s="10">
        <f>SUM(J226:J230)</f>
        <v>0</v>
      </c>
      <c r="K231" s="10">
        <f>SUM(K226:K230)</f>
        <v>0</v>
      </c>
      <c r="L231" s="10">
        <f t="shared" ref="L231:Y231" si="552">SUM(L226:L230)</f>
        <v>0</v>
      </c>
      <c r="M231" s="10">
        <f t="shared" si="552"/>
        <v>0</v>
      </c>
      <c r="N231" s="10">
        <f t="shared" si="552"/>
        <v>0</v>
      </c>
      <c r="O231" s="10">
        <f t="shared" si="552"/>
        <v>0</v>
      </c>
      <c r="P231" s="10">
        <f t="shared" si="552"/>
        <v>0</v>
      </c>
      <c r="Q231" s="10">
        <f t="shared" si="552"/>
        <v>0</v>
      </c>
      <c r="R231" s="10">
        <f t="shared" si="552"/>
        <v>0</v>
      </c>
      <c r="S231" s="10">
        <f t="shared" si="552"/>
        <v>0</v>
      </c>
      <c r="T231" s="10">
        <f>SUM(T226:T230)</f>
        <v>0</v>
      </c>
      <c r="U231" s="10">
        <f t="shared" si="552"/>
        <v>0</v>
      </c>
      <c r="V231" s="10">
        <f t="shared" si="552"/>
        <v>0</v>
      </c>
      <c r="W231" s="10">
        <f t="shared" si="552"/>
        <v>0</v>
      </c>
      <c r="X231" s="10">
        <f t="shared" si="552"/>
        <v>0</v>
      </c>
      <c r="Y231" s="10">
        <f t="shared" si="552"/>
        <v>0</v>
      </c>
      <c r="Z231" s="10">
        <f t="shared" ref="Z231:AE231" si="553">SUM(Z226:Z230)</f>
        <v>0</v>
      </c>
      <c r="AA231" s="10">
        <f t="shared" si="553"/>
        <v>0</v>
      </c>
      <c r="AB231" s="10">
        <f t="shared" si="553"/>
        <v>0</v>
      </c>
      <c r="AC231" s="10">
        <f t="shared" si="553"/>
        <v>0</v>
      </c>
      <c r="AD231" s="10">
        <f t="shared" si="553"/>
        <v>0</v>
      </c>
      <c r="AE231" s="10">
        <f t="shared" si="553"/>
        <v>0</v>
      </c>
      <c r="AF231" s="10">
        <f t="shared" ref="AF231:AL231" si="554">SUM(AF226:AF230)</f>
        <v>0</v>
      </c>
      <c r="AG231" s="10">
        <f t="shared" si="554"/>
        <v>0</v>
      </c>
      <c r="AH231" s="10">
        <f t="shared" si="554"/>
        <v>0</v>
      </c>
      <c r="AI231" s="10">
        <f t="shared" si="554"/>
        <v>0</v>
      </c>
      <c r="AJ231" s="10">
        <f t="shared" si="554"/>
        <v>0</v>
      </c>
      <c r="AK231" s="10">
        <f t="shared" si="554"/>
        <v>0</v>
      </c>
      <c r="AL231" s="10">
        <f t="shared" si="554"/>
        <v>-12888097</v>
      </c>
      <c r="AM231" s="10">
        <f t="shared" ref="AM231:BB231" si="555">SUM(AM226:AM230)</f>
        <v>0</v>
      </c>
      <c r="AN231" s="10">
        <f t="shared" si="555"/>
        <v>0</v>
      </c>
      <c r="AO231" s="10">
        <f t="shared" si="555"/>
        <v>0</v>
      </c>
      <c r="AP231" s="10">
        <f t="shared" si="555"/>
        <v>0</v>
      </c>
      <c r="AQ231" s="10">
        <f>SUM(AQ226:AQ230)</f>
        <v>0</v>
      </c>
      <c r="AR231" s="10">
        <f>SUM(AR226:AR230)</f>
        <v>0</v>
      </c>
      <c r="AS231" s="10">
        <f t="shared" ref="AS231:AY231" si="556">SUM(AS226:AS230)</f>
        <v>0</v>
      </c>
      <c r="AT231" s="10">
        <f t="shared" si="556"/>
        <v>0</v>
      </c>
      <c r="AU231" s="10">
        <f>SUM(AU226:AU230)</f>
        <v>0</v>
      </c>
      <c r="AV231" s="10">
        <f t="shared" si="556"/>
        <v>0</v>
      </c>
      <c r="AW231" s="10">
        <f t="shared" si="556"/>
        <v>0</v>
      </c>
      <c r="AX231" s="10">
        <f t="shared" si="556"/>
        <v>0</v>
      </c>
      <c r="AY231" s="10">
        <f t="shared" si="556"/>
        <v>0</v>
      </c>
      <c r="AZ231" s="10">
        <f>SUM(AZ226:AZ230)</f>
        <v>0</v>
      </c>
      <c r="BA231" s="10">
        <f t="shared" si="555"/>
        <v>0</v>
      </c>
      <c r="BB231" s="10">
        <f t="shared" si="555"/>
        <v>0</v>
      </c>
      <c r="BC231" s="10">
        <f>SUM(BC226:BC230)</f>
        <v>0</v>
      </c>
      <c r="BD231" s="10">
        <f>SUM(BD226:BD230)</f>
        <v>0</v>
      </c>
      <c r="BE231" s="10">
        <f t="shared" ref="BE231:BG231" si="557">SUM(BE226:BE230)</f>
        <v>0</v>
      </c>
      <c r="BF231" s="10">
        <f t="shared" si="557"/>
        <v>0</v>
      </c>
      <c r="BG231" s="10">
        <f t="shared" si="557"/>
        <v>0</v>
      </c>
      <c r="BH231" s="10">
        <f t="shared" ref="BH231:BL231" si="558">SUM(BH226:BH230)</f>
        <v>0</v>
      </c>
      <c r="BI231" s="10">
        <f t="shared" si="558"/>
        <v>0</v>
      </c>
      <c r="BJ231" s="10">
        <f t="shared" si="558"/>
        <v>0</v>
      </c>
      <c r="BK231" s="10">
        <f t="shared" si="558"/>
        <v>0</v>
      </c>
      <c r="BL231" s="10">
        <f t="shared" si="558"/>
        <v>0</v>
      </c>
    </row>
    <row r="232" spans="1:64" ht="14.1" customHeight="1">
      <c r="A232" s="379">
        <f t="shared" si="510"/>
        <v>226</v>
      </c>
      <c r="B232" s="22"/>
      <c r="C232" s="3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</row>
    <row r="233" spans="1:64" ht="14.1" customHeight="1">
      <c r="A233" s="379">
        <f t="shared" si="510"/>
        <v>227</v>
      </c>
      <c r="B233" s="13" t="s">
        <v>373</v>
      </c>
      <c r="C233" s="3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</row>
    <row r="234" spans="1:64" ht="14.1" customHeight="1">
      <c r="A234" s="379">
        <f t="shared" si="510"/>
        <v>228</v>
      </c>
      <c r="B234" s="22" t="s">
        <v>158</v>
      </c>
      <c r="C234" s="38">
        <f>SUM(D234:BI234)</f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0">
        <v>0</v>
      </c>
      <c r="AF234" s="10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v>0</v>
      </c>
      <c r="AP234" s="10">
        <v>0</v>
      </c>
      <c r="AQ234" s="10">
        <v>0</v>
      </c>
      <c r="AR234" s="10">
        <v>0</v>
      </c>
      <c r="AS234" s="10">
        <v>0</v>
      </c>
      <c r="AT234" s="10">
        <v>0</v>
      </c>
      <c r="AU234" s="10">
        <v>0</v>
      </c>
      <c r="AV234" s="10">
        <v>0</v>
      </c>
      <c r="AW234" s="10">
        <v>0</v>
      </c>
      <c r="AX234" s="10">
        <v>0</v>
      </c>
      <c r="AY234" s="10">
        <v>0</v>
      </c>
      <c r="AZ234" s="10">
        <v>0</v>
      </c>
      <c r="BA234" s="10">
        <v>0</v>
      </c>
      <c r="BB234" s="10">
        <v>0</v>
      </c>
      <c r="BC234" s="10">
        <v>0</v>
      </c>
      <c r="BD234" s="10">
        <v>0</v>
      </c>
      <c r="BE234" s="10">
        <v>0</v>
      </c>
      <c r="BF234" s="10">
        <v>0</v>
      </c>
      <c r="BG234" s="10">
        <v>0</v>
      </c>
      <c r="BH234" s="10">
        <v>0</v>
      </c>
      <c r="BI234" s="10">
        <v>0</v>
      </c>
      <c r="BJ234" s="10">
        <v>0</v>
      </c>
      <c r="BK234" s="10">
        <v>0</v>
      </c>
      <c r="BL234" s="10">
        <v>0</v>
      </c>
    </row>
    <row r="235" spans="1:64" ht="14.1" customHeight="1">
      <c r="A235" s="379">
        <f t="shared" si="510"/>
        <v>229</v>
      </c>
      <c r="B235" s="56" t="s">
        <v>159</v>
      </c>
      <c r="C235" s="38">
        <f>SUM(D235:BI235)</f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0</v>
      </c>
      <c r="AU235" s="10">
        <v>0</v>
      </c>
      <c r="AV235" s="10">
        <v>0</v>
      </c>
      <c r="AW235" s="10">
        <v>0</v>
      </c>
      <c r="AX235" s="10">
        <v>0</v>
      </c>
      <c r="AY235" s="10">
        <v>0</v>
      </c>
      <c r="AZ235" s="10">
        <v>0</v>
      </c>
      <c r="BA235" s="10">
        <v>0</v>
      </c>
      <c r="BB235" s="10">
        <v>0</v>
      </c>
      <c r="BC235" s="10">
        <v>0</v>
      </c>
      <c r="BD235" s="10">
        <v>0</v>
      </c>
      <c r="BE235" s="10">
        <v>0</v>
      </c>
      <c r="BF235" s="10">
        <v>0</v>
      </c>
      <c r="BG235" s="10">
        <v>0</v>
      </c>
      <c r="BH235" s="10">
        <v>0</v>
      </c>
      <c r="BI235" s="10">
        <v>0</v>
      </c>
      <c r="BJ235" s="10">
        <v>0</v>
      </c>
      <c r="BK235" s="10">
        <v>0</v>
      </c>
      <c r="BL235" s="10">
        <v>0</v>
      </c>
    </row>
    <row r="236" spans="1:64" ht="14.1" customHeight="1">
      <c r="A236" s="379">
        <f t="shared" si="510"/>
        <v>230</v>
      </c>
      <c r="B236" s="90" t="s">
        <v>523</v>
      </c>
      <c r="C236" s="85">
        <f t="shared" ref="C236:K236" si="559">SUM(C234:C235)</f>
        <v>0</v>
      </c>
      <c r="D236" s="85">
        <f t="shared" si="559"/>
        <v>0</v>
      </c>
      <c r="E236" s="85">
        <f t="shared" si="559"/>
        <v>0</v>
      </c>
      <c r="F236" s="85">
        <f t="shared" si="559"/>
        <v>0</v>
      </c>
      <c r="G236" s="85">
        <f t="shared" si="559"/>
        <v>0</v>
      </c>
      <c r="H236" s="85">
        <f t="shared" si="559"/>
        <v>0</v>
      </c>
      <c r="I236" s="85">
        <f t="shared" si="559"/>
        <v>0</v>
      </c>
      <c r="J236" s="85">
        <f t="shared" si="559"/>
        <v>0</v>
      </c>
      <c r="K236" s="85">
        <f t="shared" si="559"/>
        <v>0</v>
      </c>
      <c r="L236" s="85">
        <f t="shared" ref="L236:Y236" si="560">SUM(L234:L235)</f>
        <v>0</v>
      </c>
      <c r="M236" s="85">
        <f t="shared" si="560"/>
        <v>0</v>
      </c>
      <c r="N236" s="85">
        <f t="shared" si="560"/>
        <v>0</v>
      </c>
      <c r="O236" s="85">
        <f t="shared" si="560"/>
        <v>0</v>
      </c>
      <c r="P236" s="85">
        <f t="shared" si="560"/>
        <v>0</v>
      </c>
      <c r="Q236" s="85">
        <f t="shared" si="560"/>
        <v>0</v>
      </c>
      <c r="R236" s="85">
        <f t="shared" si="560"/>
        <v>0</v>
      </c>
      <c r="S236" s="85">
        <f t="shared" si="560"/>
        <v>0</v>
      </c>
      <c r="T236" s="85">
        <f>SUM(T234:T235)</f>
        <v>0</v>
      </c>
      <c r="U236" s="85">
        <f t="shared" si="560"/>
        <v>0</v>
      </c>
      <c r="V236" s="85">
        <f t="shared" si="560"/>
        <v>0</v>
      </c>
      <c r="W236" s="85">
        <f t="shared" si="560"/>
        <v>0</v>
      </c>
      <c r="X236" s="85">
        <f t="shared" si="560"/>
        <v>0</v>
      </c>
      <c r="Y236" s="85">
        <f t="shared" si="560"/>
        <v>0</v>
      </c>
      <c r="Z236" s="85">
        <f t="shared" ref="Z236:AE236" si="561">SUM(Z234:Z235)</f>
        <v>0</v>
      </c>
      <c r="AA236" s="85">
        <f t="shared" si="561"/>
        <v>0</v>
      </c>
      <c r="AB236" s="85">
        <f t="shared" si="561"/>
        <v>0</v>
      </c>
      <c r="AC236" s="85">
        <f t="shared" si="561"/>
        <v>0</v>
      </c>
      <c r="AD236" s="85">
        <f t="shared" si="561"/>
        <v>0</v>
      </c>
      <c r="AE236" s="85">
        <f t="shared" si="561"/>
        <v>0</v>
      </c>
      <c r="AF236" s="85">
        <f t="shared" ref="AF236:AL236" si="562">SUM(AF234:AF235)</f>
        <v>0</v>
      </c>
      <c r="AG236" s="85">
        <f t="shared" si="562"/>
        <v>0</v>
      </c>
      <c r="AH236" s="85">
        <f t="shared" si="562"/>
        <v>0</v>
      </c>
      <c r="AI236" s="85">
        <f t="shared" si="562"/>
        <v>0</v>
      </c>
      <c r="AJ236" s="85">
        <f t="shared" si="562"/>
        <v>0</v>
      </c>
      <c r="AK236" s="85">
        <f t="shared" si="562"/>
        <v>0</v>
      </c>
      <c r="AL236" s="85">
        <f t="shared" si="562"/>
        <v>0</v>
      </c>
      <c r="AM236" s="85">
        <f t="shared" ref="AM236:BB236" si="563">SUM(AM234:AM235)</f>
        <v>0</v>
      </c>
      <c r="AN236" s="85">
        <f t="shared" si="563"/>
        <v>0</v>
      </c>
      <c r="AO236" s="85">
        <f t="shared" si="563"/>
        <v>0</v>
      </c>
      <c r="AP236" s="85">
        <f t="shared" si="563"/>
        <v>0</v>
      </c>
      <c r="AQ236" s="85">
        <f>SUM(AQ234:AQ235)</f>
        <v>0</v>
      </c>
      <c r="AR236" s="85">
        <f>SUM(AR234:AR235)</f>
        <v>0</v>
      </c>
      <c r="AS236" s="85">
        <f t="shared" ref="AS236:AY236" si="564">SUM(AS234:AS235)</f>
        <v>0</v>
      </c>
      <c r="AT236" s="85">
        <f t="shared" si="564"/>
        <v>0</v>
      </c>
      <c r="AU236" s="85">
        <f>SUM(AU234:AU235)</f>
        <v>0</v>
      </c>
      <c r="AV236" s="85">
        <f t="shared" si="564"/>
        <v>0</v>
      </c>
      <c r="AW236" s="85">
        <f t="shared" si="564"/>
        <v>0</v>
      </c>
      <c r="AX236" s="85">
        <f t="shared" si="564"/>
        <v>0</v>
      </c>
      <c r="AY236" s="85">
        <f t="shared" si="564"/>
        <v>0</v>
      </c>
      <c r="AZ236" s="85">
        <f>SUM(AZ234:AZ235)</f>
        <v>0</v>
      </c>
      <c r="BA236" s="85">
        <f t="shared" si="563"/>
        <v>0</v>
      </c>
      <c r="BB236" s="85">
        <f t="shared" si="563"/>
        <v>0</v>
      </c>
      <c r="BC236" s="85">
        <f>SUM(BC234:BC235)</f>
        <v>0</v>
      </c>
      <c r="BD236" s="85">
        <f>SUM(BD234:BD235)</f>
        <v>0</v>
      </c>
      <c r="BE236" s="85">
        <f t="shared" ref="BE236:BG236" si="565">SUM(BE234:BE235)</f>
        <v>0</v>
      </c>
      <c r="BF236" s="85">
        <f t="shared" si="565"/>
        <v>0</v>
      </c>
      <c r="BG236" s="85">
        <f t="shared" si="565"/>
        <v>0</v>
      </c>
      <c r="BH236" s="85">
        <f t="shared" ref="BH236:BL236" si="566">SUM(BH234:BH235)</f>
        <v>0</v>
      </c>
      <c r="BI236" s="85">
        <f t="shared" si="566"/>
        <v>0</v>
      </c>
      <c r="BJ236" s="85">
        <f t="shared" si="566"/>
        <v>0</v>
      </c>
      <c r="BK236" s="85">
        <f t="shared" si="566"/>
        <v>0</v>
      </c>
      <c r="BL236" s="85">
        <f t="shared" si="566"/>
        <v>0</v>
      </c>
    </row>
    <row r="237" spans="1:64" ht="14.1" customHeight="1">
      <c r="A237" s="379">
        <f t="shared" si="510"/>
        <v>231</v>
      </c>
      <c r="B237" s="25"/>
      <c r="C237" s="2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</row>
    <row r="238" spans="1:64" ht="14.1" customHeight="1">
      <c r="A238" s="379">
        <f t="shared" si="510"/>
        <v>232</v>
      </c>
      <c r="B238" s="25"/>
      <c r="C238" s="2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</row>
    <row r="239" spans="1:64" ht="14.1" customHeight="1">
      <c r="A239" s="379">
        <f t="shared" si="510"/>
        <v>233</v>
      </c>
      <c r="B239" s="13" t="s">
        <v>160</v>
      </c>
      <c r="C239" s="13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</row>
    <row r="240" spans="1:64" s="18" customFormat="1" ht="14.1" customHeight="1">
      <c r="A240" s="379">
        <f t="shared" si="510"/>
        <v>234</v>
      </c>
      <c r="B240" s="22" t="s">
        <v>161</v>
      </c>
      <c r="C240" s="38">
        <f t="shared" ref="C240:C245" si="567">SUM(D240:BI240)</f>
        <v>133451967</v>
      </c>
      <c r="D240" s="10">
        <v>0</v>
      </c>
      <c r="E240" s="10">
        <v>0</v>
      </c>
      <c r="F240" s="10">
        <v>0</v>
      </c>
      <c r="G240" s="10">
        <v>34154936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f>61491992+34709612-4338702</f>
        <v>91862902</v>
      </c>
      <c r="AN240" s="10">
        <v>0</v>
      </c>
      <c r="AO240" s="10">
        <v>0</v>
      </c>
      <c r="AP240" s="10">
        <v>0</v>
      </c>
      <c r="AQ240" s="10">
        <v>0</v>
      </c>
      <c r="AR240" s="10">
        <v>0</v>
      </c>
      <c r="AS240" s="10">
        <v>0</v>
      </c>
      <c r="AT240" s="10">
        <v>0</v>
      </c>
      <c r="AU240" s="10">
        <v>0</v>
      </c>
      <c r="AV240" s="10">
        <v>0</v>
      </c>
      <c r="AW240" s="10">
        <v>0</v>
      </c>
      <c r="AX240" s="10">
        <v>0</v>
      </c>
      <c r="AY240" s="10">
        <v>0</v>
      </c>
      <c r="AZ240" s="10">
        <v>0</v>
      </c>
      <c r="BA240" s="10">
        <v>0</v>
      </c>
      <c r="BB240" s="10">
        <v>0</v>
      </c>
      <c r="BC240" s="10">
        <v>0</v>
      </c>
      <c r="BD240" s="10">
        <v>0</v>
      </c>
      <c r="BE240" s="10">
        <v>146201</v>
      </c>
      <c r="BF240" s="10">
        <v>376821</v>
      </c>
      <c r="BG240" s="10">
        <v>6911107</v>
      </c>
      <c r="BH240" s="10">
        <v>0</v>
      </c>
      <c r="BI240" s="10">
        <v>0</v>
      </c>
      <c r="BJ240" s="10">
        <v>0</v>
      </c>
      <c r="BK240" s="10">
        <v>0</v>
      </c>
      <c r="BL240" s="10">
        <v>0</v>
      </c>
    </row>
    <row r="241" spans="1:64" s="18" customFormat="1" ht="14.1" customHeight="1">
      <c r="A241" s="379">
        <f t="shared" si="510"/>
        <v>235</v>
      </c>
      <c r="B241" s="22" t="s">
        <v>162</v>
      </c>
      <c r="C241" s="38">
        <f t="shared" si="567"/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v>0</v>
      </c>
      <c r="AP241" s="10">
        <v>0</v>
      </c>
      <c r="AQ241" s="10">
        <v>0</v>
      </c>
      <c r="AR241" s="10">
        <v>0</v>
      </c>
      <c r="AS241" s="10">
        <v>0</v>
      </c>
      <c r="AT241" s="10">
        <v>0</v>
      </c>
      <c r="AU241" s="10">
        <v>0</v>
      </c>
      <c r="AV241" s="10">
        <v>0</v>
      </c>
      <c r="AW241" s="10">
        <v>0</v>
      </c>
      <c r="AX241" s="10">
        <v>0</v>
      </c>
      <c r="AY241" s="10">
        <v>0</v>
      </c>
      <c r="AZ241" s="10">
        <v>0</v>
      </c>
      <c r="BA241" s="10">
        <v>0</v>
      </c>
      <c r="BB241" s="10">
        <v>0</v>
      </c>
      <c r="BC241" s="10">
        <v>0</v>
      </c>
      <c r="BD241" s="10">
        <v>0</v>
      </c>
      <c r="BE241" s="10">
        <v>0</v>
      </c>
      <c r="BF241" s="10">
        <v>0</v>
      </c>
      <c r="BG241" s="10">
        <v>0</v>
      </c>
      <c r="BH241" s="10">
        <v>0</v>
      </c>
      <c r="BI241" s="10">
        <v>0</v>
      </c>
      <c r="BJ241" s="10">
        <v>0</v>
      </c>
      <c r="BK241" s="10">
        <v>0</v>
      </c>
      <c r="BL241" s="10">
        <v>0</v>
      </c>
    </row>
    <row r="242" spans="1:64" s="18" customFormat="1" ht="14.1" customHeight="1">
      <c r="A242" s="379">
        <f t="shared" si="510"/>
        <v>236</v>
      </c>
      <c r="B242" s="22" t="s">
        <v>163</v>
      </c>
      <c r="C242" s="38">
        <f t="shared" si="567"/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0">
        <v>0</v>
      </c>
      <c r="AF242" s="10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v>0</v>
      </c>
      <c r="AP242" s="10">
        <v>0</v>
      </c>
      <c r="AQ242" s="10">
        <v>0</v>
      </c>
      <c r="AR242" s="10">
        <v>0</v>
      </c>
      <c r="AS242" s="10">
        <v>0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0">
        <v>0</v>
      </c>
      <c r="AZ242" s="10">
        <v>0</v>
      </c>
      <c r="BA242" s="10">
        <v>0</v>
      </c>
      <c r="BB242" s="10">
        <v>0</v>
      </c>
      <c r="BC242" s="10">
        <v>0</v>
      </c>
      <c r="BD242" s="10">
        <v>0</v>
      </c>
      <c r="BE242" s="10">
        <v>0</v>
      </c>
      <c r="BF242" s="10">
        <v>0</v>
      </c>
      <c r="BG242" s="10">
        <v>0</v>
      </c>
      <c r="BH242" s="10">
        <v>0</v>
      </c>
      <c r="BI242" s="10">
        <v>0</v>
      </c>
      <c r="BJ242" s="10">
        <v>0</v>
      </c>
      <c r="BK242" s="10">
        <v>0</v>
      </c>
      <c r="BL242" s="10">
        <v>0</v>
      </c>
    </row>
    <row r="243" spans="1:64" s="18" customFormat="1" ht="14.1" customHeight="1">
      <c r="A243" s="379">
        <f t="shared" si="510"/>
        <v>237</v>
      </c>
      <c r="B243" s="22" t="s">
        <v>376</v>
      </c>
      <c r="C243" s="38">
        <f t="shared" si="567"/>
        <v>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0">
        <v>0</v>
      </c>
      <c r="AZ243" s="10">
        <v>0</v>
      </c>
      <c r="BA243" s="10">
        <v>0</v>
      </c>
      <c r="BB243" s="10">
        <v>0</v>
      </c>
      <c r="BC243" s="10">
        <v>0</v>
      </c>
      <c r="BD243" s="10">
        <v>0</v>
      </c>
      <c r="BE243" s="10">
        <v>0</v>
      </c>
      <c r="BF243" s="10">
        <v>0</v>
      </c>
      <c r="BG243" s="10">
        <v>0</v>
      </c>
      <c r="BH243" s="10">
        <v>0</v>
      </c>
      <c r="BI243" s="10">
        <v>0</v>
      </c>
      <c r="BJ243" s="10">
        <v>0</v>
      </c>
      <c r="BK243" s="10">
        <v>0</v>
      </c>
      <c r="BL243" s="10">
        <v>0</v>
      </c>
    </row>
    <row r="244" spans="1:64" ht="14.1" customHeight="1">
      <c r="A244" s="379">
        <f t="shared" si="510"/>
        <v>238</v>
      </c>
      <c r="B244" s="22" t="s">
        <v>164</v>
      </c>
      <c r="C244" s="38">
        <f t="shared" si="567"/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0</v>
      </c>
      <c r="AR244" s="10">
        <v>0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0">
        <v>0</v>
      </c>
      <c r="AZ244" s="10">
        <v>0</v>
      </c>
      <c r="BA244" s="10">
        <v>0</v>
      </c>
      <c r="BB244" s="10">
        <v>0</v>
      </c>
      <c r="BC244" s="10">
        <v>0</v>
      </c>
      <c r="BD244" s="10">
        <v>0</v>
      </c>
      <c r="BE244" s="10">
        <v>0</v>
      </c>
      <c r="BF244" s="10">
        <v>0</v>
      </c>
      <c r="BG244" s="10">
        <v>0</v>
      </c>
      <c r="BH244" s="10">
        <v>0</v>
      </c>
      <c r="BI244" s="10">
        <v>0</v>
      </c>
      <c r="BJ244" s="10">
        <v>0</v>
      </c>
      <c r="BK244" s="10">
        <v>0</v>
      </c>
      <c r="BL244" s="10">
        <v>0</v>
      </c>
    </row>
    <row r="245" spans="1:64" ht="14.1" customHeight="1">
      <c r="A245" s="379">
        <f t="shared" si="510"/>
        <v>239</v>
      </c>
      <c r="B245" s="56" t="s">
        <v>165</v>
      </c>
      <c r="C245" s="38">
        <f t="shared" si="567"/>
        <v>0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>
        <v>0</v>
      </c>
      <c r="AX245" s="10">
        <v>0</v>
      </c>
      <c r="AY245" s="10">
        <v>0</v>
      </c>
      <c r="AZ245" s="10">
        <v>0</v>
      </c>
      <c r="BA245" s="10">
        <v>0</v>
      </c>
      <c r="BB245" s="10">
        <v>0</v>
      </c>
      <c r="BC245" s="10">
        <v>0</v>
      </c>
      <c r="BD245" s="10">
        <v>0</v>
      </c>
      <c r="BE245" s="10">
        <v>0</v>
      </c>
      <c r="BF245" s="10">
        <v>0</v>
      </c>
      <c r="BG245" s="10">
        <v>0</v>
      </c>
      <c r="BH245" s="10">
        <v>0</v>
      </c>
      <c r="BI245" s="10">
        <v>0</v>
      </c>
      <c r="BJ245" s="10">
        <v>0</v>
      </c>
      <c r="BK245" s="10">
        <v>0</v>
      </c>
      <c r="BL245" s="10">
        <v>0</v>
      </c>
    </row>
    <row r="246" spans="1:64" ht="14.1" customHeight="1">
      <c r="A246" s="379">
        <f t="shared" si="510"/>
        <v>240</v>
      </c>
      <c r="B246" s="90" t="s">
        <v>166</v>
      </c>
      <c r="C246" s="85">
        <f t="shared" ref="C246:K246" si="568">SUM(C240:C245)</f>
        <v>133451967</v>
      </c>
      <c r="D246" s="85">
        <f t="shared" si="568"/>
        <v>0</v>
      </c>
      <c r="E246" s="85">
        <f t="shared" si="568"/>
        <v>0</v>
      </c>
      <c r="F246" s="85">
        <f t="shared" si="568"/>
        <v>0</v>
      </c>
      <c r="G246" s="85">
        <f t="shared" si="568"/>
        <v>34154936</v>
      </c>
      <c r="H246" s="85">
        <f t="shared" si="568"/>
        <v>0</v>
      </c>
      <c r="I246" s="85">
        <f t="shared" si="568"/>
        <v>0</v>
      </c>
      <c r="J246" s="85">
        <f t="shared" si="568"/>
        <v>0</v>
      </c>
      <c r="K246" s="85">
        <f t="shared" si="568"/>
        <v>0</v>
      </c>
      <c r="L246" s="85">
        <f t="shared" ref="L246:Y246" si="569">SUM(L240:L245)</f>
        <v>0</v>
      </c>
      <c r="M246" s="85">
        <f t="shared" si="569"/>
        <v>0</v>
      </c>
      <c r="N246" s="85">
        <f t="shared" si="569"/>
        <v>0</v>
      </c>
      <c r="O246" s="85">
        <f t="shared" si="569"/>
        <v>0</v>
      </c>
      <c r="P246" s="85">
        <f t="shared" si="569"/>
        <v>0</v>
      </c>
      <c r="Q246" s="85">
        <f t="shared" si="569"/>
        <v>0</v>
      </c>
      <c r="R246" s="85">
        <f t="shared" si="569"/>
        <v>0</v>
      </c>
      <c r="S246" s="85">
        <f t="shared" si="569"/>
        <v>0</v>
      </c>
      <c r="T246" s="85">
        <f>SUM(T240:T245)</f>
        <v>0</v>
      </c>
      <c r="U246" s="85">
        <f t="shared" si="569"/>
        <v>0</v>
      </c>
      <c r="V246" s="85">
        <f t="shared" si="569"/>
        <v>0</v>
      </c>
      <c r="W246" s="85">
        <f t="shared" si="569"/>
        <v>0</v>
      </c>
      <c r="X246" s="85">
        <f t="shared" si="569"/>
        <v>0</v>
      </c>
      <c r="Y246" s="85">
        <f t="shared" si="569"/>
        <v>0</v>
      </c>
      <c r="Z246" s="85">
        <f t="shared" ref="Z246:AE246" si="570">SUM(Z240:Z245)</f>
        <v>0</v>
      </c>
      <c r="AA246" s="85">
        <f t="shared" si="570"/>
        <v>0</v>
      </c>
      <c r="AB246" s="85">
        <f t="shared" si="570"/>
        <v>0</v>
      </c>
      <c r="AC246" s="85">
        <f t="shared" si="570"/>
        <v>0</v>
      </c>
      <c r="AD246" s="85">
        <f t="shared" si="570"/>
        <v>0</v>
      </c>
      <c r="AE246" s="85">
        <f t="shared" si="570"/>
        <v>0</v>
      </c>
      <c r="AF246" s="85">
        <f t="shared" ref="AF246:AL246" si="571">SUM(AF240:AF245)</f>
        <v>0</v>
      </c>
      <c r="AG246" s="85">
        <f t="shared" si="571"/>
        <v>0</v>
      </c>
      <c r="AH246" s="85">
        <f t="shared" si="571"/>
        <v>0</v>
      </c>
      <c r="AI246" s="85">
        <f t="shared" si="571"/>
        <v>0</v>
      </c>
      <c r="AJ246" s="85">
        <f t="shared" si="571"/>
        <v>0</v>
      </c>
      <c r="AK246" s="85">
        <f t="shared" si="571"/>
        <v>0</v>
      </c>
      <c r="AL246" s="85">
        <f t="shared" si="571"/>
        <v>0</v>
      </c>
      <c r="AM246" s="85">
        <f t="shared" ref="AM246:BB246" si="572">SUM(AM240:AM245)</f>
        <v>91862902</v>
      </c>
      <c r="AN246" s="85">
        <f t="shared" si="572"/>
        <v>0</v>
      </c>
      <c r="AO246" s="85">
        <f t="shared" si="572"/>
        <v>0</v>
      </c>
      <c r="AP246" s="85">
        <f t="shared" si="572"/>
        <v>0</v>
      </c>
      <c r="AQ246" s="85">
        <f>SUM(AQ240:AQ245)</f>
        <v>0</v>
      </c>
      <c r="AR246" s="85">
        <f>SUM(AR240:AR245)</f>
        <v>0</v>
      </c>
      <c r="AS246" s="85">
        <f t="shared" ref="AS246:AY246" si="573">SUM(AS240:AS245)</f>
        <v>0</v>
      </c>
      <c r="AT246" s="85">
        <f t="shared" si="573"/>
        <v>0</v>
      </c>
      <c r="AU246" s="85">
        <f>SUM(AU240:AU245)</f>
        <v>0</v>
      </c>
      <c r="AV246" s="85">
        <f t="shared" si="573"/>
        <v>0</v>
      </c>
      <c r="AW246" s="85">
        <f t="shared" si="573"/>
        <v>0</v>
      </c>
      <c r="AX246" s="85">
        <f t="shared" si="573"/>
        <v>0</v>
      </c>
      <c r="AY246" s="85">
        <f t="shared" si="573"/>
        <v>0</v>
      </c>
      <c r="AZ246" s="85">
        <f>SUM(AZ240:AZ245)</f>
        <v>0</v>
      </c>
      <c r="BA246" s="85">
        <f t="shared" si="572"/>
        <v>0</v>
      </c>
      <c r="BB246" s="85">
        <f t="shared" si="572"/>
        <v>0</v>
      </c>
      <c r="BC246" s="85">
        <f>SUM(BC240:BC245)</f>
        <v>0</v>
      </c>
      <c r="BD246" s="85">
        <f>SUM(BD240:BD245)</f>
        <v>0</v>
      </c>
      <c r="BE246" s="85">
        <f t="shared" ref="BE246:BG246" si="574">SUM(BE240:BE245)</f>
        <v>146201</v>
      </c>
      <c r="BF246" s="85">
        <f t="shared" si="574"/>
        <v>376821</v>
      </c>
      <c r="BG246" s="85">
        <f t="shared" si="574"/>
        <v>6911107</v>
      </c>
      <c r="BH246" s="85">
        <f t="shared" ref="BH246:BL246" si="575">SUM(BH240:BH245)</f>
        <v>0</v>
      </c>
      <c r="BI246" s="85">
        <f t="shared" si="575"/>
        <v>0</v>
      </c>
      <c r="BJ246" s="85">
        <f t="shared" si="575"/>
        <v>0</v>
      </c>
      <c r="BK246" s="85">
        <f t="shared" si="575"/>
        <v>0</v>
      </c>
      <c r="BL246" s="85">
        <f t="shared" si="575"/>
        <v>0</v>
      </c>
    </row>
    <row r="247" spans="1:64" ht="14.1" customHeight="1">
      <c r="A247" s="379">
        <f t="shared" si="510"/>
        <v>241</v>
      </c>
      <c r="B247" s="52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  <c r="BI247" s="151"/>
      <c r="BJ247" s="151"/>
      <c r="BK247" s="151"/>
      <c r="BL247" s="151"/>
    </row>
    <row r="248" spans="1:64" s="3" customFormat="1" ht="14.1" customHeight="1" thickBot="1">
      <c r="A248" s="379">
        <f t="shared" si="510"/>
        <v>242</v>
      </c>
      <c r="B248" s="54" t="s">
        <v>936</v>
      </c>
      <c r="C248" s="92">
        <f>C193+C216+C165+C223+C236+C246+C231</f>
        <v>-83417201</v>
      </c>
      <c r="D248" s="92">
        <f t="shared" ref="D248:BB248" si="576">D193+D216+D165+D223+D236+D246</f>
        <v>0</v>
      </c>
      <c r="E248" s="92">
        <f t="shared" si="576"/>
        <v>0</v>
      </c>
      <c r="F248" s="92">
        <f t="shared" si="576"/>
        <v>0</v>
      </c>
      <c r="G248" s="92">
        <f t="shared" si="576"/>
        <v>-168127011</v>
      </c>
      <c r="H248" s="92">
        <f t="shared" si="576"/>
        <v>0</v>
      </c>
      <c r="I248" s="92">
        <f t="shared" si="576"/>
        <v>0</v>
      </c>
      <c r="J248" s="92">
        <f t="shared" si="576"/>
        <v>0</v>
      </c>
      <c r="K248" s="92">
        <f t="shared" si="576"/>
        <v>0</v>
      </c>
      <c r="L248" s="92">
        <f t="shared" si="576"/>
        <v>0</v>
      </c>
      <c r="M248" s="92">
        <f t="shared" si="576"/>
        <v>0</v>
      </c>
      <c r="N248" s="92">
        <f t="shared" si="576"/>
        <v>0</v>
      </c>
      <c r="O248" s="92">
        <f t="shared" si="576"/>
        <v>0</v>
      </c>
      <c r="P248" s="92">
        <f t="shared" si="576"/>
        <v>0</v>
      </c>
      <c r="Q248" s="92">
        <f t="shared" si="576"/>
        <v>0</v>
      </c>
      <c r="R248" s="92">
        <f t="shared" si="576"/>
        <v>0</v>
      </c>
      <c r="S248" s="92">
        <f t="shared" si="576"/>
        <v>0</v>
      </c>
      <c r="T248" s="92">
        <f>T193+T216+T165+T223+T236+T246</f>
        <v>0</v>
      </c>
      <c r="U248" s="92">
        <f t="shared" si="576"/>
        <v>0</v>
      </c>
      <c r="V248" s="92">
        <f t="shared" si="576"/>
        <v>0</v>
      </c>
      <c r="W248" s="92">
        <f t="shared" si="576"/>
        <v>0</v>
      </c>
      <c r="X248" s="92">
        <f t="shared" si="576"/>
        <v>0</v>
      </c>
      <c r="Y248" s="92">
        <f t="shared" si="576"/>
        <v>0</v>
      </c>
      <c r="Z248" s="92">
        <f t="shared" si="576"/>
        <v>0</v>
      </c>
      <c r="AA248" s="92">
        <f t="shared" si="576"/>
        <v>0</v>
      </c>
      <c r="AB248" s="92">
        <f t="shared" si="576"/>
        <v>0</v>
      </c>
      <c r="AC248" s="92">
        <f t="shared" si="576"/>
        <v>0</v>
      </c>
      <c r="AD248" s="92">
        <f t="shared" si="576"/>
        <v>0</v>
      </c>
      <c r="AE248" s="92">
        <f t="shared" si="576"/>
        <v>0</v>
      </c>
      <c r="AF248" s="92">
        <f t="shared" si="576"/>
        <v>0</v>
      </c>
      <c r="AG248" s="92">
        <f t="shared" si="576"/>
        <v>0</v>
      </c>
      <c r="AH248" s="92">
        <f t="shared" si="576"/>
        <v>0</v>
      </c>
      <c r="AI248" s="92">
        <f t="shared" si="576"/>
        <v>0</v>
      </c>
      <c r="AJ248" s="92">
        <f t="shared" si="576"/>
        <v>0</v>
      </c>
      <c r="AK248" s="92">
        <f t="shared" si="576"/>
        <v>0</v>
      </c>
      <c r="AL248" s="92">
        <f t="shared" si="576"/>
        <v>0</v>
      </c>
      <c r="AM248" s="92">
        <f t="shared" si="576"/>
        <v>91862902</v>
      </c>
      <c r="AN248" s="92">
        <f t="shared" si="576"/>
        <v>0</v>
      </c>
      <c r="AO248" s="92">
        <f t="shared" si="576"/>
        <v>0</v>
      </c>
      <c r="AP248" s="92">
        <f t="shared" si="576"/>
        <v>0</v>
      </c>
      <c r="AQ248" s="92">
        <f>AQ193+AQ216+AQ165+AQ223+AQ236+AQ246</f>
        <v>0</v>
      </c>
      <c r="AR248" s="92">
        <f>AR193+AR216+AR165+AR223+AR236+AR246</f>
        <v>0</v>
      </c>
      <c r="AS248" s="92">
        <f t="shared" ref="AS248:AY248" si="577">AS193+AS216+AS165+AS223+AS236+AS246</f>
        <v>0</v>
      </c>
      <c r="AT248" s="92">
        <f t="shared" si="577"/>
        <v>0</v>
      </c>
      <c r="AU248" s="92">
        <f>AU193+AU216+AU165+AU223+AU236+AU246</f>
        <v>0</v>
      </c>
      <c r="AV248" s="92">
        <f t="shared" si="577"/>
        <v>0</v>
      </c>
      <c r="AW248" s="92">
        <f t="shared" si="577"/>
        <v>0</v>
      </c>
      <c r="AX248" s="92">
        <f t="shared" si="577"/>
        <v>0</v>
      </c>
      <c r="AY248" s="92">
        <f t="shared" si="577"/>
        <v>0</v>
      </c>
      <c r="AZ248" s="92">
        <f>AZ193+AZ216+AZ165+AZ223+AZ236+AZ246</f>
        <v>0</v>
      </c>
      <c r="BA248" s="92">
        <f t="shared" si="576"/>
        <v>0</v>
      </c>
      <c r="BB248" s="92">
        <f t="shared" si="576"/>
        <v>0</v>
      </c>
      <c r="BC248" s="92">
        <f>BC193+BC216+BC165+BC223+BC236+BC246</f>
        <v>0</v>
      </c>
      <c r="BD248" s="92">
        <f>BD193+BD216+BD165+BD223+BD236+BD246</f>
        <v>0</v>
      </c>
      <c r="BE248" s="92">
        <f t="shared" ref="BE248:BG248" si="578">BE193+BE216+BE165+BE223+BE236+BE246</f>
        <v>146201</v>
      </c>
      <c r="BF248" s="92">
        <f t="shared" si="578"/>
        <v>376821</v>
      </c>
      <c r="BG248" s="92">
        <f t="shared" si="578"/>
        <v>6911107</v>
      </c>
      <c r="BH248" s="92">
        <f t="shared" ref="BH248:BL248" si="579">BH193+BH216+BH165+BH223+BH236+BH246</f>
        <v>0</v>
      </c>
      <c r="BI248" s="92">
        <f t="shared" si="579"/>
        <v>0</v>
      </c>
      <c r="BJ248" s="92">
        <f t="shared" si="579"/>
        <v>0</v>
      </c>
      <c r="BK248" s="92">
        <f t="shared" si="579"/>
        <v>0</v>
      </c>
      <c r="BL248" s="92">
        <f t="shared" si="579"/>
        <v>0</v>
      </c>
    </row>
    <row r="249" spans="1:64" ht="14.1" customHeight="1" thickTop="1">
      <c r="A249" s="379">
        <f t="shared" si="510"/>
        <v>243</v>
      </c>
      <c r="B249" s="65"/>
      <c r="C249" s="65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</row>
    <row r="250" spans="1:64" ht="14.1" customHeight="1">
      <c r="A250" s="379">
        <f t="shared" si="510"/>
        <v>244</v>
      </c>
      <c r="B250" s="22"/>
      <c r="C250" s="22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</row>
    <row r="251" spans="1:64" ht="14.1" customHeight="1">
      <c r="A251" s="379">
        <f t="shared" si="510"/>
        <v>245</v>
      </c>
      <c r="B251" s="129" t="s">
        <v>319</v>
      </c>
      <c r="C251" s="38">
        <f>SUM(D251:BI251)</f>
        <v>-55835125.472561792</v>
      </c>
      <c r="D251" s="10">
        <f>-5850478-349522</f>
        <v>-6200000</v>
      </c>
      <c r="E251" s="10">
        <v>-21011102</v>
      </c>
      <c r="F251" s="10">
        <v>0</v>
      </c>
      <c r="G251" s="10">
        <v>0</v>
      </c>
      <c r="H251" s="10">
        <v>-28786650.5725618</v>
      </c>
      <c r="I251" s="10">
        <v>3204660</v>
      </c>
      <c r="J251" s="10">
        <v>-309086</v>
      </c>
      <c r="K251" s="10">
        <v>2098615</v>
      </c>
      <c r="L251" s="10">
        <v>0</v>
      </c>
      <c r="M251" s="10">
        <v>-482478</v>
      </c>
      <c r="N251" s="10">
        <v>-370224</v>
      </c>
      <c r="O251" s="10">
        <v>-9504100</v>
      </c>
      <c r="P251" s="10">
        <v>-14546115</v>
      </c>
      <c r="Q251" s="10">
        <v>4254356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0</v>
      </c>
      <c r="AF251" s="10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  <c r="AM251" s="10">
        <v>0</v>
      </c>
      <c r="AN251" s="10">
        <v>-214197.6</v>
      </c>
      <c r="AO251" s="10">
        <v>630046</v>
      </c>
      <c r="AP251" s="10">
        <v>0</v>
      </c>
      <c r="AQ251" s="10">
        <v>0</v>
      </c>
      <c r="AR251" s="10">
        <v>0</v>
      </c>
      <c r="AS251" s="10">
        <v>0</v>
      </c>
      <c r="AT251" s="10">
        <v>0</v>
      </c>
      <c r="AU251" s="10">
        <v>0</v>
      </c>
      <c r="AV251" s="10">
        <v>0</v>
      </c>
      <c r="AW251" s="10">
        <v>0</v>
      </c>
      <c r="AX251" s="10">
        <v>0</v>
      </c>
      <c r="AY251" s="10">
        <v>0</v>
      </c>
      <c r="AZ251" s="10">
        <v>0</v>
      </c>
      <c r="BA251" s="10">
        <v>0</v>
      </c>
      <c r="BB251" s="10">
        <v>0</v>
      </c>
      <c r="BC251" s="10">
        <v>0</v>
      </c>
      <c r="BD251" s="10">
        <v>9739266.6999999993</v>
      </c>
      <c r="BE251" s="10">
        <v>0</v>
      </c>
      <c r="BF251" s="10">
        <v>0</v>
      </c>
      <c r="BG251" s="10">
        <v>0</v>
      </c>
      <c r="BH251" s="10">
        <v>5661884</v>
      </c>
      <c r="BI251" s="10">
        <v>0</v>
      </c>
      <c r="BJ251" s="10">
        <v>0</v>
      </c>
      <c r="BK251" s="10">
        <v>0</v>
      </c>
      <c r="BL251" s="10">
        <v>0</v>
      </c>
    </row>
    <row r="252" spans="1:64" ht="14.1" customHeight="1">
      <c r="A252" s="379">
        <f t="shared" si="510"/>
        <v>246</v>
      </c>
      <c r="B252" s="129" t="s">
        <v>368</v>
      </c>
      <c r="C252" s="38">
        <f>SUM(D252:BI252)</f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0</v>
      </c>
      <c r="AW252" s="10">
        <v>0</v>
      </c>
      <c r="AX252" s="10">
        <v>0</v>
      </c>
      <c r="AY252" s="10">
        <v>0</v>
      </c>
      <c r="AZ252" s="10">
        <v>0</v>
      </c>
      <c r="BA252" s="10">
        <v>0</v>
      </c>
      <c r="BB252" s="10">
        <v>0</v>
      </c>
      <c r="BC252" s="10">
        <v>0</v>
      </c>
      <c r="BD252" s="10">
        <v>0</v>
      </c>
      <c r="BE252" s="10">
        <v>0</v>
      </c>
      <c r="BF252" s="10">
        <v>0</v>
      </c>
      <c r="BG252" s="10">
        <v>0</v>
      </c>
      <c r="BH252" s="10">
        <v>0</v>
      </c>
      <c r="BI252" s="10">
        <v>0</v>
      </c>
      <c r="BJ252" s="10">
        <v>0</v>
      </c>
      <c r="BK252" s="10">
        <v>0</v>
      </c>
      <c r="BL252" s="10">
        <v>0</v>
      </c>
    </row>
    <row r="253" spans="1:64" ht="14.1" customHeight="1">
      <c r="A253" s="379">
        <f t="shared" si="510"/>
        <v>247</v>
      </c>
      <c r="B253" s="129" t="s">
        <v>15</v>
      </c>
      <c r="C253" s="38">
        <f>SUM(D253:BI253)</f>
        <v>0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0</v>
      </c>
      <c r="AW253" s="10">
        <v>0</v>
      </c>
      <c r="AX253" s="10">
        <v>0</v>
      </c>
      <c r="AY253" s="10">
        <v>0</v>
      </c>
      <c r="AZ253" s="10">
        <v>0</v>
      </c>
      <c r="BA253" s="10">
        <v>0</v>
      </c>
      <c r="BB253" s="10">
        <v>0</v>
      </c>
      <c r="BC253" s="10">
        <v>0</v>
      </c>
      <c r="BD253" s="10">
        <v>0</v>
      </c>
      <c r="BE253" s="10">
        <v>0</v>
      </c>
      <c r="BF253" s="10">
        <v>0</v>
      </c>
      <c r="BG253" s="10">
        <v>0</v>
      </c>
      <c r="BH253" s="10">
        <v>0</v>
      </c>
      <c r="BI253" s="10">
        <v>0</v>
      </c>
      <c r="BJ253" s="10">
        <v>0</v>
      </c>
      <c r="BK253" s="10">
        <v>0</v>
      </c>
      <c r="BL253" s="10">
        <v>0</v>
      </c>
    </row>
    <row r="254" spans="1:64" ht="14.1" customHeight="1">
      <c r="A254" s="379">
        <f t="shared" si="510"/>
        <v>248</v>
      </c>
      <c r="B254" s="129"/>
      <c r="C254" s="129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</row>
    <row r="255" spans="1:64" ht="14.1" customHeight="1">
      <c r="A255" s="379">
        <f t="shared" si="510"/>
        <v>249</v>
      </c>
      <c r="B255" s="3" t="s">
        <v>168</v>
      </c>
      <c r="C255" s="3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</row>
    <row r="256" spans="1:64" ht="14.1" customHeight="1">
      <c r="A256" s="379">
        <f t="shared" si="510"/>
        <v>250</v>
      </c>
      <c r="B256" s="88" t="s">
        <v>169</v>
      </c>
      <c r="C256" s="38">
        <f>SUM(D256:BI256)</f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0">
        <v>0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v>0</v>
      </c>
      <c r="AP256" s="10">
        <v>0</v>
      </c>
      <c r="AQ256" s="10">
        <v>0</v>
      </c>
      <c r="AR256" s="10">
        <v>0</v>
      </c>
      <c r="AS256" s="10">
        <v>0</v>
      </c>
      <c r="AT256" s="10">
        <v>0</v>
      </c>
      <c r="AU256" s="10">
        <v>0</v>
      </c>
      <c r="AV256" s="10">
        <v>0</v>
      </c>
      <c r="AW256" s="10">
        <v>0</v>
      </c>
      <c r="AX256" s="10">
        <v>0</v>
      </c>
      <c r="AY256" s="10">
        <v>0</v>
      </c>
      <c r="AZ256" s="10">
        <v>0</v>
      </c>
      <c r="BA256" s="10">
        <v>0</v>
      </c>
      <c r="BB256" s="10">
        <v>0</v>
      </c>
      <c r="BC256" s="10">
        <v>0</v>
      </c>
      <c r="BD256" s="10">
        <v>0</v>
      </c>
      <c r="BE256" s="10">
        <v>0</v>
      </c>
      <c r="BF256" s="10">
        <v>0</v>
      </c>
      <c r="BG256" s="10">
        <v>0</v>
      </c>
      <c r="BH256" s="10">
        <v>0</v>
      </c>
      <c r="BI256" s="10">
        <v>0</v>
      </c>
      <c r="BJ256" s="10">
        <v>0</v>
      </c>
      <c r="BK256" s="10">
        <v>0</v>
      </c>
      <c r="BL256" s="10">
        <v>0</v>
      </c>
    </row>
    <row r="257" spans="1:64" ht="14.1" customHeight="1">
      <c r="A257" s="379">
        <f t="shared" si="510"/>
        <v>251</v>
      </c>
      <c r="B257" s="88" t="s">
        <v>170</v>
      </c>
      <c r="C257" s="38">
        <f>SUM(D257:BI257)</f>
        <v>0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0</v>
      </c>
      <c r="AU257" s="10">
        <v>0</v>
      </c>
      <c r="AV257" s="10">
        <v>0</v>
      </c>
      <c r="AW257" s="10">
        <v>0</v>
      </c>
      <c r="AX257" s="10">
        <v>0</v>
      </c>
      <c r="AY257" s="10">
        <v>0</v>
      </c>
      <c r="AZ257" s="10">
        <v>0</v>
      </c>
      <c r="BA257" s="10">
        <v>0</v>
      </c>
      <c r="BB257" s="10">
        <v>0</v>
      </c>
      <c r="BC257" s="10">
        <v>0</v>
      </c>
      <c r="BD257" s="10">
        <v>0</v>
      </c>
      <c r="BE257" s="10">
        <v>0</v>
      </c>
      <c r="BF257" s="10">
        <v>0</v>
      </c>
      <c r="BG257" s="10">
        <v>0</v>
      </c>
      <c r="BH257" s="10">
        <v>0</v>
      </c>
      <c r="BI257" s="10">
        <v>0</v>
      </c>
      <c r="BJ257" s="10">
        <v>0</v>
      </c>
      <c r="BK257" s="10">
        <v>0</v>
      </c>
      <c r="BL257" s="10">
        <v>0</v>
      </c>
    </row>
    <row r="258" spans="1:64" ht="14.1" customHeight="1">
      <c r="A258" s="379">
        <f t="shared" si="510"/>
        <v>252</v>
      </c>
      <c r="B258" s="56" t="s">
        <v>171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</row>
    <row r="259" spans="1:64" ht="14.1" customHeight="1">
      <c r="A259" s="379">
        <f t="shared" si="510"/>
        <v>253</v>
      </c>
      <c r="B259" s="20" t="s">
        <v>494</v>
      </c>
      <c r="C259" s="85">
        <f t="shared" ref="C259:K259" si="580">+C256+C257</f>
        <v>0</v>
      </c>
      <c r="D259" s="85">
        <f t="shared" si="580"/>
        <v>0</v>
      </c>
      <c r="E259" s="85">
        <f t="shared" si="580"/>
        <v>0</v>
      </c>
      <c r="F259" s="85">
        <f t="shared" si="580"/>
        <v>0</v>
      </c>
      <c r="G259" s="85">
        <f t="shared" si="580"/>
        <v>0</v>
      </c>
      <c r="H259" s="85">
        <f t="shared" si="580"/>
        <v>0</v>
      </c>
      <c r="I259" s="85">
        <f t="shared" si="580"/>
        <v>0</v>
      </c>
      <c r="J259" s="85">
        <f t="shared" si="580"/>
        <v>0</v>
      </c>
      <c r="K259" s="85">
        <f t="shared" si="580"/>
        <v>0</v>
      </c>
      <c r="L259" s="85">
        <f t="shared" ref="L259:Y259" si="581">+L256+L257</f>
        <v>0</v>
      </c>
      <c r="M259" s="85">
        <f t="shared" si="581"/>
        <v>0</v>
      </c>
      <c r="N259" s="85">
        <f t="shared" si="581"/>
        <v>0</v>
      </c>
      <c r="O259" s="85">
        <f t="shared" si="581"/>
        <v>0</v>
      </c>
      <c r="P259" s="85">
        <f t="shared" si="581"/>
        <v>0</v>
      </c>
      <c r="Q259" s="85">
        <f t="shared" si="581"/>
        <v>0</v>
      </c>
      <c r="R259" s="85">
        <f t="shared" si="581"/>
        <v>0</v>
      </c>
      <c r="S259" s="85">
        <f t="shared" si="581"/>
        <v>0</v>
      </c>
      <c r="T259" s="85">
        <f>+T256+T257</f>
        <v>0</v>
      </c>
      <c r="U259" s="85">
        <f t="shared" si="581"/>
        <v>0</v>
      </c>
      <c r="V259" s="85">
        <f t="shared" si="581"/>
        <v>0</v>
      </c>
      <c r="W259" s="85">
        <f t="shared" si="581"/>
        <v>0</v>
      </c>
      <c r="X259" s="85">
        <f t="shared" si="581"/>
        <v>0</v>
      </c>
      <c r="Y259" s="85">
        <f t="shared" si="581"/>
        <v>0</v>
      </c>
      <c r="Z259" s="85">
        <f t="shared" ref="Z259:AE259" si="582">+Z256+Z257</f>
        <v>0</v>
      </c>
      <c r="AA259" s="85">
        <f t="shared" si="582"/>
        <v>0</v>
      </c>
      <c r="AB259" s="85">
        <f t="shared" si="582"/>
        <v>0</v>
      </c>
      <c r="AC259" s="85">
        <f t="shared" si="582"/>
        <v>0</v>
      </c>
      <c r="AD259" s="85">
        <f t="shared" si="582"/>
        <v>0</v>
      </c>
      <c r="AE259" s="85">
        <f t="shared" si="582"/>
        <v>0</v>
      </c>
      <c r="AF259" s="85">
        <f t="shared" ref="AF259:AL259" si="583">+AF256+AF257</f>
        <v>0</v>
      </c>
      <c r="AG259" s="85">
        <f t="shared" si="583"/>
        <v>0</v>
      </c>
      <c r="AH259" s="85">
        <f t="shared" si="583"/>
        <v>0</v>
      </c>
      <c r="AI259" s="85">
        <f t="shared" si="583"/>
        <v>0</v>
      </c>
      <c r="AJ259" s="85">
        <f t="shared" si="583"/>
        <v>0</v>
      </c>
      <c r="AK259" s="85">
        <f t="shared" si="583"/>
        <v>0</v>
      </c>
      <c r="AL259" s="85">
        <f t="shared" si="583"/>
        <v>0</v>
      </c>
      <c r="AM259" s="85">
        <f t="shared" ref="AM259:BB259" si="584">+AM256+AM257</f>
        <v>0</v>
      </c>
      <c r="AN259" s="85">
        <f t="shared" si="584"/>
        <v>0</v>
      </c>
      <c r="AO259" s="85">
        <f t="shared" si="584"/>
        <v>0</v>
      </c>
      <c r="AP259" s="85">
        <f t="shared" si="584"/>
        <v>0</v>
      </c>
      <c r="AQ259" s="85">
        <f>+AQ256+AQ257</f>
        <v>0</v>
      </c>
      <c r="AR259" s="85">
        <f>+AR256+AR257</f>
        <v>0</v>
      </c>
      <c r="AS259" s="85">
        <f t="shared" ref="AS259:AY259" si="585">+AS256+AS257</f>
        <v>0</v>
      </c>
      <c r="AT259" s="85">
        <f t="shared" si="585"/>
        <v>0</v>
      </c>
      <c r="AU259" s="85">
        <f>+AU256+AU257</f>
        <v>0</v>
      </c>
      <c r="AV259" s="85">
        <f t="shared" si="585"/>
        <v>0</v>
      </c>
      <c r="AW259" s="85">
        <f t="shared" si="585"/>
        <v>0</v>
      </c>
      <c r="AX259" s="85">
        <f t="shared" si="585"/>
        <v>0</v>
      </c>
      <c r="AY259" s="85">
        <f t="shared" si="585"/>
        <v>0</v>
      </c>
      <c r="AZ259" s="85">
        <f>+AZ256+AZ257</f>
        <v>0</v>
      </c>
      <c r="BA259" s="85">
        <f t="shared" si="584"/>
        <v>0</v>
      </c>
      <c r="BB259" s="85">
        <f t="shared" si="584"/>
        <v>0</v>
      </c>
      <c r="BC259" s="85">
        <f>+BC256+BC257</f>
        <v>0</v>
      </c>
      <c r="BD259" s="85">
        <f>+BD256+BD257</f>
        <v>0</v>
      </c>
      <c r="BE259" s="85">
        <f t="shared" ref="BE259:BG259" si="586">+BE256+BE257</f>
        <v>0</v>
      </c>
      <c r="BF259" s="85">
        <f t="shared" si="586"/>
        <v>0</v>
      </c>
      <c r="BG259" s="85">
        <f t="shared" si="586"/>
        <v>0</v>
      </c>
      <c r="BH259" s="85">
        <f t="shared" ref="BH259:BL259" si="587">+BH256+BH257</f>
        <v>0</v>
      </c>
      <c r="BI259" s="85">
        <f t="shared" si="587"/>
        <v>0</v>
      </c>
      <c r="BJ259" s="85">
        <f t="shared" si="587"/>
        <v>0</v>
      </c>
      <c r="BK259" s="85">
        <f t="shared" si="587"/>
        <v>0</v>
      </c>
      <c r="BL259" s="85">
        <f t="shared" si="587"/>
        <v>0</v>
      </c>
    </row>
    <row r="260" spans="1:64" ht="14.1" customHeight="1">
      <c r="A260" s="379">
        <f t="shared" si="510"/>
        <v>254</v>
      </c>
      <c r="B260" s="129"/>
      <c r="C260" s="12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</row>
    <row r="261" spans="1:64" ht="14.1" customHeight="1">
      <c r="A261" s="379">
        <f t="shared" si="510"/>
        <v>255</v>
      </c>
      <c r="B261" s="13" t="s">
        <v>172</v>
      </c>
      <c r="C261" s="13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</row>
    <row r="262" spans="1:64" ht="14.1" customHeight="1">
      <c r="A262" s="379">
        <f t="shared" si="510"/>
        <v>256</v>
      </c>
      <c r="B262" s="22" t="s">
        <v>173</v>
      </c>
      <c r="C262" s="38">
        <f>SUM(D262:BI262)</f>
        <v>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v>0</v>
      </c>
      <c r="AP262" s="10">
        <v>0</v>
      </c>
      <c r="AQ262" s="10">
        <v>0</v>
      </c>
      <c r="AR262" s="10">
        <v>0</v>
      </c>
      <c r="AS262" s="10">
        <v>0</v>
      </c>
      <c r="AT262" s="10">
        <v>0</v>
      </c>
      <c r="AU262" s="10">
        <v>0</v>
      </c>
      <c r="AV262" s="10">
        <v>0</v>
      </c>
      <c r="AW262" s="10">
        <v>0</v>
      </c>
      <c r="AX262" s="10">
        <v>0</v>
      </c>
      <c r="AY262" s="10">
        <v>0</v>
      </c>
      <c r="AZ262" s="10">
        <v>0</v>
      </c>
      <c r="BA262" s="10">
        <v>0</v>
      </c>
      <c r="BB262" s="10">
        <v>0</v>
      </c>
      <c r="BC262" s="10">
        <v>0</v>
      </c>
      <c r="BD262" s="10">
        <v>0</v>
      </c>
      <c r="BE262" s="10">
        <v>0</v>
      </c>
      <c r="BF262" s="10">
        <v>0</v>
      </c>
      <c r="BG262" s="10">
        <v>0</v>
      </c>
      <c r="BH262" s="10">
        <v>0</v>
      </c>
      <c r="BI262" s="10">
        <v>0</v>
      </c>
      <c r="BJ262" s="10">
        <v>0</v>
      </c>
      <c r="BK262" s="10">
        <v>0</v>
      </c>
      <c r="BL262" s="10">
        <v>0</v>
      </c>
    </row>
    <row r="263" spans="1:64" ht="14.1" customHeight="1">
      <c r="A263" s="379">
        <f t="shared" si="510"/>
        <v>257</v>
      </c>
      <c r="B263" s="22" t="s">
        <v>174</v>
      </c>
      <c r="C263" s="38">
        <f>SUM(D263:BI263)</f>
        <v>0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0">
        <v>0</v>
      </c>
      <c r="AF263" s="10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  <c r="AM263" s="10">
        <v>0</v>
      </c>
      <c r="AN263" s="10">
        <v>0</v>
      </c>
      <c r="AO263" s="10">
        <v>0</v>
      </c>
      <c r="AP263" s="10">
        <v>0</v>
      </c>
      <c r="AQ263" s="10">
        <v>0</v>
      </c>
      <c r="AR263" s="10">
        <v>0</v>
      </c>
      <c r="AS263" s="10">
        <v>0</v>
      </c>
      <c r="AT263" s="10">
        <v>0</v>
      </c>
      <c r="AU263" s="10">
        <v>0</v>
      </c>
      <c r="AV263" s="10">
        <v>0</v>
      </c>
      <c r="AW263" s="10">
        <v>0</v>
      </c>
      <c r="AX263" s="10">
        <v>0</v>
      </c>
      <c r="AY263" s="10">
        <v>0</v>
      </c>
      <c r="AZ263" s="10">
        <v>0</v>
      </c>
      <c r="BA263" s="10">
        <v>0</v>
      </c>
      <c r="BB263" s="10">
        <v>0</v>
      </c>
      <c r="BC263" s="10">
        <v>0</v>
      </c>
      <c r="BD263" s="10">
        <v>0</v>
      </c>
      <c r="BE263" s="10">
        <v>0</v>
      </c>
      <c r="BF263" s="10">
        <v>0</v>
      </c>
      <c r="BG263" s="10">
        <v>0</v>
      </c>
      <c r="BH263" s="10">
        <v>0</v>
      </c>
      <c r="BI263" s="10">
        <v>0</v>
      </c>
      <c r="BJ263" s="10">
        <v>0</v>
      </c>
      <c r="BK263" s="10">
        <v>0</v>
      </c>
      <c r="BL263" s="10">
        <v>0</v>
      </c>
    </row>
    <row r="264" spans="1:64" ht="14.1" customHeight="1">
      <c r="A264" s="379">
        <f t="shared" si="510"/>
        <v>258</v>
      </c>
      <c r="B264" s="13" t="s">
        <v>175</v>
      </c>
      <c r="C264" s="13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</row>
    <row r="265" spans="1:64" s="21" customFormat="1" ht="14.1" customHeight="1">
      <c r="A265" s="379">
        <f t="shared" si="510"/>
        <v>259</v>
      </c>
      <c r="B265" s="22" t="s">
        <v>176</v>
      </c>
      <c r="C265" s="38">
        <f t="shared" ref="C265:C273" si="588">SUM(D265:BI265)</f>
        <v>0</v>
      </c>
      <c r="D265" s="10">
        <v>0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0">
        <v>0</v>
      </c>
      <c r="AF265" s="10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  <c r="AM265" s="10">
        <v>0</v>
      </c>
      <c r="AN265" s="10">
        <v>0</v>
      </c>
      <c r="AO265" s="10">
        <v>0</v>
      </c>
      <c r="AP265" s="10">
        <v>0</v>
      </c>
      <c r="AQ265" s="10">
        <v>0</v>
      </c>
      <c r="AR265" s="10">
        <v>0</v>
      </c>
      <c r="AS265" s="10">
        <v>0</v>
      </c>
      <c r="AT265" s="10">
        <v>0</v>
      </c>
      <c r="AU265" s="10">
        <v>0</v>
      </c>
      <c r="AV265" s="10">
        <v>0</v>
      </c>
      <c r="AW265" s="10">
        <v>0</v>
      </c>
      <c r="AX265" s="10">
        <v>0</v>
      </c>
      <c r="AY265" s="10">
        <v>0</v>
      </c>
      <c r="AZ265" s="10">
        <v>0</v>
      </c>
      <c r="BA265" s="10">
        <v>0</v>
      </c>
      <c r="BB265" s="10">
        <v>0</v>
      </c>
      <c r="BC265" s="10">
        <v>0</v>
      </c>
      <c r="BD265" s="10">
        <v>0</v>
      </c>
      <c r="BE265" s="10">
        <v>0</v>
      </c>
      <c r="BF265" s="10">
        <v>0</v>
      </c>
      <c r="BG265" s="10">
        <v>0</v>
      </c>
      <c r="BH265" s="10">
        <v>0</v>
      </c>
      <c r="BI265" s="10">
        <v>0</v>
      </c>
      <c r="BJ265" s="10">
        <v>0</v>
      </c>
      <c r="BK265" s="10">
        <v>0</v>
      </c>
      <c r="BL265" s="10">
        <v>0</v>
      </c>
    </row>
    <row r="266" spans="1:64" ht="14.1" customHeight="1">
      <c r="A266" s="379">
        <f t="shared" si="510"/>
        <v>260</v>
      </c>
      <c r="B266" s="22" t="s">
        <v>177</v>
      </c>
      <c r="C266" s="38">
        <f t="shared" si="588"/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0">
        <v>0</v>
      </c>
      <c r="AF266" s="10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  <c r="AM266" s="10">
        <v>0</v>
      </c>
      <c r="AN266" s="10">
        <v>0</v>
      </c>
      <c r="AO266" s="10">
        <v>0</v>
      </c>
      <c r="AP266" s="10">
        <v>0</v>
      </c>
      <c r="AQ266" s="10">
        <v>0</v>
      </c>
      <c r="AR266" s="10">
        <v>0</v>
      </c>
      <c r="AS266" s="10">
        <v>0</v>
      </c>
      <c r="AT266" s="10">
        <v>0</v>
      </c>
      <c r="AU266" s="10">
        <v>0</v>
      </c>
      <c r="AV266" s="10">
        <v>0</v>
      </c>
      <c r="AW266" s="10">
        <v>0</v>
      </c>
      <c r="AX266" s="10">
        <v>0</v>
      </c>
      <c r="AY266" s="10">
        <v>0</v>
      </c>
      <c r="AZ266" s="10">
        <v>0</v>
      </c>
      <c r="BA266" s="10">
        <v>0</v>
      </c>
      <c r="BB266" s="10">
        <v>0</v>
      </c>
      <c r="BC266" s="10">
        <v>0</v>
      </c>
      <c r="BD266" s="10">
        <v>0</v>
      </c>
      <c r="BE266" s="10">
        <v>0</v>
      </c>
      <c r="BF266" s="10">
        <v>0</v>
      </c>
      <c r="BG266" s="10">
        <v>0</v>
      </c>
      <c r="BH266" s="10">
        <v>0</v>
      </c>
      <c r="BI266" s="10">
        <v>0</v>
      </c>
      <c r="BJ266" s="10">
        <v>0</v>
      </c>
      <c r="BK266" s="10">
        <v>0</v>
      </c>
      <c r="BL266" s="10">
        <v>0</v>
      </c>
    </row>
    <row r="267" spans="1:64" ht="14.1" customHeight="1">
      <c r="A267" s="379">
        <f t="shared" si="510"/>
        <v>261</v>
      </c>
      <c r="B267" s="22" t="s">
        <v>178</v>
      </c>
      <c r="C267" s="38">
        <f t="shared" si="588"/>
        <v>0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0">
        <v>0</v>
      </c>
      <c r="AF267" s="10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  <c r="AM267" s="10">
        <v>0</v>
      </c>
      <c r="AN267" s="10">
        <v>0</v>
      </c>
      <c r="AO267" s="10">
        <v>0</v>
      </c>
      <c r="AP267" s="10">
        <v>0</v>
      </c>
      <c r="AQ267" s="10">
        <v>0</v>
      </c>
      <c r="AR267" s="10">
        <v>0</v>
      </c>
      <c r="AS267" s="10">
        <v>0</v>
      </c>
      <c r="AT267" s="10">
        <v>0</v>
      </c>
      <c r="AU267" s="10">
        <v>0</v>
      </c>
      <c r="AV267" s="10">
        <v>0</v>
      </c>
      <c r="AW267" s="10">
        <v>0</v>
      </c>
      <c r="AX267" s="10">
        <v>0</v>
      </c>
      <c r="AY267" s="10">
        <v>0</v>
      </c>
      <c r="AZ267" s="10">
        <v>0</v>
      </c>
      <c r="BA267" s="10">
        <v>0</v>
      </c>
      <c r="BB267" s="10">
        <v>0</v>
      </c>
      <c r="BC267" s="10">
        <v>0</v>
      </c>
      <c r="BD267" s="10">
        <v>0</v>
      </c>
      <c r="BE267" s="10">
        <v>0</v>
      </c>
      <c r="BF267" s="10">
        <v>0</v>
      </c>
      <c r="BG267" s="10">
        <v>0</v>
      </c>
      <c r="BH267" s="10">
        <v>0</v>
      </c>
      <c r="BI267" s="10">
        <v>0</v>
      </c>
      <c r="BJ267" s="10">
        <v>0</v>
      </c>
      <c r="BK267" s="10">
        <v>0</v>
      </c>
      <c r="BL267" s="10">
        <v>0</v>
      </c>
    </row>
    <row r="268" spans="1:64" ht="14.1" customHeight="1">
      <c r="A268" s="379">
        <f t="shared" si="510"/>
        <v>262</v>
      </c>
      <c r="B268" s="22" t="s">
        <v>179</v>
      </c>
      <c r="C268" s="38">
        <f t="shared" si="588"/>
        <v>0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  <c r="AM268" s="10">
        <v>0</v>
      </c>
      <c r="AN268" s="10">
        <v>0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0</v>
      </c>
      <c r="AV268" s="10">
        <v>0</v>
      </c>
      <c r="AW268" s="10">
        <v>0</v>
      </c>
      <c r="AX268" s="10">
        <v>0</v>
      </c>
      <c r="AY268" s="10">
        <v>0</v>
      </c>
      <c r="AZ268" s="10">
        <v>0</v>
      </c>
      <c r="BA268" s="10">
        <v>0</v>
      </c>
      <c r="BB268" s="10">
        <v>0</v>
      </c>
      <c r="BC268" s="10">
        <v>0</v>
      </c>
      <c r="BD268" s="10">
        <v>0</v>
      </c>
      <c r="BE268" s="10">
        <v>0</v>
      </c>
      <c r="BF268" s="10">
        <v>0</v>
      </c>
      <c r="BG268" s="10">
        <v>0</v>
      </c>
      <c r="BH268" s="10">
        <v>0</v>
      </c>
      <c r="BI268" s="10">
        <v>0</v>
      </c>
      <c r="BJ268" s="10">
        <v>0</v>
      </c>
      <c r="BK268" s="10">
        <v>0</v>
      </c>
      <c r="BL268" s="10">
        <v>0</v>
      </c>
    </row>
    <row r="269" spans="1:64" ht="14.1" customHeight="1">
      <c r="A269" s="379">
        <f t="shared" ref="A269:A333" si="589">+A268+1</f>
        <v>263</v>
      </c>
      <c r="B269" s="22" t="s">
        <v>180</v>
      </c>
      <c r="C269" s="38">
        <f t="shared" si="588"/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0">
        <v>0</v>
      </c>
      <c r="AF269" s="10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  <c r="AM269" s="10">
        <v>0</v>
      </c>
      <c r="AN269" s="10">
        <v>0</v>
      </c>
      <c r="AO269" s="10">
        <v>0</v>
      </c>
      <c r="AP269" s="10">
        <v>0</v>
      </c>
      <c r="AQ269" s="10">
        <v>0</v>
      </c>
      <c r="AR269" s="10">
        <v>0</v>
      </c>
      <c r="AS269" s="10">
        <v>0</v>
      </c>
      <c r="AT269" s="10">
        <v>0</v>
      </c>
      <c r="AU269" s="10">
        <v>0</v>
      </c>
      <c r="AV269" s="10">
        <v>0</v>
      </c>
      <c r="AW269" s="10">
        <v>0</v>
      </c>
      <c r="AX269" s="10">
        <v>0</v>
      </c>
      <c r="AY269" s="10">
        <v>0</v>
      </c>
      <c r="AZ269" s="10">
        <v>0</v>
      </c>
      <c r="BA269" s="10">
        <v>0</v>
      </c>
      <c r="BB269" s="10">
        <v>0</v>
      </c>
      <c r="BC269" s="10">
        <v>0</v>
      </c>
      <c r="BD269" s="10">
        <v>0</v>
      </c>
      <c r="BE269" s="10">
        <v>0</v>
      </c>
      <c r="BF269" s="10">
        <v>0</v>
      </c>
      <c r="BG269" s="10">
        <v>0</v>
      </c>
      <c r="BH269" s="10">
        <v>0</v>
      </c>
      <c r="BI269" s="10">
        <v>0</v>
      </c>
      <c r="BJ269" s="10">
        <v>0</v>
      </c>
      <c r="BK269" s="10">
        <v>0</v>
      </c>
      <c r="BL269" s="10">
        <v>0</v>
      </c>
    </row>
    <row r="270" spans="1:64" ht="14.1" customHeight="1">
      <c r="A270" s="379">
        <f t="shared" si="589"/>
        <v>264</v>
      </c>
      <c r="B270" s="22" t="s">
        <v>181</v>
      </c>
      <c r="C270" s="38">
        <f t="shared" si="588"/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0">
        <v>0</v>
      </c>
      <c r="AF270" s="10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  <c r="AM270" s="10">
        <v>0</v>
      </c>
      <c r="AN270" s="10">
        <v>0</v>
      </c>
      <c r="AO270" s="10">
        <v>0</v>
      </c>
      <c r="AP270" s="10">
        <v>0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0">
        <v>0</v>
      </c>
      <c r="AZ270" s="10">
        <v>0</v>
      </c>
      <c r="BA270" s="10">
        <v>0</v>
      </c>
      <c r="BB270" s="10">
        <v>0</v>
      </c>
      <c r="BC270" s="10">
        <v>0</v>
      </c>
      <c r="BD270" s="10">
        <v>0</v>
      </c>
      <c r="BE270" s="10">
        <v>0</v>
      </c>
      <c r="BF270" s="10">
        <v>0</v>
      </c>
      <c r="BG270" s="10">
        <v>0</v>
      </c>
      <c r="BH270" s="10">
        <v>0</v>
      </c>
      <c r="BI270" s="10">
        <v>0</v>
      </c>
      <c r="BJ270" s="10">
        <v>0</v>
      </c>
      <c r="BK270" s="10">
        <v>0</v>
      </c>
      <c r="BL270" s="10">
        <v>0</v>
      </c>
    </row>
    <row r="271" spans="1:64" ht="14.1" customHeight="1">
      <c r="A271" s="379">
        <f t="shared" si="589"/>
        <v>265</v>
      </c>
      <c r="B271" s="22" t="s">
        <v>182</v>
      </c>
      <c r="C271" s="38">
        <f t="shared" si="588"/>
        <v>283945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0">
        <v>0</v>
      </c>
      <c r="AF271" s="10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  <c r="AM271" s="10">
        <v>0</v>
      </c>
      <c r="AN271" s="10">
        <v>0</v>
      </c>
      <c r="AO271" s="10">
        <v>0</v>
      </c>
      <c r="AP271" s="10">
        <v>0</v>
      </c>
      <c r="AQ271" s="10">
        <v>0</v>
      </c>
      <c r="AR271" s="10">
        <v>0</v>
      </c>
      <c r="AS271" s="10">
        <v>0</v>
      </c>
      <c r="AT271" s="10">
        <v>0</v>
      </c>
      <c r="AU271" s="10">
        <v>283945</v>
      </c>
      <c r="AV271" s="10">
        <v>0</v>
      </c>
      <c r="AW271" s="10">
        <v>0</v>
      </c>
      <c r="AX271" s="10">
        <v>0</v>
      </c>
      <c r="AY271" s="10">
        <v>0</v>
      </c>
      <c r="AZ271" s="10">
        <v>0</v>
      </c>
      <c r="BA271" s="10">
        <v>0</v>
      </c>
      <c r="BB271" s="10">
        <v>0</v>
      </c>
      <c r="BC271" s="10">
        <v>0</v>
      </c>
      <c r="BD271" s="10">
        <v>0</v>
      </c>
      <c r="BE271" s="10">
        <v>0</v>
      </c>
      <c r="BF271" s="10">
        <v>0</v>
      </c>
      <c r="BG271" s="10">
        <v>0</v>
      </c>
      <c r="BH271" s="10">
        <v>0</v>
      </c>
      <c r="BI271" s="10">
        <v>0</v>
      </c>
      <c r="BJ271" s="10">
        <v>0</v>
      </c>
      <c r="BK271" s="10">
        <v>0</v>
      </c>
      <c r="BL271" s="10">
        <v>0</v>
      </c>
    </row>
    <row r="272" spans="1:64" ht="14.1" customHeight="1">
      <c r="A272" s="379">
        <f t="shared" si="589"/>
        <v>266</v>
      </c>
      <c r="B272" s="22" t="s">
        <v>183</v>
      </c>
      <c r="C272" s="38">
        <f t="shared" si="588"/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v>0</v>
      </c>
      <c r="O272" s="43">
        <v>0</v>
      </c>
      <c r="P272" s="43">
        <v>0</v>
      </c>
      <c r="Q272" s="43">
        <v>0</v>
      </c>
      <c r="R272" s="43">
        <v>0</v>
      </c>
      <c r="S272" s="43">
        <v>0</v>
      </c>
      <c r="T272" s="43">
        <v>0</v>
      </c>
      <c r="U272" s="43">
        <v>0</v>
      </c>
      <c r="V272" s="43">
        <v>0</v>
      </c>
      <c r="W272" s="43">
        <v>0</v>
      </c>
      <c r="X272" s="43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43">
        <v>0</v>
      </c>
      <c r="AF272" s="43">
        <v>0</v>
      </c>
      <c r="AG272" s="43">
        <v>0</v>
      </c>
      <c r="AH272" s="43">
        <v>0</v>
      </c>
      <c r="AI272" s="43">
        <v>0</v>
      </c>
      <c r="AJ272" s="43">
        <v>0</v>
      </c>
      <c r="AK272" s="43">
        <v>0</v>
      </c>
      <c r="AL272" s="43">
        <v>0</v>
      </c>
      <c r="AM272" s="43">
        <v>0</v>
      </c>
      <c r="AN272" s="43">
        <v>0</v>
      </c>
      <c r="AO272" s="43">
        <v>0</v>
      </c>
      <c r="AP272" s="43">
        <v>0</v>
      </c>
      <c r="AQ272" s="43">
        <v>0</v>
      </c>
      <c r="AR272" s="43">
        <v>0</v>
      </c>
      <c r="AS272" s="43">
        <v>0</v>
      </c>
      <c r="AT272" s="43">
        <v>0</v>
      </c>
      <c r="AU272" s="43">
        <v>0</v>
      </c>
      <c r="AV272" s="43">
        <v>0</v>
      </c>
      <c r="AW272" s="43">
        <v>0</v>
      </c>
      <c r="AX272" s="43">
        <v>0</v>
      </c>
      <c r="AY272" s="43">
        <v>0</v>
      </c>
      <c r="AZ272" s="43">
        <v>0</v>
      </c>
      <c r="BA272" s="43">
        <v>0</v>
      </c>
      <c r="BB272" s="43">
        <v>0</v>
      </c>
      <c r="BC272" s="43">
        <v>0</v>
      </c>
      <c r="BD272" s="43">
        <v>0</v>
      </c>
      <c r="BE272" s="43">
        <v>0</v>
      </c>
      <c r="BF272" s="43">
        <v>0</v>
      </c>
      <c r="BG272" s="43">
        <v>0</v>
      </c>
      <c r="BH272" s="43">
        <v>0</v>
      </c>
      <c r="BI272" s="43">
        <v>0</v>
      </c>
      <c r="BJ272" s="43">
        <v>0</v>
      </c>
      <c r="BK272" s="43">
        <v>0</v>
      </c>
      <c r="BL272" s="43">
        <v>0</v>
      </c>
    </row>
    <row r="273" spans="1:64" ht="14.1" customHeight="1">
      <c r="A273" s="379">
        <f t="shared" si="589"/>
        <v>267</v>
      </c>
      <c r="B273" s="56" t="s">
        <v>184</v>
      </c>
      <c r="C273" s="38">
        <f t="shared" si="588"/>
        <v>0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v>0</v>
      </c>
      <c r="O273" s="43">
        <v>0</v>
      </c>
      <c r="P273" s="43">
        <v>0</v>
      </c>
      <c r="Q273" s="43">
        <v>0</v>
      </c>
      <c r="R273" s="43">
        <v>0</v>
      </c>
      <c r="S273" s="43">
        <v>0</v>
      </c>
      <c r="T273" s="43">
        <v>0</v>
      </c>
      <c r="U273" s="43">
        <v>0</v>
      </c>
      <c r="V273" s="43">
        <v>0</v>
      </c>
      <c r="W273" s="43">
        <v>0</v>
      </c>
      <c r="X273" s="43">
        <v>0</v>
      </c>
      <c r="Y273" s="43">
        <v>0</v>
      </c>
      <c r="Z273" s="43">
        <v>0</v>
      </c>
      <c r="AA273" s="43">
        <v>0</v>
      </c>
      <c r="AB273" s="43">
        <v>0</v>
      </c>
      <c r="AC273" s="43">
        <v>0</v>
      </c>
      <c r="AD273" s="43">
        <v>0</v>
      </c>
      <c r="AE273" s="43">
        <v>0</v>
      </c>
      <c r="AF273" s="43">
        <v>0</v>
      </c>
      <c r="AG273" s="43">
        <v>0</v>
      </c>
      <c r="AH273" s="43">
        <v>0</v>
      </c>
      <c r="AI273" s="43">
        <v>0</v>
      </c>
      <c r="AJ273" s="43">
        <v>0</v>
      </c>
      <c r="AK273" s="43">
        <v>0</v>
      </c>
      <c r="AL273" s="43">
        <v>0</v>
      </c>
      <c r="AM273" s="43">
        <v>0</v>
      </c>
      <c r="AN273" s="43">
        <v>0</v>
      </c>
      <c r="AO273" s="43">
        <v>0</v>
      </c>
      <c r="AP273" s="43">
        <v>0</v>
      </c>
      <c r="AQ273" s="43">
        <v>0</v>
      </c>
      <c r="AR273" s="43">
        <v>0</v>
      </c>
      <c r="AS273" s="43">
        <v>0</v>
      </c>
      <c r="AT273" s="43">
        <v>0</v>
      </c>
      <c r="AU273" s="43">
        <v>0</v>
      </c>
      <c r="AV273" s="43">
        <v>0</v>
      </c>
      <c r="AW273" s="43">
        <v>0</v>
      </c>
      <c r="AX273" s="43">
        <v>0</v>
      </c>
      <c r="AY273" s="43">
        <v>0</v>
      </c>
      <c r="AZ273" s="43">
        <v>0</v>
      </c>
      <c r="BA273" s="43">
        <v>0</v>
      </c>
      <c r="BB273" s="43">
        <v>0</v>
      </c>
      <c r="BC273" s="43">
        <v>0</v>
      </c>
      <c r="BD273" s="43">
        <v>0</v>
      </c>
      <c r="BE273" s="43">
        <v>0</v>
      </c>
      <c r="BF273" s="43">
        <v>0</v>
      </c>
      <c r="BG273" s="43">
        <v>0</v>
      </c>
      <c r="BH273" s="43">
        <v>0</v>
      </c>
      <c r="BI273" s="43">
        <v>0</v>
      </c>
      <c r="BJ273" s="43">
        <v>0</v>
      </c>
      <c r="BK273" s="43">
        <v>0</v>
      </c>
      <c r="BL273" s="43">
        <v>0</v>
      </c>
    </row>
    <row r="274" spans="1:64" s="21" customFormat="1" ht="14.1" customHeight="1">
      <c r="A274" s="379">
        <f t="shared" si="589"/>
        <v>268</v>
      </c>
      <c r="B274" s="20" t="s">
        <v>495</v>
      </c>
      <c r="C274" s="85">
        <f t="shared" ref="C274:K274" si="590">SUM(C265:C273)</f>
        <v>283945</v>
      </c>
      <c r="D274" s="85">
        <f t="shared" si="590"/>
        <v>0</v>
      </c>
      <c r="E274" s="85">
        <f t="shared" si="590"/>
        <v>0</v>
      </c>
      <c r="F274" s="85">
        <f t="shared" si="590"/>
        <v>0</v>
      </c>
      <c r="G274" s="85">
        <f t="shared" si="590"/>
        <v>0</v>
      </c>
      <c r="H274" s="85">
        <f t="shared" si="590"/>
        <v>0</v>
      </c>
      <c r="I274" s="85">
        <f t="shared" si="590"/>
        <v>0</v>
      </c>
      <c r="J274" s="85">
        <f t="shared" si="590"/>
        <v>0</v>
      </c>
      <c r="K274" s="85">
        <f t="shared" si="590"/>
        <v>0</v>
      </c>
      <c r="L274" s="85">
        <f t="shared" ref="L274:Y274" si="591">SUM(L265:L273)</f>
        <v>0</v>
      </c>
      <c r="M274" s="85">
        <f t="shared" si="591"/>
        <v>0</v>
      </c>
      <c r="N274" s="85">
        <f t="shared" si="591"/>
        <v>0</v>
      </c>
      <c r="O274" s="85">
        <f t="shared" si="591"/>
        <v>0</v>
      </c>
      <c r="P274" s="85">
        <f t="shared" si="591"/>
        <v>0</v>
      </c>
      <c r="Q274" s="85">
        <f t="shared" si="591"/>
        <v>0</v>
      </c>
      <c r="R274" s="85">
        <f t="shared" si="591"/>
        <v>0</v>
      </c>
      <c r="S274" s="85">
        <f t="shared" si="591"/>
        <v>0</v>
      </c>
      <c r="T274" s="85">
        <f>SUM(T265:T273)</f>
        <v>0</v>
      </c>
      <c r="U274" s="85">
        <f t="shared" si="591"/>
        <v>0</v>
      </c>
      <c r="V274" s="85">
        <f t="shared" si="591"/>
        <v>0</v>
      </c>
      <c r="W274" s="85">
        <f t="shared" si="591"/>
        <v>0</v>
      </c>
      <c r="X274" s="85">
        <f t="shared" si="591"/>
        <v>0</v>
      </c>
      <c r="Y274" s="85">
        <f t="shared" si="591"/>
        <v>0</v>
      </c>
      <c r="Z274" s="85">
        <f t="shared" ref="Z274:AE274" si="592">SUM(Z265:Z273)</f>
        <v>0</v>
      </c>
      <c r="AA274" s="85">
        <f t="shared" si="592"/>
        <v>0</v>
      </c>
      <c r="AB274" s="85">
        <f t="shared" si="592"/>
        <v>0</v>
      </c>
      <c r="AC274" s="85">
        <f t="shared" si="592"/>
        <v>0</v>
      </c>
      <c r="AD274" s="85">
        <f t="shared" si="592"/>
        <v>0</v>
      </c>
      <c r="AE274" s="85">
        <f t="shared" si="592"/>
        <v>0</v>
      </c>
      <c r="AF274" s="85">
        <f t="shared" ref="AF274:AL274" si="593">SUM(AF265:AF273)</f>
        <v>0</v>
      </c>
      <c r="AG274" s="85">
        <f t="shared" si="593"/>
        <v>0</v>
      </c>
      <c r="AH274" s="85">
        <f t="shared" si="593"/>
        <v>0</v>
      </c>
      <c r="AI274" s="85">
        <f t="shared" si="593"/>
        <v>0</v>
      </c>
      <c r="AJ274" s="85">
        <f t="shared" si="593"/>
        <v>0</v>
      </c>
      <c r="AK274" s="85">
        <f t="shared" si="593"/>
        <v>0</v>
      </c>
      <c r="AL274" s="85">
        <f t="shared" si="593"/>
        <v>0</v>
      </c>
      <c r="AM274" s="85">
        <f t="shared" ref="AM274:BB274" si="594">SUM(AM265:AM273)</f>
        <v>0</v>
      </c>
      <c r="AN274" s="85">
        <f t="shared" si="594"/>
        <v>0</v>
      </c>
      <c r="AO274" s="85">
        <f t="shared" si="594"/>
        <v>0</v>
      </c>
      <c r="AP274" s="85">
        <f t="shared" si="594"/>
        <v>0</v>
      </c>
      <c r="AQ274" s="85">
        <f>SUM(AQ265:AQ273)</f>
        <v>0</v>
      </c>
      <c r="AR274" s="85">
        <f>SUM(AR265:AR273)</f>
        <v>0</v>
      </c>
      <c r="AS274" s="85">
        <f t="shared" ref="AS274:AY274" si="595">SUM(AS265:AS273)</f>
        <v>0</v>
      </c>
      <c r="AT274" s="85">
        <f t="shared" si="595"/>
        <v>0</v>
      </c>
      <c r="AU274" s="85">
        <f>SUM(AU265:AU273)</f>
        <v>283945</v>
      </c>
      <c r="AV274" s="85">
        <f t="shared" si="595"/>
        <v>0</v>
      </c>
      <c r="AW274" s="85">
        <f t="shared" si="595"/>
        <v>0</v>
      </c>
      <c r="AX274" s="85">
        <f t="shared" si="595"/>
        <v>0</v>
      </c>
      <c r="AY274" s="85">
        <f t="shared" si="595"/>
        <v>0</v>
      </c>
      <c r="AZ274" s="85">
        <f>SUM(AZ265:AZ273)</f>
        <v>0</v>
      </c>
      <c r="BA274" s="85">
        <f t="shared" si="594"/>
        <v>0</v>
      </c>
      <c r="BB274" s="85">
        <f t="shared" si="594"/>
        <v>0</v>
      </c>
      <c r="BC274" s="85">
        <f>SUM(BC265:BC273)</f>
        <v>0</v>
      </c>
      <c r="BD274" s="85">
        <f>SUM(BD265:BD273)</f>
        <v>0</v>
      </c>
      <c r="BE274" s="85">
        <f t="shared" ref="BE274:BG274" si="596">SUM(BE265:BE273)</f>
        <v>0</v>
      </c>
      <c r="BF274" s="85">
        <f t="shared" si="596"/>
        <v>0</v>
      </c>
      <c r="BG274" s="85">
        <f t="shared" si="596"/>
        <v>0</v>
      </c>
      <c r="BH274" s="85">
        <f t="shared" ref="BH274:BL274" si="597">SUM(BH265:BH273)</f>
        <v>0</v>
      </c>
      <c r="BI274" s="85">
        <f t="shared" si="597"/>
        <v>0</v>
      </c>
      <c r="BJ274" s="85">
        <f t="shared" si="597"/>
        <v>0</v>
      </c>
      <c r="BK274" s="85">
        <f t="shared" si="597"/>
        <v>0</v>
      </c>
      <c r="BL274" s="85">
        <f t="shared" si="597"/>
        <v>0</v>
      </c>
    </row>
    <row r="275" spans="1:64" s="21" customFormat="1" ht="14.1" customHeight="1">
      <c r="A275" s="379">
        <f t="shared" si="589"/>
        <v>269</v>
      </c>
      <c r="B275" s="129"/>
      <c r="C275" s="12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</row>
    <row r="276" spans="1:64" s="21" customFormat="1" ht="14.1" customHeight="1">
      <c r="A276" s="379">
        <f t="shared" si="589"/>
        <v>270</v>
      </c>
      <c r="B276" s="13" t="s">
        <v>185</v>
      </c>
      <c r="C276" s="13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</row>
    <row r="277" spans="1:64" s="21" customFormat="1" ht="14.1" customHeight="1">
      <c r="A277" s="379">
        <f t="shared" si="589"/>
        <v>271</v>
      </c>
      <c r="B277" s="22" t="s">
        <v>186</v>
      </c>
      <c r="C277" s="38">
        <f t="shared" ref="C277:C285" si="598">SUM(D277:BI277)</f>
        <v>0</v>
      </c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  <c r="AM277" s="10">
        <v>0</v>
      </c>
      <c r="AN277" s="10">
        <v>0</v>
      </c>
      <c r="AO277" s="10">
        <v>0</v>
      </c>
      <c r="AP277" s="10">
        <v>0</v>
      </c>
      <c r="AQ277" s="10">
        <v>0</v>
      </c>
      <c r="AR277" s="10">
        <v>0</v>
      </c>
      <c r="AS277" s="10">
        <v>0</v>
      </c>
      <c r="AT277" s="10">
        <v>0</v>
      </c>
      <c r="AU277" s="10">
        <v>0</v>
      </c>
      <c r="AV277" s="10">
        <v>0</v>
      </c>
      <c r="AW277" s="10">
        <v>0</v>
      </c>
      <c r="AX277" s="10">
        <v>0</v>
      </c>
      <c r="AY277" s="10">
        <v>0</v>
      </c>
      <c r="AZ277" s="10">
        <v>0</v>
      </c>
      <c r="BA277" s="10">
        <v>0</v>
      </c>
      <c r="BB277" s="10">
        <v>0</v>
      </c>
      <c r="BC277" s="10">
        <v>0</v>
      </c>
      <c r="BD277" s="10">
        <v>0</v>
      </c>
      <c r="BE277" s="10">
        <v>0</v>
      </c>
      <c r="BF277" s="10">
        <v>0</v>
      </c>
      <c r="BG277" s="10">
        <v>0</v>
      </c>
      <c r="BH277" s="10">
        <v>0</v>
      </c>
      <c r="BI277" s="10">
        <v>0</v>
      </c>
      <c r="BJ277" s="10">
        <v>0</v>
      </c>
      <c r="BK277" s="10">
        <v>0</v>
      </c>
      <c r="BL277" s="10">
        <v>0</v>
      </c>
    </row>
    <row r="278" spans="1:64" ht="14.1" customHeight="1">
      <c r="A278" s="379">
        <f t="shared" si="589"/>
        <v>272</v>
      </c>
      <c r="B278" s="22" t="s">
        <v>822</v>
      </c>
      <c r="C278" s="38">
        <f t="shared" si="598"/>
        <v>196263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196263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  <c r="AM278" s="10">
        <v>0</v>
      </c>
      <c r="AN278" s="10">
        <v>0</v>
      </c>
      <c r="AO278" s="10">
        <v>0</v>
      </c>
      <c r="AP278" s="10">
        <v>0</v>
      </c>
      <c r="AQ278" s="10">
        <v>0</v>
      </c>
      <c r="AR278" s="10">
        <v>0</v>
      </c>
      <c r="AS278" s="10">
        <v>0</v>
      </c>
      <c r="AT278" s="10">
        <v>0</v>
      </c>
      <c r="AU278" s="10">
        <v>0</v>
      </c>
      <c r="AV278" s="10">
        <v>0</v>
      </c>
      <c r="AW278" s="10">
        <v>0</v>
      </c>
      <c r="AX278" s="10">
        <v>0</v>
      </c>
      <c r="AY278" s="10">
        <v>0</v>
      </c>
      <c r="AZ278" s="10">
        <v>0</v>
      </c>
      <c r="BA278" s="10">
        <v>0</v>
      </c>
      <c r="BB278" s="10">
        <v>0</v>
      </c>
      <c r="BC278" s="10">
        <v>0</v>
      </c>
      <c r="BD278" s="10">
        <v>0</v>
      </c>
      <c r="BE278" s="10">
        <v>0</v>
      </c>
      <c r="BF278" s="10">
        <v>0</v>
      </c>
      <c r="BG278" s="10">
        <v>0</v>
      </c>
      <c r="BH278" s="10">
        <v>0</v>
      </c>
      <c r="BI278" s="10">
        <v>0</v>
      </c>
      <c r="BJ278" s="10">
        <v>0</v>
      </c>
      <c r="BK278" s="10">
        <v>0</v>
      </c>
      <c r="BL278" s="10">
        <v>0</v>
      </c>
    </row>
    <row r="279" spans="1:64" ht="14.1" customHeight="1">
      <c r="A279" s="379">
        <f t="shared" si="589"/>
        <v>273</v>
      </c>
      <c r="B279" s="22" t="s">
        <v>819</v>
      </c>
      <c r="C279" s="38">
        <f t="shared" si="598"/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  <c r="AM279" s="10">
        <v>0</v>
      </c>
      <c r="AN279" s="10">
        <v>0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0</v>
      </c>
      <c r="AU279" s="10">
        <v>0</v>
      </c>
      <c r="AV279" s="10">
        <v>0</v>
      </c>
      <c r="AW279" s="10">
        <v>0</v>
      </c>
      <c r="AX279" s="10">
        <v>0</v>
      </c>
      <c r="AY279" s="10">
        <v>0</v>
      </c>
      <c r="AZ279" s="10">
        <v>0</v>
      </c>
      <c r="BA279" s="10">
        <v>0</v>
      </c>
      <c r="BB279" s="10">
        <v>0</v>
      </c>
      <c r="BC279" s="10">
        <v>0</v>
      </c>
      <c r="BD279" s="10">
        <v>0</v>
      </c>
      <c r="BE279" s="10">
        <v>0</v>
      </c>
      <c r="BF279" s="10">
        <v>0</v>
      </c>
      <c r="BG279" s="10">
        <v>0</v>
      </c>
      <c r="BH279" s="10">
        <v>0</v>
      </c>
      <c r="BI279" s="10">
        <v>0</v>
      </c>
      <c r="BJ279" s="10">
        <v>0</v>
      </c>
      <c r="BK279" s="10">
        <v>0</v>
      </c>
      <c r="BL279" s="10">
        <v>0</v>
      </c>
    </row>
    <row r="280" spans="1:64" ht="14.1" customHeight="1">
      <c r="A280" s="379">
        <f t="shared" si="589"/>
        <v>274</v>
      </c>
      <c r="B280" s="22" t="s">
        <v>815</v>
      </c>
      <c r="C280" s="38">
        <f t="shared" si="598"/>
        <v>-2049774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f>-2001112-48662</f>
        <v>-2049774</v>
      </c>
      <c r="AA280" s="10">
        <v>0</v>
      </c>
      <c r="AB280" s="10">
        <v>0</v>
      </c>
      <c r="AC280" s="10">
        <v>0</v>
      </c>
      <c r="AD280" s="10">
        <v>0</v>
      </c>
      <c r="AE280" s="10">
        <v>0</v>
      </c>
      <c r="AF280" s="10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0</v>
      </c>
      <c r="AQ280" s="10">
        <v>0</v>
      </c>
      <c r="AR280" s="10">
        <v>0</v>
      </c>
      <c r="AS280" s="10">
        <v>0</v>
      </c>
      <c r="AT280" s="10">
        <v>0</v>
      </c>
      <c r="AU280" s="10">
        <v>0</v>
      </c>
      <c r="AV280" s="10">
        <v>0</v>
      </c>
      <c r="AW280" s="10">
        <v>0</v>
      </c>
      <c r="AX280" s="10">
        <v>0</v>
      </c>
      <c r="AY280" s="10">
        <v>0</v>
      </c>
      <c r="AZ280" s="10">
        <v>0</v>
      </c>
      <c r="BA280" s="10">
        <v>0</v>
      </c>
      <c r="BB280" s="10">
        <v>0</v>
      </c>
      <c r="BC280" s="10">
        <v>0</v>
      </c>
      <c r="BD280" s="10">
        <v>0</v>
      </c>
      <c r="BE280" s="10">
        <v>0</v>
      </c>
      <c r="BF280" s="10">
        <v>0</v>
      </c>
      <c r="BG280" s="10">
        <v>0</v>
      </c>
      <c r="BH280" s="10">
        <v>0</v>
      </c>
      <c r="BI280" s="10">
        <v>0</v>
      </c>
      <c r="BJ280" s="10">
        <v>0</v>
      </c>
      <c r="BK280" s="10">
        <v>0</v>
      </c>
      <c r="BL280" s="10">
        <v>0</v>
      </c>
    </row>
    <row r="281" spans="1:64" ht="14.1" customHeight="1">
      <c r="A281" s="379">
        <f t="shared" si="589"/>
        <v>275</v>
      </c>
      <c r="B281" s="22" t="s">
        <v>816</v>
      </c>
      <c r="C281" s="38">
        <f t="shared" si="598"/>
        <v>-8413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-8413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  <c r="AM281" s="10">
        <v>0</v>
      </c>
      <c r="AN281" s="10">
        <v>0</v>
      </c>
      <c r="AO281" s="10">
        <v>0</v>
      </c>
      <c r="AP281" s="10">
        <v>0</v>
      </c>
      <c r="AQ281" s="10">
        <v>0</v>
      </c>
      <c r="AR281" s="10">
        <v>0</v>
      </c>
      <c r="AS281" s="10">
        <v>0</v>
      </c>
      <c r="AT281" s="10">
        <v>0</v>
      </c>
      <c r="AU281" s="10">
        <v>0</v>
      </c>
      <c r="AV281" s="10">
        <v>0</v>
      </c>
      <c r="AW281" s="10">
        <v>0</v>
      </c>
      <c r="AX281" s="10">
        <v>0</v>
      </c>
      <c r="AY281" s="10">
        <v>0</v>
      </c>
      <c r="AZ281" s="10">
        <v>0</v>
      </c>
      <c r="BA281" s="10">
        <v>0</v>
      </c>
      <c r="BB281" s="10">
        <v>0</v>
      </c>
      <c r="BC281" s="10">
        <v>0</v>
      </c>
      <c r="BD281" s="10">
        <v>0</v>
      </c>
      <c r="BE281" s="10">
        <v>0</v>
      </c>
      <c r="BF281" s="10">
        <v>0</v>
      </c>
      <c r="BG281" s="10">
        <v>0</v>
      </c>
      <c r="BH281" s="10">
        <v>0</v>
      </c>
      <c r="BI281" s="10">
        <v>0</v>
      </c>
      <c r="BJ281" s="10">
        <v>0</v>
      </c>
      <c r="BK281" s="10">
        <v>0</v>
      </c>
      <c r="BL281" s="10">
        <v>0</v>
      </c>
    </row>
    <row r="282" spans="1:64" ht="14.1" customHeight="1">
      <c r="A282" s="379">
        <f t="shared" si="589"/>
        <v>276</v>
      </c>
      <c r="B282" s="22" t="s">
        <v>820</v>
      </c>
      <c r="C282" s="38">
        <f t="shared" si="598"/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0">
        <v>0</v>
      </c>
      <c r="AF282" s="10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0</v>
      </c>
      <c r="AN282" s="10">
        <v>0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0</v>
      </c>
      <c r="AV282" s="10">
        <v>0</v>
      </c>
      <c r="AW282" s="10">
        <v>0</v>
      </c>
      <c r="AX282" s="10">
        <v>0</v>
      </c>
      <c r="AY282" s="10">
        <v>0</v>
      </c>
      <c r="AZ282" s="10">
        <v>0</v>
      </c>
      <c r="BA282" s="10">
        <v>0</v>
      </c>
      <c r="BB282" s="10">
        <v>0</v>
      </c>
      <c r="BC282" s="10">
        <v>0</v>
      </c>
      <c r="BD282" s="10">
        <v>0</v>
      </c>
      <c r="BE282" s="10">
        <v>0</v>
      </c>
      <c r="BF282" s="10">
        <v>0</v>
      </c>
      <c r="BG282" s="10">
        <v>0</v>
      </c>
      <c r="BH282" s="10">
        <v>0</v>
      </c>
      <c r="BI282" s="10">
        <v>0</v>
      </c>
      <c r="BJ282" s="10">
        <v>0</v>
      </c>
      <c r="BK282" s="10">
        <v>0</v>
      </c>
      <c r="BL282" s="10">
        <v>0</v>
      </c>
    </row>
    <row r="283" spans="1:64" ht="14.1" customHeight="1">
      <c r="A283" s="379">
        <f t="shared" si="589"/>
        <v>277</v>
      </c>
      <c r="B283" s="22" t="s">
        <v>817</v>
      </c>
      <c r="C283" s="38">
        <f t="shared" si="598"/>
        <v>0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0">
        <v>0</v>
      </c>
      <c r="AF283" s="10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0</v>
      </c>
      <c r="AQ283" s="10">
        <v>0</v>
      </c>
      <c r="AR283" s="10">
        <v>0</v>
      </c>
      <c r="AS283" s="10">
        <v>0</v>
      </c>
      <c r="AT283" s="10">
        <v>0</v>
      </c>
      <c r="AU283" s="10">
        <v>0</v>
      </c>
      <c r="AV283" s="10">
        <v>0</v>
      </c>
      <c r="AW283" s="10">
        <v>0</v>
      </c>
      <c r="AX283" s="10">
        <v>0</v>
      </c>
      <c r="AY283" s="10">
        <v>0</v>
      </c>
      <c r="AZ283" s="10">
        <v>0</v>
      </c>
      <c r="BA283" s="10">
        <v>0</v>
      </c>
      <c r="BB283" s="10">
        <v>0</v>
      </c>
      <c r="BC283" s="10">
        <v>0</v>
      </c>
      <c r="BD283" s="10">
        <v>0</v>
      </c>
      <c r="BE283" s="10">
        <v>0</v>
      </c>
      <c r="BF283" s="10">
        <v>0</v>
      </c>
      <c r="BG283" s="10">
        <v>0</v>
      </c>
      <c r="BH283" s="10">
        <v>0</v>
      </c>
      <c r="BI283" s="10">
        <v>0</v>
      </c>
      <c r="BJ283" s="10">
        <v>0</v>
      </c>
      <c r="BK283" s="10">
        <v>0</v>
      </c>
      <c r="BL283" s="10">
        <v>0</v>
      </c>
    </row>
    <row r="284" spans="1:64" ht="14.1" customHeight="1">
      <c r="A284" s="379">
        <f t="shared" si="589"/>
        <v>278</v>
      </c>
      <c r="B284" s="22" t="s">
        <v>818</v>
      </c>
      <c r="C284" s="38">
        <f t="shared" si="598"/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0">
        <v>0</v>
      </c>
      <c r="AF284" s="10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  <c r="AM284" s="10">
        <v>0</v>
      </c>
      <c r="AN284" s="10">
        <v>0</v>
      </c>
      <c r="AO284" s="10">
        <v>0</v>
      </c>
      <c r="AP284" s="10">
        <v>0</v>
      </c>
      <c r="AQ284" s="10">
        <v>0</v>
      </c>
      <c r="AR284" s="10">
        <v>0</v>
      </c>
      <c r="AS284" s="10">
        <v>0</v>
      </c>
      <c r="AT284" s="10">
        <v>0</v>
      </c>
      <c r="AU284" s="10">
        <v>0</v>
      </c>
      <c r="AV284" s="10">
        <v>0</v>
      </c>
      <c r="AW284" s="10">
        <v>0</v>
      </c>
      <c r="AX284" s="10">
        <v>0</v>
      </c>
      <c r="AY284" s="10">
        <v>0</v>
      </c>
      <c r="AZ284" s="10">
        <v>0</v>
      </c>
      <c r="BA284" s="10">
        <v>0</v>
      </c>
      <c r="BB284" s="10">
        <v>0</v>
      </c>
      <c r="BC284" s="10">
        <v>0</v>
      </c>
      <c r="BD284" s="10">
        <v>0</v>
      </c>
      <c r="BE284" s="10">
        <v>0</v>
      </c>
      <c r="BF284" s="10">
        <v>0</v>
      </c>
      <c r="BG284" s="10">
        <v>0</v>
      </c>
      <c r="BH284" s="10">
        <v>0</v>
      </c>
      <c r="BI284" s="10">
        <v>0</v>
      </c>
      <c r="BJ284" s="10">
        <v>0</v>
      </c>
      <c r="BK284" s="10">
        <v>0</v>
      </c>
      <c r="BL284" s="10">
        <v>0</v>
      </c>
    </row>
    <row r="285" spans="1:64" ht="14.1" customHeight="1">
      <c r="A285" s="379">
        <f t="shared" si="589"/>
        <v>279</v>
      </c>
      <c r="B285" s="56" t="s">
        <v>821</v>
      </c>
      <c r="C285" s="38">
        <f t="shared" si="598"/>
        <v>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  <c r="AM285" s="10">
        <v>0</v>
      </c>
      <c r="AN285" s="10">
        <v>0</v>
      </c>
      <c r="AO285" s="10">
        <v>0</v>
      </c>
      <c r="AP285" s="10">
        <v>0</v>
      </c>
      <c r="AQ285" s="10">
        <v>0</v>
      </c>
      <c r="AR285" s="10">
        <v>0</v>
      </c>
      <c r="AS285" s="10">
        <v>0</v>
      </c>
      <c r="AT285" s="10">
        <v>0</v>
      </c>
      <c r="AU285" s="10">
        <v>0</v>
      </c>
      <c r="AV285" s="10">
        <v>0</v>
      </c>
      <c r="AW285" s="10">
        <v>0</v>
      </c>
      <c r="AX285" s="10">
        <v>0</v>
      </c>
      <c r="AY285" s="10">
        <v>0</v>
      </c>
      <c r="AZ285" s="10">
        <v>0</v>
      </c>
      <c r="BA285" s="10">
        <v>0</v>
      </c>
      <c r="BB285" s="10">
        <v>0</v>
      </c>
      <c r="BC285" s="10">
        <v>0</v>
      </c>
      <c r="BD285" s="10">
        <v>0</v>
      </c>
      <c r="BE285" s="10">
        <v>0</v>
      </c>
      <c r="BF285" s="10">
        <v>0</v>
      </c>
      <c r="BG285" s="10">
        <v>0</v>
      </c>
      <c r="BH285" s="10">
        <v>0</v>
      </c>
      <c r="BI285" s="10">
        <v>0</v>
      </c>
      <c r="BJ285" s="10">
        <v>0</v>
      </c>
      <c r="BK285" s="10">
        <v>0</v>
      </c>
      <c r="BL285" s="10">
        <v>0</v>
      </c>
    </row>
    <row r="286" spans="1:64" ht="14.1" customHeight="1">
      <c r="A286" s="379">
        <f t="shared" si="589"/>
        <v>280</v>
      </c>
      <c r="B286" s="20" t="s">
        <v>496</v>
      </c>
      <c r="C286" s="85">
        <f t="shared" ref="C286:K286" si="599">SUM(C277:C285)</f>
        <v>-1861924</v>
      </c>
      <c r="D286" s="85">
        <f t="shared" si="599"/>
        <v>0</v>
      </c>
      <c r="E286" s="85">
        <f t="shared" si="599"/>
        <v>0</v>
      </c>
      <c r="F286" s="85">
        <f t="shared" si="599"/>
        <v>0</v>
      </c>
      <c r="G286" s="85">
        <f t="shared" si="599"/>
        <v>0</v>
      </c>
      <c r="H286" s="85">
        <f t="shared" si="599"/>
        <v>0</v>
      </c>
      <c r="I286" s="85">
        <f t="shared" si="599"/>
        <v>0</v>
      </c>
      <c r="J286" s="85">
        <f t="shared" si="599"/>
        <v>0</v>
      </c>
      <c r="K286" s="85">
        <f t="shared" si="599"/>
        <v>0</v>
      </c>
      <c r="L286" s="85">
        <f t="shared" ref="L286:Y286" si="600">SUM(L277:L285)</f>
        <v>196263</v>
      </c>
      <c r="M286" s="85">
        <f t="shared" si="600"/>
        <v>0</v>
      </c>
      <c r="N286" s="85">
        <f t="shared" si="600"/>
        <v>0</v>
      </c>
      <c r="O286" s="85">
        <f t="shared" si="600"/>
        <v>0</v>
      </c>
      <c r="P286" s="85">
        <f t="shared" si="600"/>
        <v>0</v>
      </c>
      <c r="Q286" s="85">
        <f t="shared" si="600"/>
        <v>0</v>
      </c>
      <c r="R286" s="85">
        <f t="shared" si="600"/>
        <v>0</v>
      </c>
      <c r="S286" s="85">
        <f t="shared" si="600"/>
        <v>0</v>
      </c>
      <c r="T286" s="85">
        <f>SUM(T277:T285)</f>
        <v>0</v>
      </c>
      <c r="U286" s="85">
        <f t="shared" si="600"/>
        <v>0</v>
      </c>
      <c r="V286" s="85">
        <f t="shared" si="600"/>
        <v>0</v>
      </c>
      <c r="W286" s="85">
        <f t="shared" si="600"/>
        <v>0</v>
      </c>
      <c r="X286" s="85">
        <f t="shared" si="600"/>
        <v>0</v>
      </c>
      <c r="Y286" s="85">
        <f t="shared" si="600"/>
        <v>0</v>
      </c>
      <c r="Z286" s="85">
        <f t="shared" ref="Z286:AE286" si="601">SUM(Z277:Z285)</f>
        <v>-2058187</v>
      </c>
      <c r="AA286" s="85">
        <f t="shared" si="601"/>
        <v>0</v>
      </c>
      <c r="AB286" s="85">
        <f t="shared" si="601"/>
        <v>0</v>
      </c>
      <c r="AC286" s="85">
        <f t="shared" si="601"/>
        <v>0</v>
      </c>
      <c r="AD286" s="85">
        <f t="shared" si="601"/>
        <v>0</v>
      </c>
      <c r="AE286" s="85">
        <f t="shared" si="601"/>
        <v>0</v>
      </c>
      <c r="AF286" s="85">
        <f t="shared" ref="AF286:AL286" si="602">SUM(AF277:AF285)</f>
        <v>0</v>
      </c>
      <c r="AG286" s="85">
        <f t="shared" si="602"/>
        <v>0</v>
      </c>
      <c r="AH286" s="85">
        <f t="shared" si="602"/>
        <v>0</v>
      </c>
      <c r="AI286" s="85">
        <f t="shared" si="602"/>
        <v>0</v>
      </c>
      <c r="AJ286" s="85">
        <f t="shared" si="602"/>
        <v>0</v>
      </c>
      <c r="AK286" s="85">
        <f t="shared" si="602"/>
        <v>0</v>
      </c>
      <c r="AL286" s="85">
        <f t="shared" si="602"/>
        <v>0</v>
      </c>
      <c r="AM286" s="85">
        <f t="shared" ref="AM286:BB286" si="603">SUM(AM277:AM285)</f>
        <v>0</v>
      </c>
      <c r="AN286" s="85">
        <f t="shared" si="603"/>
        <v>0</v>
      </c>
      <c r="AO286" s="85">
        <f t="shared" si="603"/>
        <v>0</v>
      </c>
      <c r="AP286" s="85">
        <f t="shared" si="603"/>
        <v>0</v>
      </c>
      <c r="AQ286" s="85">
        <f>SUM(AQ277:AQ285)</f>
        <v>0</v>
      </c>
      <c r="AR286" s="85">
        <f>SUM(AR277:AR285)</f>
        <v>0</v>
      </c>
      <c r="AS286" s="85">
        <f t="shared" ref="AS286:AY286" si="604">SUM(AS277:AS285)</f>
        <v>0</v>
      </c>
      <c r="AT286" s="85">
        <f t="shared" si="604"/>
        <v>0</v>
      </c>
      <c r="AU286" s="85">
        <f>SUM(AU277:AU285)</f>
        <v>0</v>
      </c>
      <c r="AV286" s="85">
        <f t="shared" si="604"/>
        <v>0</v>
      </c>
      <c r="AW286" s="85">
        <f t="shared" si="604"/>
        <v>0</v>
      </c>
      <c r="AX286" s="85">
        <f t="shared" si="604"/>
        <v>0</v>
      </c>
      <c r="AY286" s="85">
        <f t="shared" si="604"/>
        <v>0</v>
      </c>
      <c r="AZ286" s="85">
        <f>SUM(AZ277:AZ285)</f>
        <v>0</v>
      </c>
      <c r="BA286" s="85">
        <f t="shared" si="603"/>
        <v>0</v>
      </c>
      <c r="BB286" s="85">
        <f t="shared" si="603"/>
        <v>0</v>
      </c>
      <c r="BC286" s="85">
        <f>SUM(BC277:BC285)</f>
        <v>0</v>
      </c>
      <c r="BD286" s="85">
        <f>SUM(BD277:BD285)</f>
        <v>0</v>
      </c>
      <c r="BE286" s="85">
        <f t="shared" ref="BE286:BG286" si="605">SUM(BE277:BE285)</f>
        <v>0</v>
      </c>
      <c r="BF286" s="85">
        <f t="shared" si="605"/>
        <v>0</v>
      </c>
      <c r="BG286" s="85">
        <f t="shared" si="605"/>
        <v>0</v>
      </c>
      <c r="BH286" s="85">
        <f t="shared" ref="BH286:BL286" si="606">SUM(BH277:BH285)</f>
        <v>0</v>
      </c>
      <c r="BI286" s="85">
        <f t="shared" si="606"/>
        <v>0</v>
      </c>
      <c r="BJ286" s="85">
        <f t="shared" si="606"/>
        <v>0</v>
      </c>
      <c r="BK286" s="85">
        <f t="shared" si="606"/>
        <v>0</v>
      </c>
      <c r="BL286" s="85">
        <f t="shared" si="606"/>
        <v>0</v>
      </c>
    </row>
    <row r="287" spans="1:64" ht="14.1" customHeight="1">
      <c r="A287" s="379">
        <f t="shared" si="589"/>
        <v>281</v>
      </c>
      <c r="B287" s="57"/>
      <c r="C287" s="151"/>
      <c r="D287" s="151"/>
      <c r="E287" s="151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  <c r="X287" s="151"/>
      <c r="Y287" s="151"/>
      <c r="Z287" s="151"/>
      <c r="AA287" s="151"/>
      <c r="AB287" s="151"/>
      <c r="AC287" s="151"/>
      <c r="AD287" s="151"/>
      <c r="AE287" s="151"/>
      <c r="AF287" s="151"/>
      <c r="AG287" s="151"/>
      <c r="AH287" s="151"/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  <c r="BI287" s="151"/>
      <c r="BJ287" s="151"/>
      <c r="BK287" s="151"/>
      <c r="BL287" s="151"/>
    </row>
    <row r="288" spans="1:64" ht="14.1" customHeight="1">
      <c r="A288" s="379">
        <f t="shared" si="589"/>
        <v>282</v>
      </c>
      <c r="B288" s="20" t="s">
        <v>497</v>
      </c>
      <c r="C288" s="16">
        <f t="shared" ref="C288:M288" si="607">SUM(C262:C263,C274,C286)</f>
        <v>-1577979</v>
      </c>
      <c r="D288" s="16">
        <f t="shared" si="607"/>
        <v>0</v>
      </c>
      <c r="E288" s="16">
        <f t="shared" si="607"/>
        <v>0</v>
      </c>
      <c r="F288" s="16">
        <f t="shared" si="607"/>
        <v>0</v>
      </c>
      <c r="G288" s="16">
        <f t="shared" si="607"/>
        <v>0</v>
      </c>
      <c r="H288" s="16">
        <f t="shared" si="607"/>
        <v>0</v>
      </c>
      <c r="I288" s="16">
        <f t="shared" si="607"/>
        <v>0</v>
      </c>
      <c r="J288" s="16">
        <f t="shared" si="607"/>
        <v>0</v>
      </c>
      <c r="K288" s="16">
        <f t="shared" si="607"/>
        <v>0</v>
      </c>
      <c r="L288" s="16">
        <f t="shared" si="607"/>
        <v>196263</v>
      </c>
      <c r="M288" s="16">
        <f t="shared" si="607"/>
        <v>0</v>
      </c>
      <c r="N288" s="16">
        <f t="shared" ref="N288:Y288" si="608">SUM(N262:N263,N274,N286)</f>
        <v>0</v>
      </c>
      <c r="O288" s="16">
        <f t="shared" si="608"/>
        <v>0</v>
      </c>
      <c r="P288" s="16">
        <f t="shared" si="608"/>
        <v>0</v>
      </c>
      <c r="Q288" s="16">
        <f t="shared" si="608"/>
        <v>0</v>
      </c>
      <c r="R288" s="16">
        <f t="shared" si="608"/>
        <v>0</v>
      </c>
      <c r="S288" s="16">
        <f t="shared" si="608"/>
        <v>0</v>
      </c>
      <c r="T288" s="16">
        <f>SUM(T262:T263,T274,T286)</f>
        <v>0</v>
      </c>
      <c r="U288" s="16">
        <f t="shared" si="608"/>
        <v>0</v>
      </c>
      <c r="V288" s="16">
        <f t="shared" si="608"/>
        <v>0</v>
      </c>
      <c r="W288" s="16">
        <f t="shared" si="608"/>
        <v>0</v>
      </c>
      <c r="X288" s="16">
        <f t="shared" si="608"/>
        <v>0</v>
      </c>
      <c r="Y288" s="16">
        <f t="shared" si="608"/>
        <v>0</v>
      </c>
      <c r="Z288" s="16">
        <f t="shared" ref="Z288:AE288" si="609">SUM(Z262:Z263,Z274,Z286)</f>
        <v>-2058187</v>
      </c>
      <c r="AA288" s="16">
        <f t="shared" si="609"/>
        <v>0</v>
      </c>
      <c r="AB288" s="16">
        <f t="shared" si="609"/>
        <v>0</v>
      </c>
      <c r="AC288" s="16">
        <f t="shared" si="609"/>
        <v>0</v>
      </c>
      <c r="AD288" s="16">
        <f t="shared" si="609"/>
        <v>0</v>
      </c>
      <c r="AE288" s="16">
        <f t="shared" si="609"/>
        <v>0</v>
      </c>
      <c r="AF288" s="16">
        <f t="shared" ref="AF288:AL288" si="610">SUM(AF262:AF263,AF274,AF286)</f>
        <v>0</v>
      </c>
      <c r="AG288" s="16">
        <f t="shared" si="610"/>
        <v>0</v>
      </c>
      <c r="AH288" s="16">
        <f t="shared" si="610"/>
        <v>0</v>
      </c>
      <c r="AI288" s="16">
        <f t="shared" si="610"/>
        <v>0</v>
      </c>
      <c r="AJ288" s="16">
        <f t="shared" si="610"/>
        <v>0</v>
      </c>
      <c r="AK288" s="16">
        <f t="shared" si="610"/>
        <v>0</v>
      </c>
      <c r="AL288" s="16">
        <f t="shared" si="610"/>
        <v>0</v>
      </c>
      <c r="AM288" s="16">
        <f t="shared" ref="AM288:BB288" si="611">SUM(AM262:AM263,AM274,AM286)</f>
        <v>0</v>
      </c>
      <c r="AN288" s="16">
        <f t="shared" si="611"/>
        <v>0</v>
      </c>
      <c r="AO288" s="16">
        <f t="shared" si="611"/>
        <v>0</v>
      </c>
      <c r="AP288" s="16">
        <f t="shared" si="611"/>
        <v>0</v>
      </c>
      <c r="AQ288" s="16">
        <f>SUM(AQ262:AQ263,AQ274,AQ286)</f>
        <v>0</v>
      </c>
      <c r="AR288" s="16">
        <f>SUM(AR262:AR263,AR274,AR286)</f>
        <v>0</v>
      </c>
      <c r="AS288" s="16">
        <f t="shared" ref="AS288:AY288" si="612">SUM(AS262:AS263,AS274,AS286)</f>
        <v>0</v>
      </c>
      <c r="AT288" s="16">
        <f t="shared" si="612"/>
        <v>0</v>
      </c>
      <c r="AU288" s="16">
        <f>SUM(AU262:AU263,AU274,AU286)</f>
        <v>283945</v>
      </c>
      <c r="AV288" s="16">
        <f t="shared" si="612"/>
        <v>0</v>
      </c>
      <c r="AW288" s="16">
        <f t="shared" si="612"/>
        <v>0</v>
      </c>
      <c r="AX288" s="16">
        <f t="shared" si="612"/>
        <v>0</v>
      </c>
      <c r="AY288" s="16">
        <f t="shared" si="612"/>
        <v>0</v>
      </c>
      <c r="AZ288" s="16">
        <f>SUM(AZ262:AZ263,AZ274,AZ286)</f>
        <v>0</v>
      </c>
      <c r="BA288" s="16">
        <f t="shared" si="611"/>
        <v>0</v>
      </c>
      <c r="BB288" s="16">
        <f t="shared" si="611"/>
        <v>0</v>
      </c>
      <c r="BC288" s="16">
        <f>SUM(BC262:BC263,BC274,BC286)</f>
        <v>0</v>
      </c>
      <c r="BD288" s="16">
        <f>SUM(BD262:BD263,BD274,BD286)</f>
        <v>0</v>
      </c>
      <c r="BE288" s="16">
        <f t="shared" ref="BE288:BG288" si="613">SUM(BE262:BE263,BE274,BE286)</f>
        <v>0</v>
      </c>
      <c r="BF288" s="16">
        <f t="shared" si="613"/>
        <v>0</v>
      </c>
      <c r="BG288" s="16">
        <f t="shared" si="613"/>
        <v>0</v>
      </c>
      <c r="BH288" s="16">
        <f t="shared" ref="BH288:BL288" si="614">SUM(BH262:BH263,BH274,BH286)</f>
        <v>0</v>
      </c>
      <c r="BI288" s="16">
        <f t="shared" si="614"/>
        <v>0</v>
      </c>
      <c r="BJ288" s="16">
        <f t="shared" si="614"/>
        <v>0</v>
      </c>
      <c r="BK288" s="16">
        <f t="shared" si="614"/>
        <v>0</v>
      </c>
      <c r="BL288" s="16">
        <f t="shared" si="614"/>
        <v>0</v>
      </c>
    </row>
    <row r="289" spans="1:64" ht="14.1" customHeight="1">
      <c r="A289" s="379">
        <f t="shared" si="589"/>
        <v>283</v>
      </c>
      <c r="B289" s="57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  <c r="Y289" s="151"/>
      <c r="Z289" s="151"/>
      <c r="AA289" s="151"/>
      <c r="AB289" s="151"/>
      <c r="AC289" s="151"/>
      <c r="AD289" s="151"/>
      <c r="AE289" s="151"/>
      <c r="AF289" s="151"/>
      <c r="AG289" s="151"/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  <c r="BI289" s="151"/>
      <c r="BJ289" s="151"/>
      <c r="BK289" s="151"/>
      <c r="BL289" s="151"/>
    </row>
    <row r="290" spans="1:64" ht="14.1" customHeight="1">
      <c r="A290" s="379">
        <f t="shared" si="589"/>
        <v>284</v>
      </c>
      <c r="B290" s="20" t="s">
        <v>498</v>
      </c>
      <c r="C290" s="16">
        <f t="shared" ref="C290:K290" si="615">+C251+C252+C253+C259+C288</f>
        <v>-57413104.472561792</v>
      </c>
      <c r="D290" s="16">
        <f t="shared" si="615"/>
        <v>-6200000</v>
      </c>
      <c r="E290" s="16">
        <f t="shared" si="615"/>
        <v>-21011102</v>
      </c>
      <c r="F290" s="16">
        <f t="shared" si="615"/>
        <v>0</v>
      </c>
      <c r="G290" s="16">
        <f t="shared" si="615"/>
        <v>0</v>
      </c>
      <c r="H290" s="16">
        <f t="shared" si="615"/>
        <v>-28786650.5725618</v>
      </c>
      <c r="I290" s="16">
        <f t="shared" si="615"/>
        <v>3204660</v>
      </c>
      <c r="J290" s="16">
        <f t="shared" si="615"/>
        <v>-309086</v>
      </c>
      <c r="K290" s="16">
        <f t="shared" si="615"/>
        <v>2098615</v>
      </c>
      <c r="L290" s="16">
        <f t="shared" ref="L290:Y290" si="616">+L251+L252+L253+L259+L288</f>
        <v>196263</v>
      </c>
      <c r="M290" s="16">
        <f t="shared" si="616"/>
        <v>-482478</v>
      </c>
      <c r="N290" s="16">
        <f t="shared" si="616"/>
        <v>-370224</v>
      </c>
      <c r="O290" s="16">
        <f t="shared" si="616"/>
        <v>-9504100</v>
      </c>
      <c r="P290" s="16">
        <f t="shared" si="616"/>
        <v>-14546115</v>
      </c>
      <c r="Q290" s="16">
        <f t="shared" si="616"/>
        <v>4254356</v>
      </c>
      <c r="R290" s="16">
        <f t="shared" si="616"/>
        <v>0</v>
      </c>
      <c r="S290" s="50">
        <f t="shared" si="616"/>
        <v>0</v>
      </c>
      <c r="T290" s="16">
        <f>+T251+T252+T253+T259+T288</f>
        <v>0</v>
      </c>
      <c r="U290" s="50">
        <f t="shared" si="616"/>
        <v>0</v>
      </c>
      <c r="V290" s="50">
        <f t="shared" si="616"/>
        <v>0</v>
      </c>
      <c r="W290" s="50">
        <f t="shared" si="616"/>
        <v>0</v>
      </c>
      <c r="X290" s="16">
        <f t="shared" si="616"/>
        <v>0</v>
      </c>
      <c r="Y290" s="16">
        <f t="shared" si="616"/>
        <v>0</v>
      </c>
      <c r="Z290" s="16">
        <f t="shared" ref="Z290:AE290" si="617">+Z251+Z252+Z253+Z259+Z288</f>
        <v>-2058187</v>
      </c>
      <c r="AA290" s="16">
        <f t="shared" si="617"/>
        <v>0</v>
      </c>
      <c r="AB290" s="16">
        <f t="shared" si="617"/>
        <v>0</v>
      </c>
      <c r="AC290" s="16">
        <f t="shared" si="617"/>
        <v>0</v>
      </c>
      <c r="AD290" s="16">
        <f t="shared" si="617"/>
        <v>0</v>
      </c>
      <c r="AE290" s="16">
        <f t="shared" si="617"/>
        <v>0</v>
      </c>
      <c r="AF290" s="16">
        <f t="shared" ref="AF290:AL290" si="618">+AF251+AF252+AF253+AF259+AF288</f>
        <v>0</v>
      </c>
      <c r="AG290" s="16">
        <f t="shared" si="618"/>
        <v>0</v>
      </c>
      <c r="AH290" s="16">
        <f t="shared" si="618"/>
        <v>0</v>
      </c>
      <c r="AI290" s="16">
        <f t="shared" si="618"/>
        <v>0</v>
      </c>
      <c r="AJ290" s="16">
        <f t="shared" si="618"/>
        <v>0</v>
      </c>
      <c r="AK290" s="16">
        <f t="shared" si="618"/>
        <v>0</v>
      </c>
      <c r="AL290" s="16">
        <f t="shared" si="618"/>
        <v>0</v>
      </c>
      <c r="AM290" s="16">
        <f t="shared" ref="AM290:BB290" si="619">+AM251+AM252+AM253+AM259+AM288</f>
        <v>0</v>
      </c>
      <c r="AN290" s="16">
        <f t="shared" si="619"/>
        <v>-214197.6</v>
      </c>
      <c r="AO290" s="16">
        <f t="shared" si="619"/>
        <v>630046</v>
      </c>
      <c r="AP290" s="16">
        <f t="shared" si="619"/>
        <v>0</v>
      </c>
      <c r="AQ290" s="16">
        <f>+AQ251+AQ252+AQ253+AQ259+AQ288</f>
        <v>0</v>
      </c>
      <c r="AR290" s="16">
        <f>+AR251+AR252+AR253+AR259+AR288</f>
        <v>0</v>
      </c>
      <c r="AS290" s="16">
        <f t="shared" ref="AS290:AY290" si="620">+AS251+AS252+AS253+AS259+AS288</f>
        <v>0</v>
      </c>
      <c r="AT290" s="16">
        <f t="shared" si="620"/>
        <v>0</v>
      </c>
      <c r="AU290" s="16">
        <f>+AU251+AU252+AU253+AU259+AU288</f>
        <v>283945</v>
      </c>
      <c r="AV290" s="16">
        <f t="shared" si="620"/>
        <v>0</v>
      </c>
      <c r="AW290" s="16">
        <f t="shared" si="620"/>
        <v>0</v>
      </c>
      <c r="AX290" s="16">
        <f t="shared" si="620"/>
        <v>0</v>
      </c>
      <c r="AY290" s="16">
        <f t="shared" si="620"/>
        <v>0</v>
      </c>
      <c r="AZ290" s="16">
        <f>+AZ251+AZ252+AZ253+AZ259+AZ288</f>
        <v>0</v>
      </c>
      <c r="BA290" s="16">
        <f t="shared" si="619"/>
        <v>0</v>
      </c>
      <c r="BB290" s="16">
        <f t="shared" si="619"/>
        <v>0</v>
      </c>
      <c r="BC290" s="16">
        <f>+BC251+BC252+BC253+BC259+BC288</f>
        <v>0</v>
      </c>
      <c r="BD290" s="16">
        <f>+BD251+BD252+BD253+BD259+BD288</f>
        <v>9739266.6999999993</v>
      </c>
      <c r="BE290" s="16">
        <f t="shared" ref="BE290:BG290" si="621">+BE251+BE252+BE253+BE259+BE288</f>
        <v>0</v>
      </c>
      <c r="BF290" s="16">
        <f t="shared" si="621"/>
        <v>0</v>
      </c>
      <c r="BG290" s="16">
        <f t="shared" si="621"/>
        <v>0</v>
      </c>
      <c r="BH290" s="16">
        <f t="shared" ref="BH290:BL290" si="622">+BH251+BH252+BH253+BH259+BH288</f>
        <v>5661884</v>
      </c>
      <c r="BI290" s="16">
        <f t="shared" si="622"/>
        <v>0</v>
      </c>
      <c r="BJ290" s="16">
        <f t="shared" si="622"/>
        <v>0</v>
      </c>
      <c r="BK290" s="16">
        <f t="shared" si="622"/>
        <v>0</v>
      </c>
      <c r="BL290" s="16">
        <f t="shared" si="622"/>
        <v>0</v>
      </c>
    </row>
    <row r="291" spans="1:64" ht="14.1" customHeight="1">
      <c r="A291" s="379">
        <f t="shared" si="589"/>
        <v>285</v>
      </c>
      <c r="B291" s="22"/>
      <c r="C291" s="22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</row>
    <row r="292" spans="1:64" ht="14.1" customHeight="1">
      <c r="A292" s="379">
        <f t="shared" si="589"/>
        <v>286</v>
      </c>
      <c r="B292" s="42" t="s">
        <v>187</v>
      </c>
      <c r="C292" s="42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</row>
    <row r="293" spans="1:64" ht="14.1" customHeight="1">
      <c r="A293" s="379">
        <f t="shared" si="589"/>
        <v>287</v>
      </c>
      <c r="B293" s="13" t="s">
        <v>188</v>
      </c>
      <c r="C293" s="13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</row>
    <row r="294" spans="1:64" ht="14.1" customHeight="1">
      <c r="A294" s="379">
        <f t="shared" si="589"/>
        <v>288</v>
      </c>
      <c r="B294" s="22" t="s">
        <v>189</v>
      </c>
      <c r="C294" s="38">
        <f t="shared" ref="C294:C306" si="623">SUM(D294:BI294)</f>
        <v>-22038.03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10525.97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f>-20263+1315-13616</f>
        <v>-32564</v>
      </c>
      <c r="AE294" s="10">
        <v>0</v>
      </c>
      <c r="AF294" s="10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0</v>
      </c>
      <c r="AV294" s="10">
        <v>0</v>
      </c>
      <c r="AW294" s="10">
        <v>0</v>
      </c>
      <c r="AX294" s="10">
        <v>0</v>
      </c>
      <c r="AY294" s="10">
        <v>0</v>
      </c>
      <c r="AZ294" s="10">
        <v>0</v>
      </c>
      <c r="BA294" s="10">
        <v>0</v>
      </c>
      <c r="BB294" s="10">
        <v>0</v>
      </c>
      <c r="BC294" s="10">
        <v>0</v>
      </c>
      <c r="BD294" s="10">
        <v>0</v>
      </c>
      <c r="BE294" s="10">
        <v>0</v>
      </c>
      <c r="BF294" s="10">
        <v>0</v>
      </c>
      <c r="BG294" s="10">
        <v>0</v>
      </c>
      <c r="BH294" s="10">
        <v>0</v>
      </c>
      <c r="BI294" s="10">
        <v>0</v>
      </c>
      <c r="BJ294" s="10">
        <v>0</v>
      </c>
      <c r="BK294" s="10">
        <v>0</v>
      </c>
      <c r="BL294" s="10">
        <v>0</v>
      </c>
    </row>
    <row r="295" spans="1:64" ht="14.1" customHeight="1">
      <c r="A295" s="379">
        <f t="shared" si="589"/>
        <v>289</v>
      </c>
      <c r="B295" s="22" t="s">
        <v>383</v>
      </c>
      <c r="C295" s="38">
        <f t="shared" si="623"/>
        <v>5260993.6399999997</v>
      </c>
      <c r="D295" s="10">
        <v>0</v>
      </c>
      <c r="E295" s="10">
        <v>-237400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-3567.36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f>-121992+12108-50039</f>
        <v>-159923</v>
      </c>
      <c r="AE295" s="10">
        <v>0</v>
      </c>
      <c r="AF295" s="10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  <c r="AM295" s="10">
        <v>0</v>
      </c>
      <c r="AN295" s="10">
        <v>0</v>
      </c>
      <c r="AO295" s="10">
        <v>0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0</v>
      </c>
      <c r="AW295" s="10">
        <v>0</v>
      </c>
      <c r="AX295" s="10">
        <v>0</v>
      </c>
      <c r="AY295" s="10">
        <v>0</v>
      </c>
      <c r="AZ295" s="10">
        <v>0</v>
      </c>
      <c r="BA295" s="10">
        <v>0</v>
      </c>
      <c r="BB295" s="10">
        <v>0</v>
      </c>
      <c r="BC295" s="10">
        <v>0</v>
      </c>
      <c r="BD295" s="10">
        <v>0</v>
      </c>
      <c r="BE295" s="10">
        <v>0</v>
      </c>
      <c r="BF295" s="10">
        <v>0</v>
      </c>
      <c r="BG295" s="10">
        <v>0</v>
      </c>
      <c r="BH295" s="10">
        <v>5661884</v>
      </c>
      <c r="BI295" s="10">
        <v>0</v>
      </c>
      <c r="BJ295" s="10">
        <v>0</v>
      </c>
      <c r="BK295" s="10">
        <v>0</v>
      </c>
      <c r="BL295" s="10">
        <v>0</v>
      </c>
    </row>
    <row r="296" spans="1:64" ht="14.1" customHeight="1">
      <c r="A296" s="379">
        <f t="shared" si="589"/>
        <v>290</v>
      </c>
      <c r="B296" s="22" t="s">
        <v>884</v>
      </c>
      <c r="C296" s="38">
        <f t="shared" si="623"/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0</v>
      </c>
      <c r="AW296" s="10">
        <v>0</v>
      </c>
      <c r="AX296" s="10">
        <v>0</v>
      </c>
      <c r="AY296" s="10">
        <v>0</v>
      </c>
      <c r="AZ296" s="10">
        <v>0</v>
      </c>
      <c r="BA296" s="10">
        <v>0</v>
      </c>
      <c r="BB296" s="10">
        <v>0</v>
      </c>
      <c r="BC296" s="10">
        <v>0</v>
      </c>
      <c r="BD296" s="10">
        <v>0</v>
      </c>
      <c r="BE296" s="10">
        <v>0</v>
      </c>
      <c r="BF296" s="10">
        <v>0</v>
      </c>
      <c r="BG296" s="10">
        <v>0</v>
      </c>
      <c r="BH296" s="10">
        <v>0</v>
      </c>
      <c r="BI296" s="10">
        <v>0</v>
      </c>
      <c r="BJ296" s="10">
        <v>0</v>
      </c>
      <c r="BK296" s="10">
        <v>0</v>
      </c>
      <c r="BL296" s="10">
        <v>0</v>
      </c>
    </row>
    <row r="297" spans="1:64" ht="14.1" customHeight="1">
      <c r="A297" s="379">
        <f t="shared" si="589"/>
        <v>291</v>
      </c>
      <c r="B297" s="22" t="s">
        <v>384</v>
      </c>
      <c r="C297" s="38">
        <f t="shared" si="623"/>
        <v>427325</v>
      </c>
      <c r="D297" s="10">
        <v>0</v>
      </c>
      <c r="E297" s="10">
        <v>0</v>
      </c>
      <c r="F297" s="10">
        <v>427325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0</v>
      </c>
      <c r="AW297" s="10">
        <v>0</v>
      </c>
      <c r="AX297" s="10">
        <v>0</v>
      </c>
      <c r="AY297" s="10">
        <v>0</v>
      </c>
      <c r="AZ297" s="10">
        <v>0</v>
      </c>
      <c r="BA297" s="10">
        <v>0</v>
      </c>
      <c r="BB297" s="10">
        <v>0</v>
      </c>
      <c r="BC297" s="10">
        <v>0</v>
      </c>
      <c r="BD297" s="10">
        <v>0</v>
      </c>
      <c r="BE297" s="10">
        <v>0</v>
      </c>
      <c r="BF297" s="10">
        <v>0</v>
      </c>
      <c r="BG297" s="10">
        <v>0</v>
      </c>
      <c r="BH297" s="10">
        <v>0</v>
      </c>
      <c r="BI297" s="10">
        <v>0</v>
      </c>
      <c r="BJ297" s="10">
        <v>0</v>
      </c>
      <c r="BK297" s="10">
        <v>0</v>
      </c>
      <c r="BL297" s="10">
        <v>0</v>
      </c>
    </row>
    <row r="298" spans="1:64" s="21" customFormat="1" ht="14.1" customHeight="1">
      <c r="A298" s="379">
        <f t="shared" si="589"/>
        <v>292</v>
      </c>
      <c r="B298" s="22" t="s">
        <v>320</v>
      </c>
      <c r="C298" s="38">
        <f t="shared" si="623"/>
        <v>2822903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f>-381757+3204660</f>
        <v>2822903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0</v>
      </c>
      <c r="AW298" s="10">
        <v>0</v>
      </c>
      <c r="AX298" s="10">
        <v>0</v>
      </c>
      <c r="AY298" s="10">
        <v>0</v>
      </c>
      <c r="AZ298" s="10">
        <v>0</v>
      </c>
      <c r="BA298" s="10">
        <v>0</v>
      </c>
      <c r="BB298" s="10">
        <v>0</v>
      </c>
      <c r="BC298" s="10">
        <v>0</v>
      </c>
      <c r="BD298" s="10">
        <v>0</v>
      </c>
      <c r="BE298" s="10">
        <v>0</v>
      </c>
      <c r="BF298" s="10">
        <v>0</v>
      </c>
      <c r="BG298" s="10">
        <v>0</v>
      </c>
      <c r="BH298" s="10">
        <v>0</v>
      </c>
      <c r="BI298" s="10">
        <v>0</v>
      </c>
      <c r="BJ298" s="10">
        <v>0</v>
      </c>
      <c r="BK298" s="10">
        <v>0</v>
      </c>
      <c r="BL298" s="10">
        <v>0</v>
      </c>
    </row>
    <row r="299" spans="1:64" ht="14.1" customHeight="1">
      <c r="A299" s="379">
        <f t="shared" si="589"/>
        <v>293</v>
      </c>
      <c r="B299" s="22" t="s">
        <v>700</v>
      </c>
      <c r="C299" s="38">
        <f t="shared" si="623"/>
        <v>-3392229.92</v>
      </c>
      <c r="D299" s="10">
        <v>0</v>
      </c>
      <c r="E299" s="10">
        <v>0</v>
      </c>
      <c r="F299" s="10">
        <v>-3331798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-1422.92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f>-42434+3363-19938</f>
        <v>-59009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0</v>
      </c>
      <c r="AW299" s="10">
        <v>0</v>
      </c>
      <c r="AX299" s="10">
        <v>0</v>
      </c>
      <c r="AY299" s="10">
        <v>0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0</v>
      </c>
      <c r="BG299" s="10">
        <v>0</v>
      </c>
      <c r="BH299" s="10">
        <v>0</v>
      </c>
      <c r="BI299" s="10">
        <v>0</v>
      </c>
      <c r="BJ299" s="10">
        <v>0</v>
      </c>
      <c r="BK299" s="10">
        <v>0</v>
      </c>
      <c r="BL299" s="10">
        <v>0</v>
      </c>
    </row>
    <row r="300" spans="1:64" ht="14.1" customHeight="1">
      <c r="A300" s="379">
        <f t="shared" si="589"/>
        <v>294</v>
      </c>
      <c r="B300" s="22" t="s">
        <v>190</v>
      </c>
      <c r="C300" s="38">
        <f t="shared" si="623"/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0">
        <v>0</v>
      </c>
      <c r="AF300" s="10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0</v>
      </c>
      <c r="AR300" s="10">
        <v>0</v>
      </c>
      <c r="AS300" s="10">
        <v>0</v>
      </c>
      <c r="AT300" s="10">
        <v>0</v>
      </c>
      <c r="AU300" s="10">
        <v>0</v>
      </c>
      <c r="AV300" s="10">
        <v>0</v>
      </c>
      <c r="AW300" s="10">
        <v>0</v>
      </c>
      <c r="AX300" s="10">
        <v>0</v>
      </c>
      <c r="AY300" s="10">
        <v>0</v>
      </c>
      <c r="AZ300" s="10">
        <v>0</v>
      </c>
      <c r="BA300" s="10">
        <v>0</v>
      </c>
      <c r="BB300" s="10">
        <v>0</v>
      </c>
      <c r="BC300" s="10">
        <v>0</v>
      </c>
      <c r="BD300" s="10">
        <v>0</v>
      </c>
      <c r="BE300" s="10">
        <v>0</v>
      </c>
      <c r="BF300" s="10">
        <v>0</v>
      </c>
      <c r="BG300" s="10">
        <v>0</v>
      </c>
      <c r="BH300" s="10">
        <v>0</v>
      </c>
      <c r="BI300" s="10">
        <v>0</v>
      </c>
      <c r="BJ300" s="10">
        <v>0</v>
      </c>
      <c r="BK300" s="10">
        <v>0</v>
      </c>
      <c r="BL300" s="10">
        <v>0</v>
      </c>
    </row>
    <row r="301" spans="1:64" ht="14.1" customHeight="1">
      <c r="A301" s="379">
        <f t="shared" si="589"/>
        <v>295</v>
      </c>
      <c r="B301" s="22" t="s">
        <v>191</v>
      </c>
      <c r="C301" s="38">
        <f t="shared" si="623"/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  <c r="AM301" s="10">
        <v>0</v>
      </c>
      <c r="AN301" s="10">
        <v>0</v>
      </c>
      <c r="AO301" s="10">
        <v>0</v>
      </c>
      <c r="AP301" s="10">
        <v>0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0">
        <v>0</v>
      </c>
      <c r="AZ301" s="10">
        <v>0</v>
      </c>
      <c r="BA301" s="10">
        <v>0</v>
      </c>
      <c r="BB301" s="10">
        <v>0</v>
      </c>
      <c r="BC301" s="10">
        <v>0</v>
      </c>
      <c r="BD301" s="10">
        <v>0</v>
      </c>
      <c r="BE301" s="10">
        <v>0</v>
      </c>
      <c r="BF301" s="10">
        <v>0</v>
      </c>
      <c r="BG301" s="10">
        <v>0</v>
      </c>
      <c r="BH301" s="10">
        <v>0</v>
      </c>
      <c r="BI301" s="10">
        <v>0</v>
      </c>
      <c r="BJ301" s="10">
        <v>0</v>
      </c>
      <c r="BK301" s="10">
        <v>0</v>
      </c>
      <c r="BL301" s="10">
        <v>0</v>
      </c>
    </row>
    <row r="302" spans="1:64" ht="14.1" customHeight="1">
      <c r="A302" s="379">
        <f t="shared" si="589"/>
        <v>296</v>
      </c>
      <c r="B302" s="22" t="s">
        <v>192</v>
      </c>
      <c r="C302" s="38">
        <f t="shared" si="623"/>
        <v>-7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f>-4-3</f>
        <v>-7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0</v>
      </c>
      <c r="AP302" s="10">
        <v>0</v>
      </c>
      <c r="AQ302" s="10">
        <v>0</v>
      </c>
      <c r="AR302" s="10">
        <v>0</v>
      </c>
      <c r="AS302" s="10">
        <v>0</v>
      </c>
      <c r="AT302" s="10">
        <v>0</v>
      </c>
      <c r="AU302" s="10">
        <v>0</v>
      </c>
      <c r="AV302" s="10">
        <v>0</v>
      </c>
      <c r="AW302" s="10">
        <v>0</v>
      </c>
      <c r="AX302" s="10">
        <v>0</v>
      </c>
      <c r="AY302" s="10">
        <v>0</v>
      </c>
      <c r="AZ302" s="10">
        <v>0</v>
      </c>
      <c r="BA302" s="10">
        <v>0</v>
      </c>
      <c r="BB302" s="10">
        <v>0</v>
      </c>
      <c r="BC302" s="10">
        <v>0</v>
      </c>
      <c r="BD302" s="10">
        <v>0</v>
      </c>
      <c r="BE302" s="10">
        <v>0</v>
      </c>
      <c r="BF302" s="10">
        <v>0</v>
      </c>
      <c r="BG302" s="10">
        <v>0</v>
      </c>
      <c r="BH302" s="10">
        <v>0</v>
      </c>
      <c r="BI302" s="10">
        <v>0</v>
      </c>
      <c r="BJ302" s="10">
        <v>0</v>
      </c>
      <c r="BK302" s="10">
        <v>0</v>
      </c>
      <c r="BL302" s="10">
        <v>0</v>
      </c>
    </row>
    <row r="303" spans="1:64" s="21" customFormat="1" ht="14.1" customHeight="1">
      <c r="A303" s="379">
        <f t="shared" si="589"/>
        <v>297</v>
      </c>
      <c r="B303" s="22" t="s">
        <v>193</v>
      </c>
      <c r="C303" s="38">
        <f t="shared" si="623"/>
        <v>-1497622.17</v>
      </c>
      <c r="D303" s="10">
        <v>0</v>
      </c>
      <c r="E303" s="10">
        <v>-747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361146</v>
      </c>
      <c r="U303" s="10">
        <v>0</v>
      </c>
      <c r="V303" s="10">
        <v>0</v>
      </c>
      <c r="W303" s="10">
        <v>-32482.17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-1541217</v>
      </c>
      <c r="AD303" s="10">
        <f>-144257+11993-87329</f>
        <v>-219593</v>
      </c>
      <c r="AE303" s="10">
        <v>0</v>
      </c>
      <c r="AF303" s="10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0</v>
      </c>
      <c r="AN303" s="10">
        <v>0</v>
      </c>
      <c r="AO303" s="10">
        <v>0</v>
      </c>
      <c r="AP303" s="10">
        <v>0</v>
      </c>
      <c r="AQ303" s="10">
        <v>0</v>
      </c>
      <c r="AR303" s="10">
        <v>0</v>
      </c>
      <c r="AS303" s="10">
        <v>0</v>
      </c>
      <c r="AT303" s="10">
        <v>0</v>
      </c>
      <c r="AU303" s="10">
        <v>0</v>
      </c>
      <c r="AV303" s="10">
        <v>-64729</v>
      </c>
      <c r="AW303" s="10">
        <v>0</v>
      </c>
      <c r="AX303" s="10">
        <v>0</v>
      </c>
      <c r="AY303" s="10">
        <v>0</v>
      </c>
      <c r="AZ303" s="10">
        <v>0</v>
      </c>
      <c r="BA303" s="10">
        <v>0</v>
      </c>
      <c r="BB303" s="10">
        <v>0</v>
      </c>
      <c r="BC303" s="10">
        <v>0</v>
      </c>
      <c r="BD303" s="10">
        <v>0</v>
      </c>
      <c r="BE303" s="10">
        <v>0</v>
      </c>
      <c r="BF303" s="10">
        <v>0</v>
      </c>
      <c r="BG303" s="10">
        <v>0</v>
      </c>
      <c r="BH303" s="10">
        <v>0</v>
      </c>
      <c r="BI303" s="10">
        <v>0</v>
      </c>
      <c r="BJ303" s="10">
        <v>0</v>
      </c>
      <c r="BK303" s="10">
        <v>0</v>
      </c>
      <c r="BL303" s="10">
        <v>0</v>
      </c>
    </row>
    <row r="304" spans="1:64" s="21" customFormat="1" ht="14.1" customHeight="1">
      <c r="A304" s="379">
        <f t="shared" si="589"/>
        <v>298</v>
      </c>
      <c r="B304" s="22" t="s">
        <v>194</v>
      </c>
      <c r="C304" s="38">
        <f t="shared" si="623"/>
        <v>0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0">
        <v>0</v>
      </c>
      <c r="AF304" s="10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  <c r="AM304" s="10">
        <v>0</v>
      </c>
      <c r="AN304" s="10">
        <v>0</v>
      </c>
      <c r="AO304" s="10">
        <v>0</v>
      </c>
      <c r="AP304" s="10">
        <v>0</v>
      </c>
      <c r="AQ304" s="10">
        <v>0</v>
      </c>
      <c r="AR304" s="10">
        <v>0</v>
      </c>
      <c r="AS304" s="10">
        <v>0</v>
      </c>
      <c r="AT304" s="10">
        <v>0</v>
      </c>
      <c r="AU304" s="10">
        <v>0</v>
      </c>
      <c r="AV304" s="10">
        <v>0</v>
      </c>
      <c r="AW304" s="10">
        <v>0</v>
      </c>
      <c r="AX304" s="10">
        <v>0</v>
      </c>
      <c r="AY304" s="10">
        <v>0</v>
      </c>
      <c r="AZ304" s="10">
        <v>0</v>
      </c>
      <c r="BA304" s="10">
        <v>0</v>
      </c>
      <c r="BB304" s="10">
        <v>0</v>
      </c>
      <c r="BC304" s="10">
        <v>0</v>
      </c>
      <c r="BD304" s="10">
        <v>0</v>
      </c>
      <c r="BE304" s="10">
        <v>0</v>
      </c>
      <c r="BF304" s="10">
        <v>0</v>
      </c>
      <c r="BG304" s="10">
        <v>0</v>
      </c>
      <c r="BH304" s="10">
        <v>0</v>
      </c>
      <c r="BI304" s="10">
        <v>0</v>
      </c>
      <c r="BJ304" s="10">
        <v>0</v>
      </c>
      <c r="BK304" s="10">
        <v>0</v>
      </c>
      <c r="BL304" s="10">
        <v>0</v>
      </c>
    </row>
    <row r="305" spans="1:64" ht="14.1" customHeight="1">
      <c r="A305" s="379">
        <f t="shared" si="589"/>
        <v>299</v>
      </c>
      <c r="B305" s="22" t="s">
        <v>881</v>
      </c>
      <c r="C305" s="38">
        <f t="shared" si="623"/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0</v>
      </c>
      <c r="AW305" s="10">
        <v>0</v>
      </c>
      <c r="AX305" s="10">
        <v>0</v>
      </c>
      <c r="AY305" s="10">
        <v>0</v>
      </c>
      <c r="AZ305" s="10">
        <v>0</v>
      </c>
      <c r="BA305" s="10">
        <v>0</v>
      </c>
      <c r="BB305" s="10">
        <v>0</v>
      </c>
      <c r="BC305" s="10">
        <v>0</v>
      </c>
      <c r="BD305" s="10">
        <v>0</v>
      </c>
      <c r="BE305" s="10">
        <v>0</v>
      </c>
      <c r="BF305" s="10">
        <v>0</v>
      </c>
      <c r="BG305" s="10">
        <v>0</v>
      </c>
      <c r="BH305" s="10">
        <v>0</v>
      </c>
      <c r="BI305" s="10">
        <v>0</v>
      </c>
      <c r="BJ305" s="10">
        <v>0</v>
      </c>
      <c r="BK305" s="10">
        <v>0</v>
      </c>
      <c r="BL305" s="10">
        <v>0</v>
      </c>
    </row>
    <row r="306" spans="1:64" ht="14.1" customHeight="1">
      <c r="A306" s="379">
        <f t="shared" si="589"/>
        <v>300</v>
      </c>
      <c r="B306" s="56" t="s">
        <v>195</v>
      </c>
      <c r="C306" s="38">
        <f t="shared" si="623"/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0</v>
      </c>
      <c r="AO306" s="10">
        <v>0</v>
      </c>
      <c r="AP306" s="10">
        <v>0</v>
      </c>
      <c r="AQ306" s="10">
        <v>0</v>
      </c>
      <c r="AR306" s="10">
        <v>0</v>
      </c>
      <c r="AS306" s="10">
        <v>0</v>
      </c>
      <c r="AT306" s="10">
        <v>0</v>
      </c>
      <c r="AU306" s="10">
        <v>0</v>
      </c>
      <c r="AV306" s="10">
        <v>0</v>
      </c>
      <c r="AW306" s="10">
        <v>0</v>
      </c>
      <c r="AX306" s="10">
        <v>0</v>
      </c>
      <c r="AY306" s="10">
        <v>0</v>
      </c>
      <c r="AZ306" s="10">
        <v>0</v>
      </c>
      <c r="BA306" s="10">
        <v>0</v>
      </c>
      <c r="BB306" s="10">
        <v>0</v>
      </c>
      <c r="BC306" s="10">
        <v>0</v>
      </c>
      <c r="BD306" s="10">
        <v>0</v>
      </c>
      <c r="BE306" s="10">
        <v>0</v>
      </c>
      <c r="BF306" s="10">
        <v>0</v>
      </c>
      <c r="BG306" s="10">
        <v>0</v>
      </c>
      <c r="BH306" s="10">
        <v>0</v>
      </c>
      <c r="BI306" s="10">
        <v>0</v>
      </c>
      <c r="BJ306" s="10">
        <v>0</v>
      </c>
      <c r="BK306" s="10">
        <v>0</v>
      </c>
      <c r="BL306" s="10">
        <v>0</v>
      </c>
    </row>
    <row r="307" spans="1:64" ht="14.1" customHeight="1">
      <c r="A307" s="379">
        <f t="shared" si="589"/>
        <v>301</v>
      </c>
      <c r="B307" s="20" t="s">
        <v>499</v>
      </c>
      <c r="C307" s="85">
        <f t="shared" ref="C307:H307" si="624">SUM(C294:C306)</f>
        <v>3599324.5199999996</v>
      </c>
      <c r="D307" s="85">
        <f t="shared" si="624"/>
        <v>0</v>
      </c>
      <c r="E307" s="85">
        <f t="shared" si="624"/>
        <v>-238147</v>
      </c>
      <c r="F307" s="85">
        <f>SUM(F294:F306)</f>
        <v>-2904473</v>
      </c>
      <c r="G307" s="85">
        <f>SUM(G294:G306)</f>
        <v>0</v>
      </c>
      <c r="H307" s="85">
        <f t="shared" si="624"/>
        <v>0</v>
      </c>
      <c r="I307" s="85">
        <f>SUM(I294:I306)</f>
        <v>2822903</v>
      </c>
      <c r="J307" s="85">
        <f>SUM(J294:J306)</f>
        <v>0</v>
      </c>
      <c r="K307" s="85">
        <f>SUM(K294:K306)</f>
        <v>0</v>
      </c>
      <c r="L307" s="85">
        <f t="shared" ref="L307:Y307" si="625">SUM(L294:L306)</f>
        <v>0</v>
      </c>
      <c r="M307" s="85">
        <f t="shared" si="625"/>
        <v>0</v>
      </c>
      <c r="N307" s="85">
        <f t="shared" si="625"/>
        <v>0</v>
      </c>
      <c r="O307" s="85">
        <f t="shared" si="625"/>
        <v>0</v>
      </c>
      <c r="P307" s="85">
        <f t="shared" si="625"/>
        <v>0</v>
      </c>
      <c r="Q307" s="85">
        <f t="shared" si="625"/>
        <v>0</v>
      </c>
      <c r="R307" s="85">
        <f t="shared" si="625"/>
        <v>0</v>
      </c>
      <c r="S307" s="85">
        <f t="shared" si="625"/>
        <v>0</v>
      </c>
      <c r="T307" s="85">
        <f>SUM(T294:T306)</f>
        <v>361146</v>
      </c>
      <c r="U307" s="85">
        <f t="shared" si="625"/>
        <v>0</v>
      </c>
      <c r="V307" s="85">
        <f t="shared" si="625"/>
        <v>0</v>
      </c>
      <c r="W307" s="85">
        <f t="shared" si="625"/>
        <v>-26946.48</v>
      </c>
      <c r="X307" s="85">
        <f t="shared" si="625"/>
        <v>0</v>
      </c>
      <c r="Y307" s="85">
        <f t="shared" si="625"/>
        <v>0</v>
      </c>
      <c r="Z307" s="85">
        <f t="shared" ref="Z307:AE307" si="626">SUM(Z294:Z306)</f>
        <v>0</v>
      </c>
      <c r="AA307" s="85">
        <f t="shared" si="626"/>
        <v>0</v>
      </c>
      <c r="AB307" s="85">
        <f t="shared" si="626"/>
        <v>0</v>
      </c>
      <c r="AC307" s="85">
        <f t="shared" si="626"/>
        <v>-1541217</v>
      </c>
      <c r="AD307" s="85">
        <f t="shared" si="626"/>
        <v>-471096</v>
      </c>
      <c r="AE307" s="85">
        <f t="shared" si="626"/>
        <v>0</v>
      </c>
      <c r="AF307" s="85">
        <f t="shared" ref="AF307:AL307" si="627">SUM(AF294:AF306)</f>
        <v>0</v>
      </c>
      <c r="AG307" s="85">
        <f t="shared" si="627"/>
        <v>0</v>
      </c>
      <c r="AH307" s="85">
        <f t="shared" si="627"/>
        <v>0</v>
      </c>
      <c r="AI307" s="85">
        <f t="shared" si="627"/>
        <v>0</v>
      </c>
      <c r="AJ307" s="85">
        <f t="shared" si="627"/>
        <v>0</v>
      </c>
      <c r="AK307" s="85">
        <f t="shared" si="627"/>
        <v>0</v>
      </c>
      <c r="AL307" s="85">
        <f t="shared" si="627"/>
        <v>0</v>
      </c>
      <c r="AM307" s="85">
        <f>SUM(AM294:AM306)</f>
        <v>0</v>
      </c>
      <c r="AN307" s="85">
        <f t="shared" ref="AN307:BB307" si="628">SUM(AN294:AN306)</f>
        <v>0</v>
      </c>
      <c r="AO307" s="85">
        <f t="shared" si="628"/>
        <v>0</v>
      </c>
      <c r="AP307" s="85">
        <f t="shared" si="628"/>
        <v>0</v>
      </c>
      <c r="AQ307" s="85">
        <f>SUM(AQ294:AQ306)</f>
        <v>0</v>
      </c>
      <c r="AR307" s="85">
        <f>SUM(AR294:AR306)</f>
        <v>0</v>
      </c>
      <c r="AS307" s="85">
        <f t="shared" ref="AS307:AY307" si="629">SUM(AS294:AS306)</f>
        <v>0</v>
      </c>
      <c r="AT307" s="85">
        <f t="shared" si="629"/>
        <v>0</v>
      </c>
      <c r="AU307" s="85">
        <f>SUM(AU294:AU306)</f>
        <v>0</v>
      </c>
      <c r="AV307" s="85">
        <f t="shared" si="629"/>
        <v>-64729</v>
      </c>
      <c r="AW307" s="85">
        <f t="shared" si="629"/>
        <v>0</v>
      </c>
      <c r="AX307" s="85">
        <f t="shared" si="629"/>
        <v>0</v>
      </c>
      <c r="AY307" s="85">
        <f t="shared" si="629"/>
        <v>0</v>
      </c>
      <c r="AZ307" s="85">
        <f>SUM(AZ294:AZ306)</f>
        <v>0</v>
      </c>
      <c r="BA307" s="85">
        <f t="shared" si="628"/>
        <v>0</v>
      </c>
      <c r="BB307" s="85">
        <f t="shared" si="628"/>
        <v>0</v>
      </c>
      <c r="BC307" s="85">
        <f>SUM(BC294:BC306)</f>
        <v>0</v>
      </c>
      <c r="BD307" s="85">
        <f>SUM(BD294:BD306)</f>
        <v>0</v>
      </c>
      <c r="BE307" s="85">
        <f t="shared" ref="BE307:BG307" si="630">SUM(BE294:BE306)</f>
        <v>0</v>
      </c>
      <c r="BF307" s="85">
        <f t="shared" si="630"/>
        <v>0</v>
      </c>
      <c r="BG307" s="85">
        <f t="shared" si="630"/>
        <v>0</v>
      </c>
      <c r="BH307" s="85">
        <f t="shared" ref="BH307:BL307" si="631">SUM(BH294:BH306)</f>
        <v>5661884</v>
      </c>
      <c r="BI307" s="85">
        <f t="shared" si="631"/>
        <v>0</v>
      </c>
      <c r="BJ307" s="85">
        <f t="shared" si="631"/>
        <v>0</v>
      </c>
      <c r="BK307" s="85">
        <f t="shared" si="631"/>
        <v>0</v>
      </c>
      <c r="BL307" s="85">
        <f t="shared" si="631"/>
        <v>0</v>
      </c>
    </row>
    <row r="308" spans="1:64" ht="14.1" customHeight="1">
      <c r="A308" s="379">
        <f t="shared" si="589"/>
        <v>302</v>
      </c>
      <c r="B308" s="23"/>
      <c r="C308" s="2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</row>
    <row r="309" spans="1:64" ht="14.1" customHeight="1">
      <c r="A309" s="379">
        <f t="shared" si="589"/>
        <v>303</v>
      </c>
      <c r="B309" s="22" t="s">
        <v>197</v>
      </c>
      <c r="C309" s="38">
        <f>SUM(D309:BI309)</f>
        <v>-138481.42000000001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  <c r="O309" s="43">
        <v>0</v>
      </c>
      <c r="P309" s="43">
        <v>0</v>
      </c>
      <c r="Q309" s="43">
        <v>0</v>
      </c>
      <c r="R309" s="43">
        <v>0</v>
      </c>
      <c r="S309" s="43">
        <v>0</v>
      </c>
      <c r="T309" s="43">
        <v>0</v>
      </c>
      <c r="U309" s="43">
        <v>0</v>
      </c>
      <c r="V309" s="43">
        <v>0</v>
      </c>
      <c r="W309" s="43">
        <v>-5521.42</v>
      </c>
      <c r="X309" s="43">
        <v>0</v>
      </c>
      <c r="Y309" s="43">
        <v>0</v>
      </c>
      <c r="Z309" s="43">
        <v>0</v>
      </c>
      <c r="AA309" s="43">
        <v>0</v>
      </c>
      <c r="AB309" s="43">
        <v>0</v>
      </c>
      <c r="AC309" s="43">
        <v>0</v>
      </c>
      <c r="AD309" s="43">
        <f>-88262+1613-46311</f>
        <v>-132960</v>
      </c>
      <c r="AE309" s="43">
        <v>0</v>
      </c>
      <c r="AF309" s="43">
        <v>0</v>
      </c>
      <c r="AG309" s="43">
        <v>0</v>
      </c>
      <c r="AH309" s="43">
        <v>0</v>
      </c>
      <c r="AI309" s="43">
        <v>0</v>
      </c>
      <c r="AJ309" s="43">
        <v>0</v>
      </c>
      <c r="AK309" s="43">
        <v>0</v>
      </c>
      <c r="AL309" s="43">
        <v>0</v>
      </c>
      <c r="AM309" s="43">
        <v>0</v>
      </c>
      <c r="AN309" s="43">
        <v>0</v>
      </c>
      <c r="AO309" s="43">
        <v>0</v>
      </c>
      <c r="AP309" s="43">
        <v>0</v>
      </c>
      <c r="AQ309" s="43">
        <v>0</v>
      </c>
      <c r="AR309" s="43">
        <v>0</v>
      </c>
      <c r="AS309" s="43">
        <v>0</v>
      </c>
      <c r="AT309" s="43">
        <v>0</v>
      </c>
      <c r="AU309" s="43">
        <v>0</v>
      </c>
      <c r="AV309" s="43">
        <v>0</v>
      </c>
      <c r="AW309" s="43">
        <v>0</v>
      </c>
      <c r="AX309" s="43">
        <v>0</v>
      </c>
      <c r="AY309" s="43">
        <v>0</v>
      </c>
      <c r="AZ309" s="43">
        <v>0</v>
      </c>
      <c r="BA309" s="43">
        <v>0</v>
      </c>
      <c r="BB309" s="43">
        <v>0</v>
      </c>
      <c r="BC309" s="43">
        <v>0</v>
      </c>
      <c r="BD309" s="43">
        <v>0</v>
      </c>
      <c r="BE309" s="43">
        <v>0</v>
      </c>
      <c r="BF309" s="43">
        <v>0</v>
      </c>
      <c r="BG309" s="43">
        <v>0</v>
      </c>
      <c r="BH309" s="43">
        <v>0</v>
      </c>
      <c r="BI309" s="43">
        <v>0</v>
      </c>
      <c r="BJ309" s="43">
        <v>0</v>
      </c>
      <c r="BK309" s="43">
        <v>0</v>
      </c>
      <c r="BL309" s="43">
        <v>0</v>
      </c>
    </row>
    <row r="310" spans="1:64" ht="14.1" customHeight="1">
      <c r="A310" s="379">
        <f t="shared" si="589"/>
        <v>304</v>
      </c>
      <c r="B310" s="22" t="s">
        <v>198</v>
      </c>
      <c r="C310" s="38">
        <f>SUM(D310:BI310)</f>
        <v>-8349.67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1161.33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43">
        <f>-6719+291-3083</f>
        <v>-9511</v>
      </c>
      <c r="AE310" s="10">
        <v>0</v>
      </c>
      <c r="AF310" s="10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0</v>
      </c>
      <c r="AO310" s="10">
        <v>0</v>
      </c>
      <c r="AP310" s="10">
        <v>0</v>
      </c>
      <c r="AQ310" s="10">
        <v>0</v>
      </c>
      <c r="AR310" s="10">
        <v>0</v>
      </c>
      <c r="AS310" s="10">
        <v>0</v>
      </c>
      <c r="AT310" s="10">
        <v>0</v>
      </c>
      <c r="AU310" s="10">
        <v>0</v>
      </c>
      <c r="AV310" s="10">
        <v>0</v>
      </c>
      <c r="AW310" s="10">
        <v>0</v>
      </c>
      <c r="AX310" s="10">
        <v>0</v>
      </c>
      <c r="AY310" s="10">
        <v>0</v>
      </c>
      <c r="AZ310" s="10">
        <v>0</v>
      </c>
      <c r="BA310" s="10">
        <v>0</v>
      </c>
      <c r="BB310" s="10">
        <v>0</v>
      </c>
      <c r="BC310" s="10">
        <v>0</v>
      </c>
      <c r="BD310" s="10">
        <v>0</v>
      </c>
      <c r="BE310" s="10">
        <v>0</v>
      </c>
      <c r="BF310" s="10">
        <v>0</v>
      </c>
      <c r="BG310" s="10">
        <v>0</v>
      </c>
      <c r="BH310" s="10">
        <v>0</v>
      </c>
      <c r="BI310" s="10">
        <v>0</v>
      </c>
      <c r="BJ310" s="10">
        <v>0</v>
      </c>
      <c r="BK310" s="10">
        <v>0</v>
      </c>
      <c r="BL310" s="10">
        <v>0</v>
      </c>
    </row>
    <row r="311" spans="1:64" ht="13.5" customHeight="1">
      <c r="A311" s="379">
        <f t="shared" si="589"/>
        <v>305</v>
      </c>
      <c r="B311" s="22" t="s">
        <v>199</v>
      </c>
      <c r="C311" s="38">
        <f>SUM(D311:BI311)</f>
        <v>-640608.1</v>
      </c>
      <c r="D311" s="10">
        <v>0</v>
      </c>
      <c r="E311" s="10">
        <v>256371</v>
      </c>
      <c r="F311" s="10">
        <v>-938733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-5890.1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43">
        <f>-128930+7731-63222</f>
        <v>-184421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10">
        <v>0</v>
      </c>
      <c r="AP311" s="10">
        <v>0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0</v>
      </c>
      <c r="AW311" s="10">
        <v>0</v>
      </c>
      <c r="AX311" s="10">
        <v>0</v>
      </c>
      <c r="AY311" s="10">
        <v>232065</v>
      </c>
      <c r="AZ311" s="10">
        <v>0</v>
      </c>
      <c r="BA311" s="10">
        <v>0</v>
      </c>
      <c r="BB311" s="10">
        <v>0</v>
      </c>
      <c r="BC311" s="10">
        <v>0</v>
      </c>
      <c r="BD311" s="10">
        <v>0</v>
      </c>
      <c r="BE311" s="10">
        <v>0</v>
      </c>
      <c r="BF311" s="10">
        <v>0</v>
      </c>
      <c r="BG311" s="10">
        <v>0</v>
      </c>
      <c r="BH311" s="10">
        <v>0</v>
      </c>
      <c r="BI311" s="10">
        <v>0</v>
      </c>
      <c r="BJ311" s="10">
        <v>0</v>
      </c>
      <c r="BK311" s="10">
        <v>0</v>
      </c>
      <c r="BL311" s="10">
        <v>0</v>
      </c>
    </row>
    <row r="312" spans="1:64" ht="14.1" customHeight="1">
      <c r="A312" s="379">
        <f t="shared" si="589"/>
        <v>306</v>
      </c>
      <c r="B312" s="22" t="s">
        <v>200</v>
      </c>
      <c r="C312" s="38">
        <f>SUM(D312:BI312)</f>
        <v>-100369.44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-3608.44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43">
        <f>-68893+3493-31361</f>
        <v>-96761</v>
      </c>
      <c r="AE312" s="10">
        <v>0</v>
      </c>
      <c r="AF312" s="10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  <c r="AM312" s="10">
        <v>0</v>
      </c>
      <c r="AN312" s="10">
        <v>0</v>
      </c>
      <c r="AO312" s="10">
        <v>0</v>
      </c>
      <c r="AP312" s="10">
        <v>0</v>
      </c>
      <c r="AQ312" s="10">
        <v>0</v>
      </c>
      <c r="AR312" s="10">
        <v>0</v>
      </c>
      <c r="AS312" s="10">
        <v>0</v>
      </c>
      <c r="AT312" s="10">
        <v>0</v>
      </c>
      <c r="AU312" s="10">
        <v>0</v>
      </c>
      <c r="AV312" s="10">
        <v>0</v>
      </c>
      <c r="AW312" s="10">
        <v>0</v>
      </c>
      <c r="AX312" s="10">
        <v>0</v>
      </c>
      <c r="AY312" s="10">
        <v>0</v>
      </c>
      <c r="AZ312" s="10">
        <v>0</v>
      </c>
      <c r="BA312" s="10">
        <v>0</v>
      </c>
      <c r="BB312" s="10">
        <v>0</v>
      </c>
      <c r="BC312" s="10">
        <v>0</v>
      </c>
      <c r="BD312" s="10">
        <v>0</v>
      </c>
      <c r="BE312" s="10">
        <v>0</v>
      </c>
      <c r="BF312" s="10">
        <v>0</v>
      </c>
      <c r="BG312" s="10">
        <v>0</v>
      </c>
      <c r="BH312" s="10">
        <v>0</v>
      </c>
      <c r="BI312" s="10">
        <v>0</v>
      </c>
      <c r="BJ312" s="10">
        <v>0</v>
      </c>
      <c r="BK312" s="10">
        <v>0</v>
      </c>
      <c r="BL312" s="10">
        <v>0</v>
      </c>
    </row>
    <row r="313" spans="1:64" ht="14.1" customHeight="1">
      <c r="A313" s="379">
        <f t="shared" si="589"/>
        <v>307</v>
      </c>
      <c r="B313" s="56" t="s">
        <v>201</v>
      </c>
      <c r="C313" s="38">
        <f>SUM(D313:BI313)</f>
        <v>-55942.22</v>
      </c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-4154.22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43">
        <f>-34777+1642-17371-995+19-306</f>
        <v>-51788</v>
      </c>
      <c r="AE313" s="10">
        <v>0</v>
      </c>
      <c r="AF313" s="10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0</v>
      </c>
      <c r="AQ313" s="10">
        <v>0</v>
      </c>
      <c r="AR313" s="10">
        <v>0</v>
      </c>
      <c r="AS313" s="10">
        <v>0</v>
      </c>
      <c r="AT313" s="10">
        <v>0</v>
      </c>
      <c r="AU313" s="10">
        <v>0</v>
      </c>
      <c r="AV313" s="10">
        <v>0</v>
      </c>
      <c r="AW313" s="10">
        <v>0</v>
      </c>
      <c r="AX313" s="10">
        <v>0</v>
      </c>
      <c r="AY313" s="10">
        <v>0</v>
      </c>
      <c r="AZ313" s="10">
        <v>0</v>
      </c>
      <c r="BA313" s="10">
        <v>0</v>
      </c>
      <c r="BB313" s="10">
        <v>0</v>
      </c>
      <c r="BC313" s="10">
        <v>0</v>
      </c>
      <c r="BD313" s="10">
        <v>0</v>
      </c>
      <c r="BE313" s="10">
        <v>0</v>
      </c>
      <c r="BF313" s="10">
        <v>0</v>
      </c>
      <c r="BG313" s="10">
        <v>0</v>
      </c>
      <c r="BH313" s="10">
        <v>0</v>
      </c>
      <c r="BI313" s="10">
        <v>0</v>
      </c>
      <c r="BJ313" s="10">
        <v>0</v>
      </c>
      <c r="BK313" s="10">
        <v>0</v>
      </c>
      <c r="BL313" s="10">
        <v>0</v>
      </c>
    </row>
    <row r="314" spans="1:64" ht="14.1" customHeight="1">
      <c r="A314" s="379">
        <f t="shared" si="589"/>
        <v>308</v>
      </c>
      <c r="B314" s="20" t="s">
        <v>500</v>
      </c>
      <c r="C314" s="85">
        <f t="shared" ref="C314:K314" si="632">SUM(C309:C313)</f>
        <v>-943750.84999999986</v>
      </c>
      <c r="D314" s="85">
        <f t="shared" si="632"/>
        <v>0</v>
      </c>
      <c r="E314" s="85">
        <f t="shared" si="632"/>
        <v>256371</v>
      </c>
      <c r="F314" s="85">
        <f t="shared" si="632"/>
        <v>-938733</v>
      </c>
      <c r="G314" s="85">
        <f t="shared" si="632"/>
        <v>0</v>
      </c>
      <c r="H314" s="85">
        <f t="shared" si="632"/>
        <v>0</v>
      </c>
      <c r="I314" s="85">
        <f t="shared" si="632"/>
        <v>0</v>
      </c>
      <c r="J314" s="85">
        <f t="shared" si="632"/>
        <v>0</v>
      </c>
      <c r="K314" s="85">
        <f t="shared" si="632"/>
        <v>0</v>
      </c>
      <c r="L314" s="85">
        <f t="shared" ref="L314:Y314" si="633">SUM(L309:L313)</f>
        <v>0</v>
      </c>
      <c r="M314" s="85">
        <f t="shared" si="633"/>
        <v>0</v>
      </c>
      <c r="N314" s="85">
        <f t="shared" si="633"/>
        <v>0</v>
      </c>
      <c r="O314" s="85">
        <f t="shared" si="633"/>
        <v>0</v>
      </c>
      <c r="P314" s="85">
        <f t="shared" si="633"/>
        <v>0</v>
      </c>
      <c r="Q314" s="85">
        <f t="shared" si="633"/>
        <v>0</v>
      </c>
      <c r="R314" s="85">
        <f t="shared" si="633"/>
        <v>0</v>
      </c>
      <c r="S314" s="85">
        <f t="shared" si="633"/>
        <v>0</v>
      </c>
      <c r="T314" s="85">
        <f>SUM(T309:T313)</f>
        <v>0</v>
      </c>
      <c r="U314" s="85">
        <f t="shared" si="633"/>
        <v>0</v>
      </c>
      <c r="V314" s="85">
        <f t="shared" si="633"/>
        <v>0</v>
      </c>
      <c r="W314" s="85">
        <f t="shared" si="633"/>
        <v>-18012.850000000002</v>
      </c>
      <c r="X314" s="85">
        <f t="shared" si="633"/>
        <v>0</v>
      </c>
      <c r="Y314" s="85">
        <f t="shared" si="633"/>
        <v>0</v>
      </c>
      <c r="Z314" s="85">
        <f t="shared" ref="Z314:AE314" si="634">SUM(Z309:Z313)</f>
        <v>0</v>
      </c>
      <c r="AA314" s="85">
        <f t="shared" si="634"/>
        <v>0</v>
      </c>
      <c r="AB314" s="85">
        <f t="shared" si="634"/>
        <v>0</v>
      </c>
      <c r="AC314" s="85">
        <f t="shared" si="634"/>
        <v>0</v>
      </c>
      <c r="AD314" s="85">
        <f t="shared" si="634"/>
        <v>-475441</v>
      </c>
      <c r="AE314" s="85">
        <f t="shared" si="634"/>
        <v>0</v>
      </c>
      <c r="AF314" s="85">
        <f t="shared" ref="AF314:AL314" si="635">SUM(AF309:AF313)</f>
        <v>0</v>
      </c>
      <c r="AG314" s="85">
        <f t="shared" si="635"/>
        <v>0</v>
      </c>
      <c r="AH314" s="85">
        <f t="shared" si="635"/>
        <v>0</v>
      </c>
      <c r="AI314" s="85">
        <f t="shared" si="635"/>
        <v>0</v>
      </c>
      <c r="AJ314" s="85">
        <f t="shared" si="635"/>
        <v>0</v>
      </c>
      <c r="AK314" s="85">
        <f t="shared" si="635"/>
        <v>0</v>
      </c>
      <c r="AL314" s="85">
        <f t="shared" si="635"/>
        <v>0</v>
      </c>
      <c r="AM314" s="85">
        <f t="shared" ref="AM314:BB314" si="636">SUM(AM309:AM313)</f>
        <v>0</v>
      </c>
      <c r="AN314" s="85">
        <f t="shared" si="636"/>
        <v>0</v>
      </c>
      <c r="AO314" s="85">
        <f t="shared" si="636"/>
        <v>0</v>
      </c>
      <c r="AP314" s="85">
        <f t="shared" si="636"/>
        <v>0</v>
      </c>
      <c r="AQ314" s="85">
        <f>SUM(AQ309:AQ313)</f>
        <v>0</v>
      </c>
      <c r="AR314" s="85">
        <f>SUM(AR309:AR313)</f>
        <v>0</v>
      </c>
      <c r="AS314" s="85">
        <f t="shared" ref="AS314:AY314" si="637">SUM(AS309:AS313)</f>
        <v>0</v>
      </c>
      <c r="AT314" s="85">
        <f t="shared" si="637"/>
        <v>0</v>
      </c>
      <c r="AU314" s="85">
        <f>SUM(AU309:AU313)</f>
        <v>0</v>
      </c>
      <c r="AV314" s="85">
        <f t="shared" si="637"/>
        <v>0</v>
      </c>
      <c r="AW314" s="85">
        <f t="shared" si="637"/>
        <v>0</v>
      </c>
      <c r="AX314" s="85">
        <f t="shared" si="637"/>
        <v>0</v>
      </c>
      <c r="AY314" s="85">
        <f t="shared" si="637"/>
        <v>232065</v>
      </c>
      <c r="AZ314" s="85">
        <f>SUM(AZ309:AZ313)</f>
        <v>0</v>
      </c>
      <c r="BA314" s="85">
        <f t="shared" si="636"/>
        <v>0</v>
      </c>
      <c r="BB314" s="85">
        <f t="shared" si="636"/>
        <v>0</v>
      </c>
      <c r="BC314" s="85">
        <f>SUM(BC309:BC313)</f>
        <v>0</v>
      </c>
      <c r="BD314" s="85">
        <f>SUM(BD309:BD313)</f>
        <v>0</v>
      </c>
      <c r="BE314" s="85">
        <f t="shared" ref="BE314:BG314" si="638">SUM(BE309:BE313)</f>
        <v>0</v>
      </c>
      <c r="BF314" s="85">
        <f t="shared" si="638"/>
        <v>0</v>
      </c>
      <c r="BG314" s="85">
        <f t="shared" si="638"/>
        <v>0</v>
      </c>
      <c r="BH314" s="85">
        <f t="shared" ref="BH314:BL314" si="639">SUM(BH309:BH313)</f>
        <v>0</v>
      </c>
      <c r="BI314" s="85">
        <f t="shared" si="639"/>
        <v>0</v>
      </c>
      <c r="BJ314" s="85">
        <f t="shared" si="639"/>
        <v>0</v>
      </c>
      <c r="BK314" s="85">
        <f t="shared" si="639"/>
        <v>0</v>
      </c>
      <c r="BL314" s="85">
        <f t="shared" si="639"/>
        <v>0</v>
      </c>
    </row>
    <row r="315" spans="1:64" ht="14.1" customHeight="1">
      <c r="A315" s="379">
        <f t="shared" si="589"/>
        <v>309</v>
      </c>
      <c r="B315" s="57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1"/>
      <c r="AF315" s="151"/>
      <c r="AG315" s="151"/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  <c r="BI315" s="151"/>
      <c r="BJ315" s="151"/>
      <c r="BK315" s="151"/>
      <c r="BL315" s="151"/>
    </row>
    <row r="316" spans="1:64" ht="14.1" customHeight="1">
      <c r="A316" s="379">
        <f t="shared" si="589"/>
        <v>310</v>
      </c>
      <c r="B316" s="20" t="s">
        <v>202</v>
      </c>
      <c r="C316" s="16">
        <f t="shared" ref="C316:K316" si="640">+C314+C307</f>
        <v>2655573.67</v>
      </c>
      <c r="D316" s="16">
        <f t="shared" si="640"/>
        <v>0</v>
      </c>
      <c r="E316" s="16">
        <f>+E314+E307</f>
        <v>18224</v>
      </c>
      <c r="F316" s="16">
        <f t="shared" si="640"/>
        <v>-3843206</v>
      </c>
      <c r="G316" s="16">
        <f t="shared" si="640"/>
        <v>0</v>
      </c>
      <c r="H316" s="16">
        <f t="shared" si="640"/>
        <v>0</v>
      </c>
      <c r="I316" s="16">
        <f t="shared" si="640"/>
        <v>2822903</v>
      </c>
      <c r="J316" s="16">
        <f t="shared" si="640"/>
        <v>0</v>
      </c>
      <c r="K316" s="16">
        <f t="shared" si="640"/>
        <v>0</v>
      </c>
      <c r="L316" s="16">
        <f t="shared" ref="L316:Y316" si="641">+L314+L307</f>
        <v>0</v>
      </c>
      <c r="M316" s="16">
        <f t="shared" si="641"/>
        <v>0</v>
      </c>
      <c r="N316" s="16">
        <f t="shared" si="641"/>
        <v>0</v>
      </c>
      <c r="O316" s="16">
        <f t="shared" si="641"/>
        <v>0</v>
      </c>
      <c r="P316" s="16">
        <f t="shared" si="641"/>
        <v>0</v>
      </c>
      <c r="Q316" s="16">
        <f t="shared" si="641"/>
        <v>0</v>
      </c>
      <c r="R316" s="16">
        <f t="shared" si="641"/>
        <v>0</v>
      </c>
      <c r="S316" s="16">
        <f t="shared" si="641"/>
        <v>0</v>
      </c>
      <c r="T316" s="16">
        <f>+T314+T307</f>
        <v>361146</v>
      </c>
      <c r="U316" s="16">
        <f t="shared" si="641"/>
        <v>0</v>
      </c>
      <c r="V316" s="16">
        <f t="shared" si="641"/>
        <v>0</v>
      </c>
      <c r="W316" s="16">
        <f t="shared" si="641"/>
        <v>-44959.33</v>
      </c>
      <c r="X316" s="16">
        <f t="shared" si="641"/>
        <v>0</v>
      </c>
      <c r="Y316" s="16">
        <f t="shared" si="641"/>
        <v>0</v>
      </c>
      <c r="Z316" s="16">
        <f t="shared" ref="Z316:AE316" si="642">+Z314+Z307</f>
        <v>0</v>
      </c>
      <c r="AA316" s="16">
        <f t="shared" si="642"/>
        <v>0</v>
      </c>
      <c r="AB316" s="16">
        <f t="shared" si="642"/>
        <v>0</v>
      </c>
      <c r="AC316" s="16">
        <f t="shared" si="642"/>
        <v>-1541217</v>
      </c>
      <c r="AD316" s="16">
        <f t="shared" si="642"/>
        <v>-946537</v>
      </c>
      <c r="AE316" s="16">
        <f t="shared" si="642"/>
        <v>0</v>
      </c>
      <c r="AF316" s="16">
        <f t="shared" ref="AF316:AL316" si="643">+AF314+AF307</f>
        <v>0</v>
      </c>
      <c r="AG316" s="16">
        <f t="shared" si="643"/>
        <v>0</v>
      </c>
      <c r="AH316" s="16">
        <f t="shared" si="643"/>
        <v>0</v>
      </c>
      <c r="AI316" s="16">
        <f t="shared" si="643"/>
        <v>0</v>
      </c>
      <c r="AJ316" s="16">
        <f t="shared" si="643"/>
        <v>0</v>
      </c>
      <c r="AK316" s="16">
        <f t="shared" si="643"/>
        <v>0</v>
      </c>
      <c r="AL316" s="16">
        <f t="shared" si="643"/>
        <v>0</v>
      </c>
      <c r="AM316" s="16">
        <f t="shared" ref="AM316:BB316" si="644">+AM314+AM307</f>
        <v>0</v>
      </c>
      <c r="AN316" s="16">
        <f t="shared" si="644"/>
        <v>0</v>
      </c>
      <c r="AO316" s="16">
        <f t="shared" si="644"/>
        <v>0</v>
      </c>
      <c r="AP316" s="16">
        <f t="shared" si="644"/>
        <v>0</v>
      </c>
      <c r="AQ316" s="16">
        <f>+AQ314+AQ307</f>
        <v>0</v>
      </c>
      <c r="AR316" s="16">
        <f>+AR314+AR307</f>
        <v>0</v>
      </c>
      <c r="AS316" s="16">
        <f t="shared" ref="AS316:AY316" si="645">+AS314+AS307</f>
        <v>0</v>
      </c>
      <c r="AT316" s="16">
        <f t="shared" si="645"/>
        <v>0</v>
      </c>
      <c r="AU316" s="16">
        <f>+AU314+AU307</f>
        <v>0</v>
      </c>
      <c r="AV316" s="16">
        <f t="shared" si="645"/>
        <v>-64729</v>
      </c>
      <c r="AW316" s="16">
        <f t="shared" si="645"/>
        <v>0</v>
      </c>
      <c r="AX316" s="16">
        <f t="shared" si="645"/>
        <v>0</v>
      </c>
      <c r="AY316" s="16">
        <f t="shared" si="645"/>
        <v>232065</v>
      </c>
      <c r="AZ316" s="16">
        <f>+AZ314+AZ307</f>
        <v>0</v>
      </c>
      <c r="BA316" s="16">
        <f t="shared" si="644"/>
        <v>0</v>
      </c>
      <c r="BB316" s="16">
        <f t="shared" si="644"/>
        <v>0</v>
      </c>
      <c r="BC316" s="16">
        <f>+BC314+BC307</f>
        <v>0</v>
      </c>
      <c r="BD316" s="16">
        <f>+BD314+BD307</f>
        <v>0</v>
      </c>
      <c r="BE316" s="16">
        <f t="shared" ref="BE316:BG316" si="646">+BE314+BE307</f>
        <v>0</v>
      </c>
      <c r="BF316" s="16">
        <f t="shared" si="646"/>
        <v>0</v>
      </c>
      <c r="BG316" s="16">
        <f t="shared" si="646"/>
        <v>0</v>
      </c>
      <c r="BH316" s="16">
        <f t="shared" ref="BH316:BL316" si="647">+BH314+BH307</f>
        <v>5661884</v>
      </c>
      <c r="BI316" s="16">
        <f t="shared" si="647"/>
        <v>0</v>
      </c>
      <c r="BJ316" s="16">
        <f t="shared" si="647"/>
        <v>0</v>
      </c>
      <c r="BK316" s="16">
        <f t="shared" si="647"/>
        <v>0</v>
      </c>
      <c r="BL316" s="16">
        <f t="shared" si="647"/>
        <v>0</v>
      </c>
    </row>
    <row r="317" spans="1:64" ht="14.1" customHeight="1">
      <c r="A317" s="379">
        <f t="shared" si="589"/>
        <v>311</v>
      </c>
      <c r="B317" s="129"/>
      <c r="C317" s="129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</row>
    <row r="318" spans="1:64" ht="14.1" customHeight="1">
      <c r="A318" s="379">
        <f t="shared" si="589"/>
        <v>312</v>
      </c>
      <c r="B318" s="13" t="s">
        <v>203</v>
      </c>
      <c r="C318" s="13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</row>
    <row r="319" spans="1:64" ht="14.1" customHeight="1">
      <c r="A319" s="379">
        <f t="shared" si="589"/>
        <v>313</v>
      </c>
      <c r="B319" s="22" t="s">
        <v>204</v>
      </c>
      <c r="C319" s="38">
        <f>SUM(D319:BI319)</f>
        <v>-10741422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-6412416</v>
      </c>
      <c r="P319" s="10">
        <v>-9814264</v>
      </c>
      <c r="Q319" s="10">
        <v>2870414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0</v>
      </c>
      <c r="AQ319" s="10">
        <v>0</v>
      </c>
      <c r="AR319" s="10">
        <v>1695513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919331</v>
      </c>
      <c r="AY319" s="10">
        <v>0</v>
      </c>
      <c r="AZ319" s="10">
        <v>0</v>
      </c>
      <c r="BA319" s="10">
        <v>0</v>
      </c>
      <c r="BB319" s="10">
        <v>0</v>
      </c>
      <c r="BC319" s="10">
        <v>0</v>
      </c>
      <c r="BD319" s="10">
        <v>0</v>
      </c>
      <c r="BE319" s="10">
        <v>0</v>
      </c>
      <c r="BF319" s="10">
        <v>0</v>
      </c>
      <c r="BG319" s="10">
        <v>0</v>
      </c>
      <c r="BH319" s="10">
        <v>0</v>
      </c>
      <c r="BI319" s="10">
        <v>0</v>
      </c>
      <c r="BJ319" s="10">
        <v>0</v>
      </c>
      <c r="BK319" s="10">
        <v>0</v>
      </c>
      <c r="BL319" s="10">
        <v>0</v>
      </c>
    </row>
    <row r="320" spans="1:64" ht="14.1" customHeight="1">
      <c r="A320" s="379">
        <f t="shared" si="589"/>
        <v>314</v>
      </c>
      <c r="B320" s="22" t="s">
        <v>205</v>
      </c>
      <c r="C320" s="38">
        <f>SUM(D320:BI320)</f>
        <v>-854641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-854641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0">
        <v>0</v>
      </c>
      <c r="AZ320" s="10">
        <v>0</v>
      </c>
      <c r="BA320" s="10">
        <v>0</v>
      </c>
      <c r="BB320" s="10">
        <v>0</v>
      </c>
      <c r="BC320" s="10">
        <v>0</v>
      </c>
      <c r="BD320" s="10">
        <v>0</v>
      </c>
      <c r="BE320" s="10">
        <v>0</v>
      </c>
      <c r="BF320" s="10">
        <v>0</v>
      </c>
      <c r="BG320" s="10">
        <v>0</v>
      </c>
      <c r="BH320" s="10">
        <v>0</v>
      </c>
      <c r="BI320" s="10">
        <v>0</v>
      </c>
      <c r="BJ320" s="10">
        <v>0</v>
      </c>
      <c r="BK320" s="10">
        <v>0</v>
      </c>
      <c r="BL320" s="10">
        <v>0</v>
      </c>
    </row>
    <row r="321" spans="1:64" ht="14.1" customHeight="1">
      <c r="A321" s="379">
        <f t="shared" si="589"/>
        <v>315</v>
      </c>
      <c r="B321" s="22" t="s">
        <v>206</v>
      </c>
      <c r="C321" s="38">
        <f>SUM(D321:BI321)</f>
        <v>0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0">
        <v>0</v>
      </c>
      <c r="AZ321" s="10">
        <v>0</v>
      </c>
      <c r="BA321" s="10">
        <v>0</v>
      </c>
      <c r="BB321" s="10">
        <v>0</v>
      </c>
      <c r="BC321" s="10">
        <v>0</v>
      </c>
      <c r="BD321" s="10">
        <v>0</v>
      </c>
      <c r="BE321" s="10">
        <v>0</v>
      </c>
      <c r="BF321" s="10">
        <v>0</v>
      </c>
      <c r="BG321" s="10">
        <v>0</v>
      </c>
      <c r="BH321" s="10">
        <v>0</v>
      </c>
      <c r="BI321" s="10">
        <v>0</v>
      </c>
      <c r="BJ321" s="10">
        <v>0</v>
      </c>
      <c r="BK321" s="10">
        <v>0</v>
      </c>
      <c r="BL321" s="10">
        <v>0</v>
      </c>
    </row>
    <row r="322" spans="1:64" ht="14.1" customHeight="1">
      <c r="A322" s="379">
        <f t="shared" si="589"/>
        <v>316</v>
      </c>
      <c r="B322" s="56" t="s">
        <v>207</v>
      </c>
      <c r="C322" s="38">
        <f>SUM(D322:BI322)</f>
        <v>0</v>
      </c>
      <c r="D322" s="43">
        <v>0</v>
      </c>
      <c r="E322" s="43">
        <v>0</v>
      </c>
      <c r="F322" s="43">
        <v>0</v>
      </c>
      <c r="G322" s="43">
        <v>0</v>
      </c>
      <c r="H322" s="43">
        <v>0</v>
      </c>
      <c r="I322" s="43">
        <v>0</v>
      </c>
      <c r="J322" s="43">
        <v>0</v>
      </c>
      <c r="K322" s="43">
        <v>0</v>
      </c>
      <c r="L322" s="43">
        <v>0</v>
      </c>
      <c r="M322" s="43">
        <v>0</v>
      </c>
      <c r="N322" s="43">
        <v>0</v>
      </c>
      <c r="O322" s="43">
        <v>0</v>
      </c>
      <c r="P322" s="43">
        <v>0</v>
      </c>
      <c r="Q322" s="43">
        <v>0</v>
      </c>
      <c r="R322" s="43">
        <v>0</v>
      </c>
      <c r="S322" s="43">
        <v>0</v>
      </c>
      <c r="T322" s="43">
        <v>0</v>
      </c>
      <c r="U322" s="43">
        <v>0</v>
      </c>
      <c r="V322" s="43">
        <v>0</v>
      </c>
      <c r="W322" s="43">
        <v>0</v>
      </c>
      <c r="X322" s="43">
        <v>0</v>
      </c>
      <c r="Y322" s="43">
        <v>0</v>
      </c>
      <c r="Z322" s="43">
        <v>0</v>
      </c>
      <c r="AA322" s="43">
        <v>0</v>
      </c>
      <c r="AB322" s="43">
        <v>0</v>
      </c>
      <c r="AC322" s="43">
        <v>0</v>
      </c>
      <c r="AD322" s="43">
        <v>0</v>
      </c>
      <c r="AE322" s="43">
        <v>0</v>
      </c>
      <c r="AF322" s="43">
        <v>0</v>
      </c>
      <c r="AG322" s="43">
        <v>0</v>
      </c>
      <c r="AH322" s="43">
        <v>0</v>
      </c>
      <c r="AI322" s="43">
        <v>0</v>
      </c>
      <c r="AJ322" s="43">
        <v>0</v>
      </c>
      <c r="AK322" s="43">
        <v>0</v>
      </c>
      <c r="AL322" s="43">
        <v>0</v>
      </c>
      <c r="AM322" s="43">
        <v>0</v>
      </c>
      <c r="AN322" s="43">
        <v>0</v>
      </c>
      <c r="AO322" s="43">
        <v>0</v>
      </c>
      <c r="AP322" s="43">
        <v>0</v>
      </c>
      <c r="AQ322" s="43">
        <v>0</v>
      </c>
      <c r="AR322" s="43">
        <v>0</v>
      </c>
      <c r="AS322" s="43">
        <v>0</v>
      </c>
      <c r="AT322" s="43">
        <v>0</v>
      </c>
      <c r="AU322" s="43">
        <v>0</v>
      </c>
      <c r="AV322" s="43">
        <v>0</v>
      </c>
      <c r="AW322" s="43">
        <v>0</v>
      </c>
      <c r="AX322" s="43">
        <v>0</v>
      </c>
      <c r="AY322" s="43">
        <v>0</v>
      </c>
      <c r="AZ322" s="43">
        <v>0</v>
      </c>
      <c r="BA322" s="43">
        <v>0</v>
      </c>
      <c r="BB322" s="43">
        <v>0</v>
      </c>
      <c r="BC322" s="43">
        <v>0</v>
      </c>
      <c r="BD322" s="43">
        <v>0</v>
      </c>
      <c r="BE322" s="43">
        <v>0</v>
      </c>
      <c r="BF322" s="43">
        <v>0</v>
      </c>
      <c r="BG322" s="43">
        <v>0</v>
      </c>
      <c r="BH322" s="43">
        <v>0</v>
      </c>
      <c r="BI322" s="43">
        <v>0</v>
      </c>
      <c r="BJ322" s="43">
        <v>0</v>
      </c>
      <c r="BK322" s="43">
        <v>0</v>
      </c>
      <c r="BL322" s="43">
        <v>0</v>
      </c>
    </row>
    <row r="323" spans="1:64" s="21" customFormat="1" ht="14.1" customHeight="1">
      <c r="A323" s="379">
        <f t="shared" si="589"/>
        <v>317</v>
      </c>
      <c r="B323" s="20" t="s">
        <v>208</v>
      </c>
      <c r="C323" s="85">
        <f t="shared" ref="C323:K323" si="648">SUM(C319:C322)</f>
        <v>-11596063</v>
      </c>
      <c r="D323" s="85">
        <f t="shared" si="648"/>
        <v>0</v>
      </c>
      <c r="E323" s="85">
        <f t="shared" si="648"/>
        <v>0</v>
      </c>
      <c r="F323" s="85">
        <f t="shared" si="648"/>
        <v>0</v>
      </c>
      <c r="G323" s="85">
        <f t="shared" si="648"/>
        <v>0</v>
      </c>
      <c r="H323" s="85">
        <f t="shared" si="648"/>
        <v>0</v>
      </c>
      <c r="I323" s="85">
        <f t="shared" si="648"/>
        <v>0</v>
      </c>
      <c r="J323" s="85">
        <f t="shared" si="648"/>
        <v>0</v>
      </c>
      <c r="K323" s="85">
        <f t="shared" si="648"/>
        <v>-854641</v>
      </c>
      <c r="L323" s="85">
        <f t="shared" ref="L323:Y323" si="649">SUM(L319:L322)</f>
        <v>0</v>
      </c>
      <c r="M323" s="85">
        <f t="shared" si="649"/>
        <v>0</v>
      </c>
      <c r="N323" s="85">
        <f t="shared" si="649"/>
        <v>0</v>
      </c>
      <c r="O323" s="85">
        <f t="shared" si="649"/>
        <v>-6412416</v>
      </c>
      <c r="P323" s="85">
        <f t="shared" si="649"/>
        <v>-9814264</v>
      </c>
      <c r="Q323" s="85">
        <f t="shared" si="649"/>
        <v>2870414</v>
      </c>
      <c r="R323" s="85">
        <f t="shared" si="649"/>
        <v>0</v>
      </c>
      <c r="S323" s="85">
        <f t="shared" si="649"/>
        <v>0</v>
      </c>
      <c r="T323" s="85">
        <f>SUM(T319:T322)</f>
        <v>0</v>
      </c>
      <c r="U323" s="85">
        <f t="shared" si="649"/>
        <v>0</v>
      </c>
      <c r="V323" s="85">
        <f t="shared" si="649"/>
        <v>0</v>
      </c>
      <c r="W323" s="85">
        <f t="shared" si="649"/>
        <v>0</v>
      </c>
      <c r="X323" s="85">
        <f t="shared" si="649"/>
        <v>0</v>
      </c>
      <c r="Y323" s="85">
        <f t="shared" si="649"/>
        <v>0</v>
      </c>
      <c r="Z323" s="85">
        <f t="shared" ref="Z323:AE323" si="650">SUM(Z319:Z322)</f>
        <v>0</v>
      </c>
      <c r="AA323" s="85">
        <f t="shared" si="650"/>
        <v>0</v>
      </c>
      <c r="AB323" s="85">
        <f t="shared" si="650"/>
        <v>0</v>
      </c>
      <c r="AC323" s="85">
        <f t="shared" si="650"/>
        <v>0</v>
      </c>
      <c r="AD323" s="85">
        <f t="shared" si="650"/>
        <v>0</v>
      </c>
      <c r="AE323" s="85">
        <f t="shared" si="650"/>
        <v>0</v>
      </c>
      <c r="AF323" s="85">
        <f t="shared" ref="AF323:AL323" si="651">SUM(AF319:AF322)</f>
        <v>0</v>
      </c>
      <c r="AG323" s="85">
        <f t="shared" si="651"/>
        <v>0</v>
      </c>
      <c r="AH323" s="85">
        <f t="shared" si="651"/>
        <v>0</v>
      </c>
      <c r="AI323" s="85">
        <f t="shared" si="651"/>
        <v>0</v>
      </c>
      <c r="AJ323" s="85">
        <f t="shared" si="651"/>
        <v>0</v>
      </c>
      <c r="AK323" s="85">
        <f t="shared" si="651"/>
        <v>0</v>
      </c>
      <c r="AL323" s="85">
        <f t="shared" si="651"/>
        <v>0</v>
      </c>
      <c r="AM323" s="85">
        <f t="shared" ref="AM323:BB323" si="652">SUM(AM319:AM322)</f>
        <v>0</v>
      </c>
      <c r="AN323" s="85">
        <f t="shared" si="652"/>
        <v>0</v>
      </c>
      <c r="AO323" s="85">
        <f t="shared" si="652"/>
        <v>0</v>
      </c>
      <c r="AP323" s="85">
        <f t="shared" si="652"/>
        <v>0</v>
      </c>
      <c r="AQ323" s="85">
        <f>SUM(AQ319:AQ322)</f>
        <v>0</v>
      </c>
      <c r="AR323" s="85">
        <f>SUM(AR319:AR322)</f>
        <v>1695513</v>
      </c>
      <c r="AS323" s="85">
        <f t="shared" ref="AS323:AY323" si="653">SUM(AS319:AS322)</f>
        <v>0</v>
      </c>
      <c r="AT323" s="85">
        <f t="shared" si="653"/>
        <v>0</v>
      </c>
      <c r="AU323" s="85">
        <f>SUM(AU319:AU322)</f>
        <v>0</v>
      </c>
      <c r="AV323" s="85">
        <f t="shared" si="653"/>
        <v>0</v>
      </c>
      <c r="AW323" s="85">
        <f t="shared" si="653"/>
        <v>0</v>
      </c>
      <c r="AX323" s="85">
        <f t="shared" si="653"/>
        <v>919331</v>
      </c>
      <c r="AY323" s="85">
        <f t="shared" si="653"/>
        <v>0</v>
      </c>
      <c r="AZ323" s="85">
        <f>SUM(AZ319:AZ322)</f>
        <v>0</v>
      </c>
      <c r="BA323" s="85">
        <f t="shared" si="652"/>
        <v>0</v>
      </c>
      <c r="BB323" s="85">
        <f t="shared" si="652"/>
        <v>0</v>
      </c>
      <c r="BC323" s="85">
        <f>SUM(BC319:BC322)</f>
        <v>0</v>
      </c>
      <c r="BD323" s="85">
        <f>SUM(BD319:BD322)</f>
        <v>0</v>
      </c>
      <c r="BE323" s="85">
        <f t="shared" ref="BE323:BG323" si="654">SUM(BE319:BE322)</f>
        <v>0</v>
      </c>
      <c r="BF323" s="85">
        <f t="shared" si="654"/>
        <v>0</v>
      </c>
      <c r="BG323" s="85">
        <f t="shared" si="654"/>
        <v>0</v>
      </c>
      <c r="BH323" s="85">
        <f t="shared" ref="BH323:BL323" si="655">SUM(BH319:BH322)</f>
        <v>0</v>
      </c>
      <c r="BI323" s="85">
        <f t="shared" si="655"/>
        <v>0</v>
      </c>
      <c r="BJ323" s="85">
        <f t="shared" si="655"/>
        <v>0</v>
      </c>
      <c r="BK323" s="85">
        <f t="shared" si="655"/>
        <v>0</v>
      </c>
      <c r="BL323" s="85">
        <f t="shared" si="655"/>
        <v>0</v>
      </c>
    </row>
    <row r="324" spans="1:64" s="21" customFormat="1" ht="14.1" customHeight="1">
      <c r="A324" s="379">
        <f t="shared" si="589"/>
        <v>318</v>
      </c>
      <c r="B324" s="57"/>
      <c r="C324" s="151"/>
      <c r="D324" s="151"/>
      <c r="E324" s="151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  <c r="X324" s="151"/>
      <c r="Y324" s="151"/>
      <c r="Z324" s="151"/>
      <c r="AA324" s="151"/>
      <c r="AB324" s="151"/>
      <c r="AC324" s="151"/>
      <c r="AD324" s="151"/>
      <c r="AE324" s="151"/>
      <c r="AF324" s="151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</row>
    <row r="325" spans="1:64" ht="14.1" customHeight="1">
      <c r="A325" s="379">
        <f t="shared" si="589"/>
        <v>319</v>
      </c>
      <c r="B325" s="20" t="s">
        <v>209</v>
      </c>
      <c r="C325" s="16">
        <f t="shared" ref="C325:K325" si="656">C323+C316</f>
        <v>-8940489.3300000001</v>
      </c>
      <c r="D325" s="16">
        <f t="shared" si="656"/>
        <v>0</v>
      </c>
      <c r="E325" s="16">
        <f t="shared" si="656"/>
        <v>18224</v>
      </c>
      <c r="F325" s="16">
        <f t="shared" si="656"/>
        <v>-3843206</v>
      </c>
      <c r="G325" s="16">
        <f t="shared" si="656"/>
        <v>0</v>
      </c>
      <c r="H325" s="16">
        <f t="shared" si="656"/>
        <v>0</v>
      </c>
      <c r="I325" s="16">
        <f t="shared" si="656"/>
        <v>2822903</v>
      </c>
      <c r="J325" s="16">
        <f t="shared" si="656"/>
        <v>0</v>
      </c>
      <c r="K325" s="16">
        <f t="shared" si="656"/>
        <v>-854641</v>
      </c>
      <c r="L325" s="16">
        <f t="shared" ref="L325:Y325" si="657">L323+L316</f>
        <v>0</v>
      </c>
      <c r="M325" s="16">
        <f t="shared" si="657"/>
        <v>0</v>
      </c>
      <c r="N325" s="16">
        <f t="shared" si="657"/>
        <v>0</v>
      </c>
      <c r="O325" s="16">
        <f t="shared" si="657"/>
        <v>-6412416</v>
      </c>
      <c r="P325" s="16">
        <f t="shared" si="657"/>
        <v>-9814264</v>
      </c>
      <c r="Q325" s="16">
        <f t="shared" si="657"/>
        <v>2870414</v>
      </c>
      <c r="R325" s="16">
        <f t="shared" si="657"/>
        <v>0</v>
      </c>
      <c r="S325" s="16">
        <f t="shared" si="657"/>
        <v>0</v>
      </c>
      <c r="T325" s="16">
        <f>T323+T316</f>
        <v>361146</v>
      </c>
      <c r="U325" s="16">
        <f t="shared" si="657"/>
        <v>0</v>
      </c>
      <c r="V325" s="16">
        <f t="shared" si="657"/>
        <v>0</v>
      </c>
      <c r="W325" s="16">
        <f t="shared" si="657"/>
        <v>-44959.33</v>
      </c>
      <c r="X325" s="16">
        <f t="shared" si="657"/>
        <v>0</v>
      </c>
      <c r="Y325" s="16">
        <f t="shared" si="657"/>
        <v>0</v>
      </c>
      <c r="Z325" s="16">
        <f t="shared" ref="Z325:AE325" si="658">Z323+Z316</f>
        <v>0</v>
      </c>
      <c r="AA325" s="16">
        <f t="shared" si="658"/>
        <v>0</v>
      </c>
      <c r="AB325" s="16">
        <f t="shared" si="658"/>
        <v>0</v>
      </c>
      <c r="AC325" s="16">
        <f t="shared" si="658"/>
        <v>-1541217</v>
      </c>
      <c r="AD325" s="16">
        <f t="shared" si="658"/>
        <v>-946537</v>
      </c>
      <c r="AE325" s="16">
        <f t="shared" si="658"/>
        <v>0</v>
      </c>
      <c r="AF325" s="16">
        <f t="shared" ref="AF325:AL325" si="659">AF323+AF316</f>
        <v>0</v>
      </c>
      <c r="AG325" s="16">
        <f t="shared" si="659"/>
        <v>0</v>
      </c>
      <c r="AH325" s="16">
        <f t="shared" si="659"/>
        <v>0</v>
      </c>
      <c r="AI325" s="16">
        <f t="shared" si="659"/>
        <v>0</v>
      </c>
      <c r="AJ325" s="16">
        <f t="shared" si="659"/>
        <v>0</v>
      </c>
      <c r="AK325" s="16">
        <f t="shared" si="659"/>
        <v>0</v>
      </c>
      <c r="AL325" s="16">
        <f t="shared" si="659"/>
        <v>0</v>
      </c>
      <c r="AM325" s="16">
        <f t="shared" ref="AM325:BB325" si="660">AM323+AM316</f>
        <v>0</v>
      </c>
      <c r="AN325" s="16">
        <f t="shared" si="660"/>
        <v>0</v>
      </c>
      <c r="AO325" s="16">
        <f t="shared" si="660"/>
        <v>0</v>
      </c>
      <c r="AP325" s="16">
        <f t="shared" si="660"/>
        <v>0</v>
      </c>
      <c r="AQ325" s="16">
        <f>AQ323+AQ316</f>
        <v>0</v>
      </c>
      <c r="AR325" s="16">
        <f>AR323+AR316</f>
        <v>1695513</v>
      </c>
      <c r="AS325" s="16">
        <f t="shared" ref="AS325:AY325" si="661">AS323+AS316</f>
        <v>0</v>
      </c>
      <c r="AT325" s="16">
        <f t="shared" si="661"/>
        <v>0</v>
      </c>
      <c r="AU325" s="16">
        <f>AU323+AU316</f>
        <v>0</v>
      </c>
      <c r="AV325" s="16">
        <f t="shared" si="661"/>
        <v>-64729</v>
      </c>
      <c r="AW325" s="16">
        <f t="shared" si="661"/>
        <v>0</v>
      </c>
      <c r="AX325" s="16">
        <f t="shared" si="661"/>
        <v>919331</v>
      </c>
      <c r="AY325" s="16">
        <f t="shared" si="661"/>
        <v>232065</v>
      </c>
      <c r="AZ325" s="16">
        <f>AZ323+AZ316</f>
        <v>0</v>
      </c>
      <c r="BA325" s="16">
        <f t="shared" si="660"/>
        <v>0</v>
      </c>
      <c r="BB325" s="16">
        <f t="shared" si="660"/>
        <v>0</v>
      </c>
      <c r="BC325" s="16">
        <f>BC323+BC316</f>
        <v>0</v>
      </c>
      <c r="BD325" s="16">
        <f>BD323+BD316</f>
        <v>0</v>
      </c>
      <c r="BE325" s="16">
        <f t="shared" ref="BE325:BG325" si="662">BE323+BE316</f>
        <v>0</v>
      </c>
      <c r="BF325" s="16">
        <f t="shared" si="662"/>
        <v>0</v>
      </c>
      <c r="BG325" s="16">
        <f t="shared" si="662"/>
        <v>0</v>
      </c>
      <c r="BH325" s="16">
        <f t="shared" ref="BH325:BL325" si="663">BH323+BH316</f>
        <v>5661884</v>
      </c>
      <c r="BI325" s="16">
        <f t="shared" si="663"/>
        <v>0</v>
      </c>
      <c r="BJ325" s="16">
        <f t="shared" si="663"/>
        <v>0</v>
      </c>
      <c r="BK325" s="16">
        <f t="shared" si="663"/>
        <v>0</v>
      </c>
      <c r="BL325" s="16">
        <f t="shared" si="663"/>
        <v>0</v>
      </c>
    </row>
    <row r="326" spans="1:64" ht="14.1" customHeight="1">
      <c r="A326" s="379">
        <f t="shared" si="589"/>
        <v>320</v>
      </c>
      <c r="B326" s="129"/>
      <c r="C326" s="129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</row>
    <row r="327" spans="1:64" ht="14.1" customHeight="1">
      <c r="A327" s="379">
        <f t="shared" si="589"/>
        <v>321</v>
      </c>
      <c r="B327" s="13" t="s">
        <v>210</v>
      </c>
      <c r="C327" s="13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</row>
    <row r="328" spans="1:64" ht="14.1" customHeight="1">
      <c r="A328" s="379">
        <f t="shared" si="589"/>
        <v>322</v>
      </c>
      <c r="B328" s="22" t="s">
        <v>211</v>
      </c>
      <c r="C328" s="38">
        <f t="shared" ref="C328:C339" si="664">SUM(D328:BI328)</f>
        <v>-8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f>-3-5</f>
        <v>-8</v>
      </c>
      <c r="AE328" s="10">
        <v>0</v>
      </c>
      <c r="AF328" s="10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  <c r="AM328" s="10">
        <v>0</v>
      </c>
      <c r="AN328" s="10">
        <v>0</v>
      </c>
      <c r="AO328" s="10">
        <v>0</v>
      </c>
      <c r="AP328" s="10">
        <v>0</v>
      </c>
      <c r="AQ328" s="10">
        <v>0</v>
      </c>
      <c r="AR328" s="10">
        <v>0</v>
      </c>
      <c r="AS328" s="10">
        <v>0</v>
      </c>
      <c r="AT328" s="10">
        <v>0</v>
      </c>
      <c r="AU328" s="10">
        <v>0</v>
      </c>
      <c r="AV328" s="10">
        <v>0</v>
      </c>
      <c r="AW328" s="10">
        <v>0</v>
      </c>
      <c r="AX328" s="10">
        <v>0</v>
      </c>
      <c r="AY328" s="10">
        <v>0</v>
      </c>
      <c r="AZ328" s="10">
        <v>0</v>
      </c>
      <c r="BA328" s="10">
        <v>0</v>
      </c>
      <c r="BB328" s="10">
        <v>0</v>
      </c>
      <c r="BC328" s="10">
        <v>0</v>
      </c>
      <c r="BD328" s="10">
        <v>0</v>
      </c>
      <c r="BE328" s="10">
        <v>0</v>
      </c>
      <c r="BF328" s="10">
        <v>0</v>
      </c>
      <c r="BG328" s="10">
        <v>0</v>
      </c>
      <c r="BH328" s="10">
        <v>0</v>
      </c>
      <c r="BI328" s="10">
        <v>0</v>
      </c>
      <c r="BJ328" s="10">
        <v>0</v>
      </c>
      <c r="BK328" s="10">
        <v>0</v>
      </c>
      <c r="BL328" s="10">
        <v>0</v>
      </c>
    </row>
    <row r="329" spans="1:64" ht="14.1" customHeight="1">
      <c r="A329" s="379">
        <f t="shared" si="589"/>
        <v>323</v>
      </c>
      <c r="B329" s="22" t="s">
        <v>321</v>
      </c>
      <c r="C329" s="38">
        <f t="shared" si="664"/>
        <v>136124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f>73915+95372</f>
        <v>169287</v>
      </c>
      <c r="AB329" s="10">
        <v>0</v>
      </c>
      <c r="AC329" s="10"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0</v>
      </c>
      <c r="AQ329" s="10">
        <v>0</v>
      </c>
      <c r="AR329" s="10">
        <v>0</v>
      </c>
      <c r="AS329" s="10">
        <v>0</v>
      </c>
      <c r="AT329" s="10">
        <f>-150650+117487</f>
        <v>-33163</v>
      </c>
      <c r="AU329" s="10">
        <v>0</v>
      </c>
      <c r="AV329" s="10">
        <v>0</v>
      </c>
      <c r="AW329" s="10">
        <v>0</v>
      </c>
      <c r="AX329" s="10">
        <v>0</v>
      </c>
      <c r="AY329" s="10">
        <v>0</v>
      </c>
      <c r="AZ329" s="10">
        <v>0</v>
      </c>
      <c r="BA329" s="10">
        <v>0</v>
      </c>
      <c r="BB329" s="10">
        <v>0</v>
      </c>
      <c r="BC329" s="10">
        <v>0</v>
      </c>
      <c r="BD329" s="10">
        <v>0</v>
      </c>
      <c r="BE329" s="10">
        <v>0</v>
      </c>
      <c r="BF329" s="10">
        <v>0</v>
      </c>
      <c r="BG329" s="10">
        <v>0</v>
      </c>
      <c r="BH329" s="10">
        <v>0</v>
      </c>
      <c r="BI329" s="10">
        <v>0</v>
      </c>
      <c r="BJ329" s="10">
        <v>0</v>
      </c>
      <c r="BK329" s="10">
        <v>0</v>
      </c>
      <c r="BL329" s="10">
        <v>0</v>
      </c>
    </row>
    <row r="330" spans="1:64" ht="14.1" customHeight="1">
      <c r="A330" s="379">
        <f t="shared" si="589"/>
        <v>324</v>
      </c>
      <c r="B330" s="22" t="s">
        <v>1058</v>
      </c>
      <c r="C330" s="38">
        <f t="shared" si="664"/>
        <v>0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</row>
    <row r="331" spans="1:64" ht="14.1" customHeight="1">
      <c r="A331" s="379">
        <f>+A329+1</f>
        <v>324</v>
      </c>
      <c r="B331" s="22" t="s">
        <v>212</v>
      </c>
      <c r="C331" s="38">
        <f t="shared" si="664"/>
        <v>-221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f>-204-17</f>
        <v>-221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0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0">
        <v>0</v>
      </c>
      <c r="AZ331" s="10">
        <v>0</v>
      </c>
      <c r="BA331" s="10">
        <v>0</v>
      </c>
      <c r="BB331" s="10">
        <v>0</v>
      </c>
      <c r="BC331" s="10">
        <v>0</v>
      </c>
      <c r="BD331" s="10">
        <v>0</v>
      </c>
      <c r="BE331" s="10">
        <v>0</v>
      </c>
      <c r="BF331" s="10">
        <v>0</v>
      </c>
      <c r="BG331" s="10">
        <v>0</v>
      </c>
      <c r="BH331" s="10">
        <v>0</v>
      </c>
      <c r="BI331" s="10">
        <v>0</v>
      </c>
      <c r="BJ331" s="10">
        <v>0</v>
      </c>
      <c r="BK331" s="10">
        <v>0</v>
      </c>
      <c r="BL331" s="10">
        <v>0</v>
      </c>
    </row>
    <row r="332" spans="1:64" s="21" customFormat="1" ht="14.1" customHeight="1">
      <c r="A332" s="379">
        <f t="shared" si="589"/>
        <v>325</v>
      </c>
      <c r="B332" s="22" t="s">
        <v>213</v>
      </c>
      <c r="C332" s="38">
        <f t="shared" si="664"/>
        <v>0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0</v>
      </c>
      <c r="AS332" s="10">
        <v>0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0">
        <v>0</v>
      </c>
      <c r="AZ332" s="10">
        <v>0</v>
      </c>
      <c r="BA332" s="10">
        <v>0</v>
      </c>
      <c r="BB332" s="10">
        <v>0</v>
      </c>
      <c r="BC332" s="10">
        <v>0</v>
      </c>
      <c r="BD332" s="10">
        <v>0</v>
      </c>
      <c r="BE332" s="10">
        <v>0</v>
      </c>
      <c r="BF332" s="10">
        <v>0</v>
      </c>
      <c r="BG332" s="10">
        <v>0</v>
      </c>
      <c r="BH332" s="10">
        <v>0</v>
      </c>
      <c r="BI332" s="10">
        <v>0</v>
      </c>
      <c r="BJ332" s="10">
        <v>0</v>
      </c>
      <c r="BK332" s="10">
        <v>0</v>
      </c>
      <c r="BL332" s="10">
        <v>0</v>
      </c>
    </row>
    <row r="333" spans="1:64" s="21" customFormat="1" ht="14.1" customHeight="1">
      <c r="A333" s="379">
        <f t="shared" si="589"/>
        <v>326</v>
      </c>
      <c r="B333" s="22" t="s">
        <v>214</v>
      </c>
      <c r="C333" s="38">
        <f t="shared" si="664"/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0</v>
      </c>
      <c r="AO333" s="10">
        <v>0</v>
      </c>
      <c r="AP333" s="10">
        <v>0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0</v>
      </c>
      <c r="AX333" s="10">
        <v>0</v>
      </c>
      <c r="AY333" s="10">
        <v>0</v>
      </c>
      <c r="AZ333" s="10">
        <v>0</v>
      </c>
      <c r="BA333" s="10">
        <v>0</v>
      </c>
      <c r="BB333" s="10">
        <v>0</v>
      </c>
      <c r="BC333" s="10">
        <v>0</v>
      </c>
      <c r="BD333" s="10">
        <v>0</v>
      </c>
      <c r="BE333" s="10">
        <v>0</v>
      </c>
      <c r="BF333" s="10">
        <v>0</v>
      </c>
      <c r="BG333" s="10">
        <v>0</v>
      </c>
      <c r="BH333" s="10">
        <v>0</v>
      </c>
      <c r="BI333" s="10">
        <v>0</v>
      </c>
      <c r="BJ333" s="10">
        <v>0</v>
      </c>
      <c r="BK333" s="10">
        <v>0</v>
      </c>
      <c r="BL333" s="10">
        <v>0</v>
      </c>
    </row>
    <row r="334" spans="1:64" s="21" customFormat="1" ht="14.1" customHeight="1">
      <c r="A334" s="379">
        <f t="shared" ref="A334:A397" si="665">+A333+1</f>
        <v>327</v>
      </c>
      <c r="B334" s="22" t="s">
        <v>824</v>
      </c>
      <c r="C334" s="38">
        <f t="shared" si="664"/>
        <v>12216452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f>10039097+1897176+280179</f>
        <v>12216452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0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0">
        <v>0</v>
      </c>
      <c r="AZ334" s="10">
        <v>0</v>
      </c>
      <c r="BA334" s="10">
        <v>0</v>
      </c>
      <c r="BB334" s="10">
        <v>0</v>
      </c>
      <c r="BC334" s="10">
        <v>0</v>
      </c>
      <c r="BD334" s="10">
        <v>0</v>
      </c>
      <c r="BE334" s="10">
        <v>0</v>
      </c>
      <c r="BF334" s="10">
        <v>0</v>
      </c>
      <c r="BG334" s="10">
        <v>0</v>
      </c>
      <c r="BH334" s="10">
        <v>0</v>
      </c>
      <c r="BI334" s="10">
        <v>0</v>
      </c>
      <c r="BJ334" s="10">
        <v>0</v>
      </c>
      <c r="BK334" s="10">
        <v>0</v>
      </c>
      <c r="BL334" s="10">
        <v>0</v>
      </c>
    </row>
    <row r="335" spans="1:64" s="21" customFormat="1" ht="14.1" customHeight="1">
      <c r="A335" s="379">
        <f t="shared" si="665"/>
        <v>328</v>
      </c>
      <c r="B335" s="22" t="s">
        <v>877</v>
      </c>
      <c r="C335" s="38">
        <f t="shared" si="664"/>
        <v>9878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9878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0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0</v>
      </c>
      <c r="AY335" s="10">
        <v>0</v>
      </c>
      <c r="AZ335" s="10">
        <v>0</v>
      </c>
      <c r="BA335" s="10">
        <v>0</v>
      </c>
      <c r="BB335" s="10">
        <v>0</v>
      </c>
      <c r="BC335" s="10">
        <v>0</v>
      </c>
      <c r="BD335" s="10">
        <v>0</v>
      </c>
      <c r="BE335" s="10">
        <v>0</v>
      </c>
      <c r="BF335" s="10">
        <v>0</v>
      </c>
      <c r="BG335" s="10">
        <v>0</v>
      </c>
      <c r="BH335" s="10">
        <v>0</v>
      </c>
      <c r="BI335" s="10">
        <v>0</v>
      </c>
      <c r="BJ335" s="10">
        <v>0</v>
      </c>
      <c r="BK335" s="10">
        <v>0</v>
      </c>
      <c r="BL335" s="10">
        <v>0</v>
      </c>
    </row>
    <row r="336" spans="1:64" s="21" customFormat="1" ht="14.1" customHeight="1">
      <c r="A336" s="379">
        <f t="shared" si="665"/>
        <v>329</v>
      </c>
      <c r="B336" s="22" t="s">
        <v>823</v>
      </c>
      <c r="C336" s="38">
        <f t="shared" si="664"/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0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0</v>
      </c>
      <c r="AQ336" s="10">
        <v>0</v>
      </c>
      <c r="AR336" s="10">
        <v>0</v>
      </c>
      <c r="AS336" s="10">
        <v>0</v>
      </c>
      <c r="AT336" s="10">
        <v>0</v>
      </c>
      <c r="AU336" s="10">
        <v>0</v>
      </c>
      <c r="AV336" s="10">
        <v>0</v>
      </c>
      <c r="AW336" s="10">
        <v>0</v>
      </c>
      <c r="AX336" s="10">
        <v>0</v>
      </c>
      <c r="AY336" s="10">
        <v>0</v>
      </c>
      <c r="AZ336" s="10">
        <v>0</v>
      </c>
      <c r="BA336" s="10">
        <v>0</v>
      </c>
      <c r="BB336" s="10">
        <v>0</v>
      </c>
      <c r="BC336" s="10">
        <v>0</v>
      </c>
      <c r="BD336" s="10">
        <v>0</v>
      </c>
      <c r="BE336" s="10">
        <v>0</v>
      </c>
      <c r="BF336" s="10">
        <v>0</v>
      </c>
      <c r="BG336" s="10">
        <v>0</v>
      </c>
      <c r="BH336" s="10">
        <v>0</v>
      </c>
      <c r="BI336" s="10">
        <v>0</v>
      </c>
      <c r="BJ336" s="10">
        <v>0</v>
      </c>
      <c r="BK336" s="10">
        <v>0</v>
      </c>
      <c r="BL336" s="10">
        <v>0</v>
      </c>
    </row>
    <row r="337" spans="1:64" s="21" customFormat="1" ht="14.1" customHeight="1">
      <c r="A337" s="379">
        <f t="shared" si="665"/>
        <v>330</v>
      </c>
      <c r="B337" s="22" t="s">
        <v>878</v>
      </c>
      <c r="C337" s="38">
        <f t="shared" si="664"/>
        <v>14532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14532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0</v>
      </c>
      <c r="AP337" s="10">
        <v>0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0">
        <v>0</v>
      </c>
      <c r="AZ337" s="10">
        <v>0</v>
      </c>
      <c r="BA337" s="10">
        <v>0</v>
      </c>
      <c r="BB337" s="10">
        <v>0</v>
      </c>
      <c r="BC337" s="10">
        <v>0</v>
      </c>
      <c r="BD337" s="10">
        <v>0</v>
      </c>
      <c r="BE337" s="10">
        <v>0</v>
      </c>
      <c r="BF337" s="10">
        <v>0</v>
      </c>
      <c r="BG337" s="10">
        <v>0</v>
      </c>
      <c r="BH337" s="10">
        <v>0</v>
      </c>
      <c r="BI337" s="10">
        <v>0</v>
      </c>
      <c r="BJ337" s="10">
        <v>0</v>
      </c>
      <c r="BK337" s="10">
        <v>0</v>
      </c>
      <c r="BL337" s="10">
        <v>0</v>
      </c>
    </row>
    <row r="338" spans="1:64" s="21" customFormat="1" ht="14.1" customHeight="1">
      <c r="A338" s="379">
        <f t="shared" si="665"/>
        <v>331</v>
      </c>
      <c r="B338" s="22" t="s">
        <v>215</v>
      </c>
      <c r="C338" s="38">
        <f t="shared" si="664"/>
        <v>2953276.29</v>
      </c>
      <c r="D338" s="10">
        <v>0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>-6428996+9382251</f>
        <v>2953255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21.29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f>1-1</f>
        <v>0</v>
      </c>
      <c r="AE338" s="10">
        <v>0</v>
      </c>
      <c r="AF338" s="10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  <c r="AM338" s="10">
        <v>0</v>
      </c>
      <c r="AN338" s="10">
        <v>0</v>
      </c>
      <c r="AO338" s="10">
        <v>0</v>
      </c>
      <c r="AP338" s="10">
        <v>0</v>
      </c>
      <c r="AQ338" s="10">
        <v>0</v>
      </c>
      <c r="AR338" s="10">
        <v>0</v>
      </c>
      <c r="AS338" s="10">
        <v>0</v>
      </c>
      <c r="AT338" s="10">
        <v>0</v>
      </c>
      <c r="AU338" s="10">
        <v>0</v>
      </c>
      <c r="AV338" s="10">
        <v>0</v>
      </c>
      <c r="AW338" s="10">
        <v>0</v>
      </c>
      <c r="AX338" s="10">
        <v>0</v>
      </c>
      <c r="AY338" s="10">
        <v>0</v>
      </c>
      <c r="AZ338" s="10">
        <v>0</v>
      </c>
      <c r="BA338" s="10">
        <v>0</v>
      </c>
      <c r="BB338" s="10">
        <v>0</v>
      </c>
      <c r="BC338" s="10">
        <v>0</v>
      </c>
      <c r="BD338" s="10">
        <v>0</v>
      </c>
      <c r="BE338" s="10">
        <v>0</v>
      </c>
      <c r="BF338" s="10">
        <v>0</v>
      </c>
      <c r="BG338" s="10">
        <v>0</v>
      </c>
      <c r="BH338" s="10">
        <v>0</v>
      </c>
      <c r="BI338" s="10">
        <v>0</v>
      </c>
      <c r="BJ338" s="10">
        <v>0</v>
      </c>
      <c r="BK338" s="10">
        <v>0</v>
      </c>
      <c r="BL338" s="10">
        <v>0</v>
      </c>
    </row>
    <row r="339" spans="1:64" ht="14.1" customHeight="1">
      <c r="A339" s="379">
        <f t="shared" si="665"/>
        <v>332</v>
      </c>
      <c r="B339" s="56" t="s">
        <v>216</v>
      </c>
      <c r="C339" s="38">
        <f t="shared" si="664"/>
        <v>0</v>
      </c>
      <c r="D339" s="43">
        <v>0</v>
      </c>
      <c r="E339" s="43">
        <v>0</v>
      </c>
      <c r="F339" s="43">
        <v>0</v>
      </c>
      <c r="G339" s="43">
        <v>0</v>
      </c>
      <c r="H339" s="43">
        <v>0</v>
      </c>
      <c r="I339" s="43">
        <v>0</v>
      </c>
      <c r="J339" s="43">
        <v>0</v>
      </c>
      <c r="K339" s="43">
        <v>0</v>
      </c>
      <c r="L339" s="43">
        <v>0</v>
      </c>
      <c r="M339" s="43">
        <v>0</v>
      </c>
      <c r="N339" s="43">
        <v>0</v>
      </c>
      <c r="O339" s="43">
        <v>0</v>
      </c>
      <c r="P339" s="43">
        <v>0</v>
      </c>
      <c r="Q339" s="43">
        <v>0</v>
      </c>
      <c r="R339" s="43">
        <v>0</v>
      </c>
      <c r="S339" s="43">
        <v>0</v>
      </c>
      <c r="T339" s="43">
        <v>0</v>
      </c>
      <c r="U339" s="43">
        <v>0</v>
      </c>
      <c r="V339" s="43">
        <v>0</v>
      </c>
      <c r="W339" s="43">
        <v>0</v>
      </c>
      <c r="X339" s="43">
        <v>0</v>
      </c>
      <c r="Y339" s="43">
        <v>0</v>
      </c>
      <c r="Z339" s="43">
        <v>0</v>
      </c>
      <c r="AA339" s="43">
        <v>0</v>
      </c>
      <c r="AB339" s="43">
        <v>0</v>
      </c>
      <c r="AC339" s="43">
        <v>0</v>
      </c>
      <c r="AD339" s="43">
        <v>0</v>
      </c>
      <c r="AE339" s="43">
        <v>0</v>
      </c>
      <c r="AF339" s="43">
        <v>0</v>
      </c>
      <c r="AG339" s="43">
        <v>0</v>
      </c>
      <c r="AH339" s="43">
        <v>0</v>
      </c>
      <c r="AI339" s="43">
        <v>0</v>
      </c>
      <c r="AJ339" s="43">
        <v>0</v>
      </c>
      <c r="AK339" s="43">
        <v>0</v>
      </c>
      <c r="AL339" s="43">
        <v>0</v>
      </c>
      <c r="AM339" s="43">
        <v>0</v>
      </c>
      <c r="AN339" s="43">
        <v>0</v>
      </c>
      <c r="AO339" s="43">
        <v>0</v>
      </c>
      <c r="AP339" s="43">
        <v>0</v>
      </c>
      <c r="AQ339" s="43">
        <v>0</v>
      </c>
      <c r="AR339" s="43">
        <v>0</v>
      </c>
      <c r="AS339" s="43">
        <v>0</v>
      </c>
      <c r="AT339" s="43">
        <v>0</v>
      </c>
      <c r="AU339" s="43">
        <v>0</v>
      </c>
      <c r="AV339" s="43">
        <v>0</v>
      </c>
      <c r="AW339" s="43">
        <v>0</v>
      </c>
      <c r="AX339" s="43">
        <v>0</v>
      </c>
      <c r="AY339" s="43">
        <v>0</v>
      </c>
      <c r="AZ339" s="43">
        <v>0</v>
      </c>
      <c r="BA339" s="43">
        <v>0</v>
      </c>
      <c r="BB339" s="43">
        <v>0</v>
      </c>
      <c r="BC339" s="43">
        <v>0</v>
      </c>
      <c r="BD339" s="43">
        <v>0</v>
      </c>
      <c r="BE339" s="43">
        <v>0</v>
      </c>
      <c r="BF339" s="43">
        <v>0</v>
      </c>
      <c r="BG339" s="43">
        <v>0</v>
      </c>
      <c r="BH339" s="43">
        <v>0</v>
      </c>
      <c r="BI339" s="43">
        <v>0</v>
      </c>
      <c r="BJ339" s="43">
        <v>0</v>
      </c>
      <c r="BK339" s="43">
        <v>0</v>
      </c>
      <c r="BL339" s="43">
        <v>0</v>
      </c>
    </row>
    <row r="340" spans="1:64" ht="14.1" customHeight="1">
      <c r="A340" s="379">
        <f t="shared" si="665"/>
        <v>333</v>
      </c>
      <c r="B340" s="20" t="s">
        <v>217</v>
      </c>
      <c r="C340" s="85">
        <f t="shared" ref="C340:K340" si="666">SUM(C328:C339)</f>
        <v>15330033.289999999</v>
      </c>
      <c r="D340" s="85">
        <f t="shared" si="666"/>
        <v>0</v>
      </c>
      <c r="E340" s="85">
        <f t="shared" si="666"/>
        <v>0</v>
      </c>
      <c r="F340" s="85">
        <f t="shared" si="666"/>
        <v>0</v>
      </c>
      <c r="G340" s="85">
        <f t="shared" si="666"/>
        <v>0</v>
      </c>
      <c r="H340" s="85">
        <f t="shared" si="666"/>
        <v>0</v>
      </c>
      <c r="I340" s="85">
        <f t="shared" si="666"/>
        <v>0</v>
      </c>
      <c r="J340" s="85">
        <f t="shared" si="666"/>
        <v>0</v>
      </c>
      <c r="K340" s="85">
        <f t="shared" si="666"/>
        <v>2953255</v>
      </c>
      <c r="L340" s="85">
        <f t="shared" ref="L340:Y340" si="667">SUM(L328:L339)</f>
        <v>0</v>
      </c>
      <c r="M340" s="85">
        <f t="shared" si="667"/>
        <v>0</v>
      </c>
      <c r="N340" s="85">
        <f t="shared" si="667"/>
        <v>0</v>
      </c>
      <c r="O340" s="85">
        <f t="shared" si="667"/>
        <v>0</v>
      </c>
      <c r="P340" s="85">
        <f t="shared" si="667"/>
        <v>0</v>
      </c>
      <c r="Q340" s="85">
        <f t="shared" si="667"/>
        <v>0</v>
      </c>
      <c r="R340" s="85">
        <f t="shared" si="667"/>
        <v>0</v>
      </c>
      <c r="S340" s="85">
        <f t="shared" si="667"/>
        <v>0</v>
      </c>
      <c r="T340" s="85">
        <f>SUM(T328:T339)</f>
        <v>0</v>
      </c>
      <c r="U340" s="85">
        <f t="shared" si="667"/>
        <v>0</v>
      </c>
      <c r="V340" s="85">
        <f t="shared" si="667"/>
        <v>0</v>
      </c>
      <c r="W340" s="85">
        <f t="shared" si="667"/>
        <v>21.29</v>
      </c>
      <c r="X340" s="85">
        <f t="shared" si="667"/>
        <v>0</v>
      </c>
      <c r="Y340" s="85">
        <f t="shared" si="667"/>
        <v>0</v>
      </c>
      <c r="Z340" s="85">
        <f t="shared" ref="Z340:AE340" si="668">SUM(Z328:Z339)</f>
        <v>12240862</v>
      </c>
      <c r="AA340" s="85">
        <f t="shared" si="668"/>
        <v>169287</v>
      </c>
      <c r="AB340" s="85">
        <f t="shared" si="668"/>
        <v>0</v>
      </c>
      <c r="AC340" s="85">
        <f t="shared" si="668"/>
        <v>0</v>
      </c>
      <c r="AD340" s="85">
        <f t="shared" si="668"/>
        <v>-229</v>
      </c>
      <c r="AE340" s="85">
        <f t="shared" si="668"/>
        <v>0</v>
      </c>
      <c r="AF340" s="85">
        <f t="shared" ref="AF340:AL340" si="669">SUM(AF328:AF339)</f>
        <v>0</v>
      </c>
      <c r="AG340" s="85">
        <f t="shared" si="669"/>
        <v>0</v>
      </c>
      <c r="AH340" s="85">
        <f t="shared" si="669"/>
        <v>0</v>
      </c>
      <c r="AI340" s="85">
        <f t="shared" si="669"/>
        <v>0</v>
      </c>
      <c r="AJ340" s="85">
        <f t="shared" si="669"/>
        <v>0</v>
      </c>
      <c r="AK340" s="85">
        <f t="shared" si="669"/>
        <v>0</v>
      </c>
      <c r="AL340" s="85">
        <f t="shared" si="669"/>
        <v>0</v>
      </c>
      <c r="AM340" s="85">
        <f t="shared" ref="AM340:BB340" si="670">SUM(AM328:AM339)</f>
        <v>0</v>
      </c>
      <c r="AN340" s="85">
        <f t="shared" si="670"/>
        <v>0</v>
      </c>
      <c r="AO340" s="85">
        <f t="shared" si="670"/>
        <v>0</v>
      </c>
      <c r="AP340" s="85">
        <f t="shared" si="670"/>
        <v>0</v>
      </c>
      <c r="AQ340" s="85">
        <f>SUM(AQ328:AQ339)</f>
        <v>0</v>
      </c>
      <c r="AR340" s="85">
        <f>SUM(AR328:AR339)</f>
        <v>0</v>
      </c>
      <c r="AS340" s="85">
        <f t="shared" ref="AS340:AY340" si="671">SUM(AS328:AS339)</f>
        <v>0</v>
      </c>
      <c r="AT340" s="85">
        <f t="shared" si="671"/>
        <v>-33163</v>
      </c>
      <c r="AU340" s="85">
        <f>SUM(AU328:AU339)</f>
        <v>0</v>
      </c>
      <c r="AV340" s="85">
        <f t="shared" si="671"/>
        <v>0</v>
      </c>
      <c r="AW340" s="85">
        <f t="shared" si="671"/>
        <v>0</v>
      </c>
      <c r="AX340" s="85">
        <f t="shared" si="671"/>
        <v>0</v>
      </c>
      <c r="AY340" s="85">
        <f t="shared" si="671"/>
        <v>0</v>
      </c>
      <c r="AZ340" s="85">
        <f>SUM(AZ328:AZ339)</f>
        <v>0</v>
      </c>
      <c r="BA340" s="85">
        <f t="shared" si="670"/>
        <v>0</v>
      </c>
      <c r="BB340" s="85">
        <f t="shared" si="670"/>
        <v>0</v>
      </c>
      <c r="BC340" s="85">
        <f>SUM(BC328:BC339)</f>
        <v>0</v>
      </c>
      <c r="BD340" s="85">
        <f>SUM(BD328:BD339)</f>
        <v>0</v>
      </c>
      <c r="BE340" s="85">
        <f t="shared" ref="BE340:BG340" si="672">SUM(BE328:BE339)</f>
        <v>0</v>
      </c>
      <c r="BF340" s="85">
        <f t="shared" si="672"/>
        <v>0</v>
      </c>
      <c r="BG340" s="85">
        <f t="shared" si="672"/>
        <v>0</v>
      </c>
      <c r="BH340" s="85">
        <f t="shared" ref="BH340:BL340" si="673">SUM(BH328:BH339)</f>
        <v>0</v>
      </c>
      <c r="BI340" s="85">
        <f t="shared" si="673"/>
        <v>0</v>
      </c>
      <c r="BJ340" s="85">
        <f t="shared" si="673"/>
        <v>0</v>
      </c>
      <c r="BK340" s="85">
        <f t="shared" si="673"/>
        <v>0</v>
      </c>
      <c r="BL340" s="85">
        <f t="shared" si="673"/>
        <v>0</v>
      </c>
    </row>
    <row r="341" spans="1:64" ht="14.1" customHeight="1">
      <c r="A341" s="379">
        <f t="shared" si="665"/>
        <v>334</v>
      </c>
      <c r="B341" s="129"/>
      <c r="C341" s="163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</row>
    <row r="342" spans="1:64" ht="14.1" customHeight="1">
      <c r="A342" s="379">
        <f t="shared" si="665"/>
        <v>335</v>
      </c>
      <c r="B342" s="20" t="s">
        <v>218</v>
      </c>
      <c r="C342" s="23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</row>
    <row r="343" spans="1:64" ht="14.1" customHeight="1">
      <c r="A343" s="379">
        <f t="shared" si="665"/>
        <v>336</v>
      </c>
      <c r="B343" s="22" t="s">
        <v>219</v>
      </c>
      <c r="C343" s="38">
        <f t="shared" ref="C343:C349" si="674">SUM(D343:BI343)</f>
        <v>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0">
        <v>0</v>
      </c>
      <c r="AF343" s="10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  <c r="AM343" s="10">
        <v>0</v>
      </c>
      <c r="AN343" s="10">
        <v>0</v>
      </c>
      <c r="AO343" s="10">
        <v>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0</v>
      </c>
      <c r="AV343" s="10">
        <v>0</v>
      </c>
      <c r="AW343" s="10">
        <v>0</v>
      </c>
      <c r="AX343" s="10">
        <v>0</v>
      </c>
      <c r="AY343" s="10">
        <v>0</v>
      </c>
      <c r="AZ343" s="10">
        <v>0</v>
      </c>
      <c r="BA343" s="10">
        <v>0</v>
      </c>
      <c r="BB343" s="10">
        <v>0</v>
      </c>
      <c r="BC343" s="10">
        <v>0</v>
      </c>
      <c r="BD343" s="10">
        <v>0</v>
      </c>
      <c r="BE343" s="10">
        <v>0</v>
      </c>
      <c r="BF343" s="10">
        <v>0</v>
      </c>
      <c r="BG343" s="10">
        <v>0</v>
      </c>
      <c r="BH343" s="10">
        <v>0</v>
      </c>
      <c r="BI343" s="10">
        <v>0</v>
      </c>
      <c r="BJ343" s="10">
        <v>0</v>
      </c>
      <c r="BK343" s="10">
        <v>0</v>
      </c>
      <c r="BL343" s="10">
        <v>0</v>
      </c>
    </row>
    <row r="344" spans="1:64" ht="14.1" customHeight="1">
      <c r="A344" s="379">
        <f t="shared" si="665"/>
        <v>337</v>
      </c>
      <c r="B344" s="22" t="s">
        <v>220</v>
      </c>
      <c r="C344" s="38">
        <f t="shared" si="674"/>
        <v>0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0</v>
      </c>
      <c r="AP344" s="10">
        <v>0</v>
      </c>
      <c r="AQ344" s="10">
        <v>0</v>
      </c>
      <c r="AR344" s="10">
        <v>0</v>
      </c>
      <c r="AS344" s="10">
        <v>0</v>
      </c>
      <c r="AT344" s="10">
        <v>0</v>
      </c>
      <c r="AU344" s="10">
        <v>0</v>
      </c>
      <c r="AV344" s="10">
        <v>0</v>
      </c>
      <c r="AW344" s="10">
        <v>0</v>
      </c>
      <c r="AX344" s="10">
        <v>0</v>
      </c>
      <c r="AY344" s="10">
        <v>0</v>
      </c>
      <c r="AZ344" s="10">
        <v>0</v>
      </c>
      <c r="BA344" s="10">
        <v>0</v>
      </c>
      <c r="BB344" s="10">
        <v>0</v>
      </c>
      <c r="BC344" s="10">
        <v>0</v>
      </c>
      <c r="BD344" s="10">
        <v>0</v>
      </c>
      <c r="BE344" s="10">
        <v>0</v>
      </c>
      <c r="BF344" s="10">
        <v>0</v>
      </c>
      <c r="BG344" s="10">
        <v>0</v>
      </c>
      <c r="BH344" s="10">
        <v>0</v>
      </c>
      <c r="BI344" s="10">
        <v>0</v>
      </c>
      <c r="BJ344" s="10">
        <v>0</v>
      </c>
      <c r="BK344" s="10">
        <v>0</v>
      </c>
      <c r="BL344" s="10">
        <v>0</v>
      </c>
    </row>
    <row r="345" spans="1:64" ht="14.1" customHeight="1">
      <c r="A345" s="379">
        <f t="shared" si="665"/>
        <v>338</v>
      </c>
      <c r="B345" s="22" t="s">
        <v>221</v>
      </c>
      <c r="C345" s="38">
        <f t="shared" si="674"/>
        <v>-228.47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-56.47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f>-74-98</f>
        <v>-172</v>
      </c>
      <c r="AE345" s="10">
        <v>0</v>
      </c>
      <c r="AF345" s="10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  <c r="AM345" s="10">
        <v>0</v>
      </c>
      <c r="AN345" s="10">
        <v>0</v>
      </c>
      <c r="AO345" s="10">
        <v>0</v>
      </c>
      <c r="AP345" s="10">
        <v>0</v>
      </c>
      <c r="AQ345" s="10">
        <v>0</v>
      </c>
      <c r="AR345" s="10">
        <v>0</v>
      </c>
      <c r="AS345" s="10">
        <v>0</v>
      </c>
      <c r="AT345" s="10">
        <v>0</v>
      </c>
      <c r="AU345" s="10">
        <v>0</v>
      </c>
      <c r="AV345" s="10">
        <v>0</v>
      </c>
      <c r="AW345" s="10">
        <v>0</v>
      </c>
      <c r="AX345" s="10">
        <v>0</v>
      </c>
      <c r="AY345" s="10">
        <v>0</v>
      </c>
      <c r="AZ345" s="10">
        <v>0</v>
      </c>
      <c r="BA345" s="10">
        <v>0</v>
      </c>
      <c r="BB345" s="10">
        <v>0</v>
      </c>
      <c r="BC345" s="10">
        <v>0</v>
      </c>
      <c r="BD345" s="10">
        <v>0</v>
      </c>
      <c r="BE345" s="10">
        <v>0</v>
      </c>
      <c r="BF345" s="10">
        <v>0</v>
      </c>
      <c r="BG345" s="10">
        <v>0</v>
      </c>
      <c r="BH345" s="10">
        <v>0</v>
      </c>
      <c r="BI345" s="10">
        <v>0</v>
      </c>
      <c r="BJ345" s="10">
        <v>0</v>
      </c>
      <c r="BK345" s="10">
        <v>0</v>
      </c>
      <c r="BL345" s="10">
        <v>0</v>
      </c>
    </row>
    <row r="346" spans="1:64" ht="14.1" customHeight="1">
      <c r="A346" s="379">
        <f t="shared" si="665"/>
        <v>339</v>
      </c>
      <c r="B346" s="22" t="s">
        <v>222</v>
      </c>
      <c r="C346" s="38">
        <f t="shared" si="674"/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0">
        <v>0</v>
      </c>
      <c r="AF346" s="10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10">
        <v>0</v>
      </c>
      <c r="AR346" s="10">
        <v>0</v>
      </c>
      <c r="AS346" s="10">
        <v>0</v>
      </c>
      <c r="AT346" s="10">
        <v>0</v>
      </c>
      <c r="AU346" s="10">
        <v>0</v>
      </c>
      <c r="AV346" s="10">
        <v>0</v>
      </c>
      <c r="AW346" s="10">
        <v>0</v>
      </c>
      <c r="AX346" s="10">
        <v>0</v>
      </c>
      <c r="AY346" s="10">
        <v>0</v>
      </c>
      <c r="AZ346" s="10">
        <v>0</v>
      </c>
      <c r="BA346" s="10">
        <v>0</v>
      </c>
      <c r="BB346" s="10">
        <v>0</v>
      </c>
      <c r="BC346" s="10">
        <v>0</v>
      </c>
      <c r="BD346" s="10">
        <v>0</v>
      </c>
      <c r="BE346" s="10">
        <v>0</v>
      </c>
      <c r="BF346" s="10">
        <v>0</v>
      </c>
      <c r="BG346" s="10">
        <v>0</v>
      </c>
      <c r="BH346" s="10">
        <v>0</v>
      </c>
      <c r="BI346" s="10">
        <v>0</v>
      </c>
      <c r="BJ346" s="10">
        <v>0</v>
      </c>
      <c r="BK346" s="10">
        <v>0</v>
      </c>
      <c r="BL346" s="10">
        <v>0</v>
      </c>
    </row>
    <row r="347" spans="1:64" ht="14.1" customHeight="1">
      <c r="A347" s="379">
        <f t="shared" si="665"/>
        <v>340</v>
      </c>
      <c r="B347" s="22" t="s">
        <v>223</v>
      </c>
      <c r="C347" s="38">
        <f t="shared" si="674"/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  <c r="AM347" s="10">
        <v>0</v>
      </c>
      <c r="AN347" s="10">
        <v>0</v>
      </c>
      <c r="AO347" s="10">
        <v>0</v>
      </c>
      <c r="AP347" s="10">
        <v>0</v>
      </c>
      <c r="AQ347" s="10">
        <v>0</v>
      </c>
      <c r="AR347" s="10">
        <v>0</v>
      </c>
      <c r="AS347" s="10">
        <v>0</v>
      </c>
      <c r="AT347" s="10">
        <v>0</v>
      </c>
      <c r="AU347" s="10">
        <v>0</v>
      </c>
      <c r="AV347" s="10">
        <v>0</v>
      </c>
      <c r="AW347" s="10">
        <v>0</v>
      </c>
      <c r="AX347" s="10">
        <v>0</v>
      </c>
      <c r="AY347" s="10">
        <v>0</v>
      </c>
      <c r="AZ347" s="10">
        <v>0</v>
      </c>
      <c r="BA347" s="10">
        <v>0</v>
      </c>
      <c r="BB347" s="10">
        <v>0</v>
      </c>
      <c r="BC347" s="10">
        <v>0</v>
      </c>
      <c r="BD347" s="10">
        <v>0</v>
      </c>
      <c r="BE347" s="10">
        <v>0</v>
      </c>
      <c r="BF347" s="10">
        <v>0</v>
      </c>
      <c r="BG347" s="10">
        <v>0</v>
      </c>
      <c r="BH347" s="10">
        <v>0</v>
      </c>
      <c r="BI347" s="10">
        <v>0</v>
      </c>
      <c r="BJ347" s="10">
        <v>0</v>
      </c>
      <c r="BK347" s="10">
        <v>0</v>
      </c>
      <c r="BL347" s="10">
        <v>0</v>
      </c>
    </row>
    <row r="348" spans="1:64" ht="14.1" customHeight="1">
      <c r="A348" s="379">
        <f t="shared" si="665"/>
        <v>341</v>
      </c>
      <c r="B348" s="22" t="s">
        <v>224</v>
      </c>
      <c r="C348" s="38">
        <f t="shared" si="674"/>
        <v>0</v>
      </c>
      <c r="D348" s="43">
        <v>0</v>
      </c>
      <c r="E348" s="43">
        <v>0</v>
      </c>
      <c r="F348" s="43">
        <v>0</v>
      </c>
      <c r="G348" s="43">
        <v>0</v>
      </c>
      <c r="H348" s="43">
        <v>0</v>
      </c>
      <c r="I348" s="43">
        <v>0</v>
      </c>
      <c r="J348" s="43">
        <v>0</v>
      </c>
      <c r="K348" s="43">
        <v>0</v>
      </c>
      <c r="L348" s="43">
        <v>0</v>
      </c>
      <c r="M348" s="43">
        <v>0</v>
      </c>
      <c r="N348" s="43">
        <v>0</v>
      </c>
      <c r="O348" s="43">
        <v>0</v>
      </c>
      <c r="P348" s="43">
        <v>0</v>
      </c>
      <c r="Q348" s="43">
        <v>0</v>
      </c>
      <c r="R348" s="43">
        <v>0</v>
      </c>
      <c r="S348" s="43">
        <v>0</v>
      </c>
      <c r="T348" s="43">
        <v>0</v>
      </c>
      <c r="U348" s="43">
        <v>0</v>
      </c>
      <c r="V348" s="43">
        <v>0</v>
      </c>
      <c r="W348" s="43">
        <v>0</v>
      </c>
      <c r="X348" s="43">
        <v>0</v>
      </c>
      <c r="Y348" s="43">
        <v>0</v>
      </c>
      <c r="Z348" s="43">
        <v>0</v>
      </c>
      <c r="AA348" s="43">
        <v>0</v>
      </c>
      <c r="AB348" s="43">
        <v>0</v>
      </c>
      <c r="AC348" s="43">
        <v>0</v>
      </c>
      <c r="AD348" s="43">
        <v>0</v>
      </c>
      <c r="AE348" s="43">
        <v>0</v>
      </c>
      <c r="AF348" s="43">
        <v>0</v>
      </c>
      <c r="AG348" s="43">
        <v>0</v>
      </c>
      <c r="AH348" s="43">
        <v>0</v>
      </c>
      <c r="AI348" s="43">
        <v>0</v>
      </c>
      <c r="AJ348" s="43">
        <v>0</v>
      </c>
      <c r="AK348" s="43">
        <v>0</v>
      </c>
      <c r="AL348" s="43">
        <v>0</v>
      </c>
      <c r="AM348" s="43">
        <v>0</v>
      </c>
      <c r="AN348" s="43">
        <v>0</v>
      </c>
      <c r="AO348" s="43">
        <v>0</v>
      </c>
      <c r="AP348" s="43">
        <v>0</v>
      </c>
      <c r="AQ348" s="43">
        <v>0</v>
      </c>
      <c r="AR348" s="43">
        <v>0</v>
      </c>
      <c r="AS348" s="43">
        <v>0</v>
      </c>
      <c r="AT348" s="43">
        <v>0</v>
      </c>
      <c r="AU348" s="43">
        <v>0</v>
      </c>
      <c r="AV348" s="43">
        <v>0</v>
      </c>
      <c r="AW348" s="43">
        <v>0</v>
      </c>
      <c r="AX348" s="43">
        <v>0</v>
      </c>
      <c r="AY348" s="43">
        <v>0</v>
      </c>
      <c r="AZ348" s="43">
        <v>0</v>
      </c>
      <c r="BA348" s="43">
        <v>0</v>
      </c>
      <c r="BB348" s="43">
        <v>0</v>
      </c>
      <c r="BC348" s="43">
        <v>0</v>
      </c>
      <c r="BD348" s="43">
        <v>0</v>
      </c>
      <c r="BE348" s="43">
        <v>0</v>
      </c>
      <c r="BF348" s="43">
        <v>0</v>
      </c>
      <c r="BG348" s="43">
        <v>0</v>
      </c>
      <c r="BH348" s="43">
        <v>0</v>
      </c>
      <c r="BI348" s="43">
        <v>0</v>
      </c>
      <c r="BJ348" s="43">
        <v>0</v>
      </c>
      <c r="BK348" s="43">
        <v>0</v>
      </c>
      <c r="BL348" s="43">
        <v>0</v>
      </c>
    </row>
    <row r="349" spans="1:64" ht="14.1" customHeight="1">
      <c r="A349" s="379">
        <f t="shared" si="665"/>
        <v>342</v>
      </c>
      <c r="B349" s="56" t="s">
        <v>225</v>
      </c>
      <c r="C349" s="38">
        <f t="shared" si="674"/>
        <v>39149</v>
      </c>
      <c r="D349" s="43">
        <v>0</v>
      </c>
      <c r="E349" s="43">
        <v>0</v>
      </c>
      <c r="F349" s="43">
        <v>0</v>
      </c>
      <c r="G349" s="43">
        <v>0</v>
      </c>
      <c r="H349" s="43">
        <v>0</v>
      </c>
      <c r="I349" s="43">
        <v>0</v>
      </c>
      <c r="J349" s="43">
        <v>0</v>
      </c>
      <c r="K349" s="43">
        <v>0</v>
      </c>
      <c r="L349" s="43">
        <v>0</v>
      </c>
      <c r="M349" s="43">
        <v>0</v>
      </c>
      <c r="N349" s="43">
        <v>0</v>
      </c>
      <c r="O349" s="43">
        <v>0</v>
      </c>
      <c r="P349" s="43">
        <v>0</v>
      </c>
      <c r="Q349" s="43">
        <v>0</v>
      </c>
      <c r="R349" s="43">
        <v>0</v>
      </c>
      <c r="S349" s="43">
        <v>0</v>
      </c>
      <c r="T349" s="43">
        <v>0</v>
      </c>
      <c r="U349" s="43">
        <v>0</v>
      </c>
      <c r="V349" s="43">
        <v>0</v>
      </c>
      <c r="W349" s="43">
        <v>0</v>
      </c>
      <c r="X349" s="43">
        <v>0</v>
      </c>
      <c r="Y349" s="43">
        <v>0</v>
      </c>
      <c r="Z349" s="43">
        <v>0</v>
      </c>
      <c r="AA349" s="43">
        <v>39149</v>
      </c>
      <c r="AB349" s="43">
        <v>0</v>
      </c>
      <c r="AC349" s="43">
        <v>0</v>
      </c>
      <c r="AD349" s="43">
        <v>0</v>
      </c>
      <c r="AE349" s="43">
        <v>0</v>
      </c>
      <c r="AF349" s="43">
        <v>0</v>
      </c>
      <c r="AG349" s="43">
        <v>0</v>
      </c>
      <c r="AH349" s="43">
        <v>0</v>
      </c>
      <c r="AI349" s="43">
        <v>0</v>
      </c>
      <c r="AJ349" s="43">
        <v>0</v>
      </c>
      <c r="AK349" s="43">
        <v>0</v>
      </c>
      <c r="AL349" s="43">
        <v>0</v>
      </c>
      <c r="AM349" s="43">
        <v>0</v>
      </c>
      <c r="AN349" s="43">
        <v>0</v>
      </c>
      <c r="AO349" s="43">
        <v>0</v>
      </c>
      <c r="AP349" s="43">
        <v>0</v>
      </c>
      <c r="AQ349" s="43">
        <v>0</v>
      </c>
      <c r="AR349" s="43">
        <v>0</v>
      </c>
      <c r="AS349" s="43">
        <v>0</v>
      </c>
      <c r="AT349" s="43">
        <v>0</v>
      </c>
      <c r="AU349" s="43">
        <v>0</v>
      </c>
      <c r="AV349" s="43">
        <v>0</v>
      </c>
      <c r="AW349" s="43">
        <v>0</v>
      </c>
      <c r="AX349" s="43">
        <v>0</v>
      </c>
      <c r="AY349" s="43">
        <v>0</v>
      </c>
      <c r="AZ349" s="43">
        <v>0</v>
      </c>
      <c r="BA349" s="43">
        <v>0</v>
      </c>
      <c r="BB349" s="43">
        <v>0</v>
      </c>
      <c r="BC349" s="43">
        <v>0</v>
      </c>
      <c r="BD349" s="43">
        <v>0</v>
      </c>
      <c r="BE349" s="43">
        <v>0</v>
      </c>
      <c r="BF349" s="43">
        <v>0</v>
      </c>
      <c r="BG349" s="43">
        <v>0</v>
      </c>
      <c r="BH349" s="43">
        <v>0</v>
      </c>
      <c r="BI349" s="43">
        <v>0</v>
      </c>
      <c r="BJ349" s="43">
        <v>0</v>
      </c>
      <c r="BK349" s="43">
        <v>0</v>
      </c>
      <c r="BL349" s="43">
        <v>0</v>
      </c>
    </row>
    <row r="350" spans="1:64" ht="14.1" customHeight="1">
      <c r="A350" s="379">
        <f t="shared" si="665"/>
        <v>343</v>
      </c>
      <c r="B350" s="20" t="s">
        <v>226</v>
      </c>
      <c r="C350" s="208">
        <f t="shared" ref="C350:K350" si="675">SUM(C343:C349)</f>
        <v>38920.53</v>
      </c>
      <c r="D350" s="208">
        <f t="shared" si="675"/>
        <v>0</v>
      </c>
      <c r="E350" s="208">
        <f t="shared" si="675"/>
        <v>0</v>
      </c>
      <c r="F350" s="208">
        <f t="shared" si="675"/>
        <v>0</v>
      </c>
      <c r="G350" s="208">
        <f t="shared" si="675"/>
        <v>0</v>
      </c>
      <c r="H350" s="208">
        <f t="shared" si="675"/>
        <v>0</v>
      </c>
      <c r="I350" s="208">
        <f t="shared" si="675"/>
        <v>0</v>
      </c>
      <c r="J350" s="208">
        <f t="shared" si="675"/>
        <v>0</v>
      </c>
      <c r="K350" s="208">
        <f t="shared" si="675"/>
        <v>0</v>
      </c>
      <c r="L350" s="208">
        <f t="shared" ref="L350:Y350" si="676">SUM(L343:L349)</f>
        <v>0</v>
      </c>
      <c r="M350" s="208">
        <f t="shared" si="676"/>
        <v>0</v>
      </c>
      <c r="N350" s="208">
        <f t="shared" si="676"/>
        <v>0</v>
      </c>
      <c r="O350" s="208">
        <f t="shared" si="676"/>
        <v>0</v>
      </c>
      <c r="P350" s="208">
        <f t="shared" si="676"/>
        <v>0</v>
      </c>
      <c r="Q350" s="208">
        <f t="shared" si="676"/>
        <v>0</v>
      </c>
      <c r="R350" s="208">
        <f t="shared" si="676"/>
        <v>0</v>
      </c>
      <c r="S350" s="208">
        <f t="shared" si="676"/>
        <v>0</v>
      </c>
      <c r="T350" s="208">
        <f>SUM(T343:T349)</f>
        <v>0</v>
      </c>
      <c r="U350" s="208">
        <f t="shared" si="676"/>
        <v>0</v>
      </c>
      <c r="V350" s="208">
        <f t="shared" si="676"/>
        <v>0</v>
      </c>
      <c r="W350" s="208">
        <f t="shared" si="676"/>
        <v>-56.47</v>
      </c>
      <c r="X350" s="208">
        <f t="shared" si="676"/>
        <v>0</v>
      </c>
      <c r="Y350" s="208">
        <f t="shared" si="676"/>
        <v>0</v>
      </c>
      <c r="Z350" s="208">
        <f t="shared" ref="Z350:AE350" si="677">SUM(Z343:Z349)</f>
        <v>0</v>
      </c>
      <c r="AA350" s="208">
        <f t="shared" si="677"/>
        <v>39149</v>
      </c>
      <c r="AB350" s="208">
        <f t="shared" si="677"/>
        <v>0</v>
      </c>
      <c r="AC350" s="208">
        <f t="shared" si="677"/>
        <v>0</v>
      </c>
      <c r="AD350" s="208">
        <f t="shared" si="677"/>
        <v>-172</v>
      </c>
      <c r="AE350" s="208">
        <f t="shared" si="677"/>
        <v>0</v>
      </c>
      <c r="AF350" s="208">
        <f t="shared" ref="AF350:AL350" si="678">SUM(AF343:AF349)</f>
        <v>0</v>
      </c>
      <c r="AG350" s="208">
        <f t="shared" si="678"/>
        <v>0</v>
      </c>
      <c r="AH350" s="208">
        <f t="shared" si="678"/>
        <v>0</v>
      </c>
      <c r="AI350" s="208">
        <f t="shared" si="678"/>
        <v>0</v>
      </c>
      <c r="AJ350" s="208">
        <f t="shared" si="678"/>
        <v>0</v>
      </c>
      <c r="AK350" s="208">
        <f t="shared" si="678"/>
        <v>0</v>
      </c>
      <c r="AL350" s="208">
        <f t="shared" si="678"/>
        <v>0</v>
      </c>
      <c r="AM350" s="208">
        <f t="shared" ref="AM350:BB350" si="679">SUM(AM343:AM349)</f>
        <v>0</v>
      </c>
      <c r="AN350" s="208">
        <f t="shared" si="679"/>
        <v>0</v>
      </c>
      <c r="AO350" s="208">
        <f t="shared" si="679"/>
        <v>0</v>
      </c>
      <c r="AP350" s="208">
        <f t="shared" si="679"/>
        <v>0</v>
      </c>
      <c r="AQ350" s="208">
        <f>SUM(AQ343:AQ349)</f>
        <v>0</v>
      </c>
      <c r="AR350" s="208">
        <f>SUM(AR343:AR349)</f>
        <v>0</v>
      </c>
      <c r="AS350" s="208">
        <f t="shared" ref="AS350:AY350" si="680">SUM(AS343:AS349)</f>
        <v>0</v>
      </c>
      <c r="AT350" s="208">
        <f t="shared" si="680"/>
        <v>0</v>
      </c>
      <c r="AU350" s="208">
        <f>SUM(AU343:AU349)</f>
        <v>0</v>
      </c>
      <c r="AV350" s="208">
        <f t="shared" si="680"/>
        <v>0</v>
      </c>
      <c r="AW350" s="208">
        <f t="shared" si="680"/>
        <v>0</v>
      </c>
      <c r="AX350" s="208">
        <f t="shared" si="680"/>
        <v>0</v>
      </c>
      <c r="AY350" s="208">
        <f t="shared" si="680"/>
        <v>0</v>
      </c>
      <c r="AZ350" s="208">
        <f>SUM(AZ343:AZ349)</f>
        <v>0</v>
      </c>
      <c r="BA350" s="208">
        <f t="shared" si="679"/>
        <v>0</v>
      </c>
      <c r="BB350" s="208">
        <f t="shared" si="679"/>
        <v>0</v>
      </c>
      <c r="BC350" s="208">
        <f>SUM(BC343:BC349)</f>
        <v>0</v>
      </c>
      <c r="BD350" s="208">
        <f>SUM(BD343:BD349)</f>
        <v>0</v>
      </c>
      <c r="BE350" s="208">
        <f t="shared" ref="BE350:BG350" si="681">SUM(BE343:BE349)</f>
        <v>0</v>
      </c>
      <c r="BF350" s="208">
        <f t="shared" si="681"/>
        <v>0</v>
      </c>
      <c r="BG350" s="208">
        <f t="shared" si="681"/>
        <v>0</v>
      </c>
      <c r="BH350" s="208">
        <f t="shared" ref="BH350:BL350" si="682">SUM(BH343:BH349)</f>
        <v>0</v>
      </c>
      <c r="BI350" s="208">
        <f t="shared" si="682"/>
        <v>0</v>
      </c>
      <c r="BJ350" s="208">
        <f t="shared" si="682"/>
        <v>0</v>
      </c>
      <c r="BK350" s="208">
        <f t="shared" si="682"/>
        <v>0</v>
      </c>
      <c r="BL350" s="208">
        <f t="shared" si="682"/>
        <v>0</v>
      </c>
    </row>
    <row r="351" spans="1:64" ht="14.1" customHeight="1">
      <c r="A351" s="379">
        <f t="shared" si="665"/>
        <v>344</v>
      </c>
      <c r="B351" s="57"/>
      <c r="C351" s="151"/>
      <c r="D351" s="151"/>
      <c r="E351" s="151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  <c r="X351" s="151"/>
      <c r="Y351" s="151"/>
      <c r="Z351" s="151"/>
      <c r="AA351" s="151"/>
      <c r="AB351" s="151"/>
      <c r="AC351" s="151"/>
      <c r="AD351" s="151"/>
      <c r="AE351" s="151"/>
      <c r="AF351" s="151"/>
      <c r="AG351" s="151"/>
      <c r="AH351" s="151"/>
      <c r="AI351" s="151"/>
      <c r="AJ351" s="151"/>
      <c r="AK351" s="151"/>
      <c r="AL351" s="151"/>
      <c r="AM351" s="151"/>
      <c r="AN351" s="151"/>
      <c r="AO351" s="151"/>
      <c r="AP351" s="151"/>
      <c r="AQ351" s="151"/>
      <c r="AR351" s="151"/>
      <c r="AS351" s="151"/>
      <c r="AT351" s="151"/>
      <c r="AU351" s="151"/>
      <c r="AV351" s="151"/>
      <c r="AW351" s="151"/>
      <c r="AX351" s="151"/>
      <c r="AY351" s="151"/>
      <c r="AZ351" s="151"/>
      <c r="BA351" s="151"/>
      <c r="BB351" s="151"/>
      <c r="BC351" s="151"/>
      <c r="BD351" s="151"/>
      <c r="BE351" s="151"/>
      <c r="BF351" s="151"/>
      <c r="BG351" s="151"/>
      <c r="BH351" s="151"/>
      <c r="BI351" s="151"/>
      <c r="BJ351" s="151"/>
      <c r="BK351" s="151"/>
      <c r="BL351" s="151"/>
    </row>
    <row r="352" spans="1:64" ht="14.1" customHeight="1">
      <c r="A352" s="379">
        <f t="shared" si="665"/>
        <v>345</v>
      </c>
      <c r="B352" s="20" t="s">
        <v>227</v>
      </c>
      <c r="C352" s="168">
        <f t="shared" ref="C352:K352" si="683">C340+C350</f>
        <v>15368953.819999998</v>
      </c>
      <c r="D352" s="168">
        <f t="shared" si="683"/>
        <v>0</v>
      </c>
      <c r="E352" s="168">
        <f t="shared" si="683"/>
        <v>0</v>
      </c>
      <c r="F352" s="168">
        <f t="shared" si="683"/>
        <v>0</v>
      </c>
      <c r="G352" s="168">
        <f t="shared" si="683"/>
        <v>0</v>
      </c>
      <c r="H352" s="168">
        <f t="shared" si="683"/>
        <v>0</v>
      </c>
      <c r="I352" s="168">
        <f t="shared" si="683"/>
        <v>0</v>
      </c>
      <c r="J352" s="168">
        <f t="shared" si="683"/>
        <v>0</v>
      </c>
      <c r="K352" s="168">
        <f t="shared" si="683"/>
        <v>2953255</v>
      </c>
      <c r="L352" s="168">
        <f t="shared" ref="L352:Y352" si="684">L340+L350</f>
        <v>0</v>
      </c>
      <c r="M352" s="168">
        <f t="shared" si="684"/>
        <v>0</v>
      </c>
      <c r="N352" s="168">
        <f t="shared" si="684"/>
        <v>0</v>
      </c>
      <c r="O352" s="168">
        <f t="shared" si="684"/>
        <v>0</v>
      </c>
      <c r="P352" s="168">
        <f t="shared" si="684"/>
        <v>0</v>
      </c>
      <c r="Q352" s="168">
        <f t="shared" si="684"/>
        <v>0</v>
      </c>
      <c r="R352" s="168">
        <f t="shared" si="684"/>
        <v>0</v>
      </c>
      <c r="S352" s="168">
        <f t="shared" si="684"/>
        <v>0</v>
      </c>
      <c r="T352" s="168">
        <f>T340+T350</f>
        <v>0</v>
      </c>
      <c r="U352" s="168">
        <f t="shared" si="684"/>
        <v>0</v>
      </c>
      <c r="V352" s="168">
        <f t="shared" si="684"/>
        <v>0</v>
      </c>
      <c r="W352" s="168">
        <f t="shared" si="684"/>
        <v>-35.18</v>
      </c>
      <c r="X352" s="168">
        <f t="shared" si="684"/>
        <v>0</v>
      </c>
      <c r="Y352" s="168">
        <f t="shared" si="684"/>
        <v>0</v>
      </c>
      <c r="Z352" s="168">
        <f t="shared" ref="Z352:AE352" si="685">Z340+Z350</f>
        <v>12240862</v>
      </c>
      <c r="AA352" s="168">
        <f t="shared" si="685"/>
        <v>208436</v>
      </c>
      <c r="AB352" s="168">
        <f t="shared" si="685"/>
        <v>0</v>
      </c>
      <c r="AC352" s="168">
        <f t="shared" si="685"/>
        <v>0</v>
      </c>
      <c r="AD352" s="168">
        <f t="shared" si="685"/>
        <v>-401</v>
      </c>
      <c r="AE352" s="168">
        <f t="shared" si="685"/>
        <v>0</v>
      </c>
      <c r="AF352" s="168">
        <f t="shared" ref="AF352:AL352" si="686">AF340+AF350</f>
        <v>0</v>
      </c>
      <c r="AG352" s="168">
        <f t="shared" si="686"/>
        <v>0</v>
      </c>
      <c r="AH352" s="168">
        <f t="shared" si="686"/>
        <v>0</v>
      </c>
      <c r="AI352" s="168">
        <f t="shared" si="686"/>
        <v>0</v>
      </c>
      <c r="AJ352" s="168">
        <f t="shared" si="686"/>
        <v>0</v>
      </c>
      <c r="AK352" s="168">
        <f t="shared" si="686"/>
        <v>0</v>
      </c>
      <c r="AL352" s="168">
        <f t="shared" si="686"/>
        <v>0</v>
      </c>
      <c r="AM352" s="168">
        <f t="shared" ref="AM352:BB352" si="687">AM340+AM350</f>
        <v>0</v>
      </c>
      <c r="AN352" s="168">
        <f t="shared" si="687"/>
        <v>0</v>
      </c>
      <c r="AO352" s="168">
        <f t="shared" si="687"/>
        <v>0</v>
      </c>
      <c r="AP352" s="168">
        <f t="shared" si="687"/>
        <v>0</v>
      </c>
      <c r="AQ352" s="168">
        <f>AQ340+AQ350</f>
        <v>0</v>
      </c>
      <c r="AR352" s="168">
        <f>AR340+AR350</f>
        <v>0</v>
      </c>
      <c r="AS352" s="168">
        <f t="shared" ref="AS352:AY352" si="688">AS340+AS350</f>
        <v>0</v>
      </c>
      <c r="AT352" s="168">
        <f t="shared" si="688"/>
        <v>-33163</v>
      </c>
      <c r="AU352" s="168">
        <f>AU340+AU350</f>
        <v>0</v>
      </c>
      <c r="AV352" s="168">
        <f t="shared" si="688"/>
        <v>0</v>
      </c>
      <c r="AW352" s="168">
        <f t="shared" si="688"/>
        <v>0</v>
      </c>
      <c r="AX352" s="168">
        <f t="shared" si="688"/>
        <v>0</v>
      </c>
      <c r="AY352" s="168">
        <f t="shared" si="688"/>
        <v>0</v>
      </c>
      <c r="AZ352" s="168">
        <f>AZ340+AZ350</f>
        <v>0</v>
      </c>
      <c r="BA352" s="168">
        <f t="shared" si="687"/>
        <v>0</v>
      </c>
      <c r="BB352" s="168">
        <f t="shared" si="687"/>
        <v>0</v>
      </c>
      <c r="BC352" s="168">
        <f>BC340+BC350</f>
        <v>0</v>
      </c>
      <c r="BD352" s="168">
        <f>BD340+BD350</f>
        <v>0</v>
      </c>
      <c r="BE352" s="168">
        <f t="shared" ref="BE352:BG352" si="689">BE340+BE350</f>
        <v>0</v>
      </c>
      <c r="BF352" s="168">
        <f t="shared" si="689"/>
        <v>0</v>
      </c>
      <c r="BG352" s="168">
        <f t="shared" si="689"/>
        <v>0</v>
      </c>
      <c r="BH352" s="168">
        <f t="shared" ref="BH352:BL352" si="690">BH340+BH350</f>
        <v>0</v>
      </c>
      <c r="BI352" s="168">
        <f t="shared" si="690"/>
        <v>0</v>
      </c>
      <c r="BJ352" s="168">
        <f t="shared" si="690"/>
        <v>0</v>
      </c>
      <c r="BK352" s="168">
        <f t="shared" si="690"/>
        <v>0</v>
      </c>
      <c r="BL352" s="168">
        <f t="shared" si="690"/>
        <v>0</v>
      </c>
    </row>
    <row r="353" spans="1:64" ht="14.1" customHeight="1">
      <c r="A353" s="379">
        <f t="shared" si="665"/>
        <v>346</v>
      </c>
      <c r="B353" s="129"/>
      <c r="C353" s="163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</row>
    <row r="354" spans="1:64" ht="14.1" customHeight="1">
      <c r="A354" s="379">
        <f t="shared" si="665"/>
        <v>347</v>
      </c>
      <c r="B354" s="13" t="s">
        <v>228</v>
      </c>
      <c r="C354" s="61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</row>
    <row r="355" spans="1:64" ht="14.1" customHeight="1">
      <c r="A355" s="379">
        <f t="shared" si="665"/>
        <v>348</v>
      </c>
      <c r="B355" s="22" t="s">
        <v>229</v>
      </c>
      <c r="C355" s="38">
        <f t="shared" ref="C355:C364" si="691">SUM(D355:BI355)</f>
        <v>-15257.46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-1125.46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f>-6981+95-7246</f>
        <v>-14132</v>
      </c>
      <c r="AE355" s="10">
        <v>0</v>
      </c>
      <c r="AF355" s="10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  <c r="AM355" s="10">
        <v>0</v>
      </c>
      <c r="AN355" s="10">
        <v>0</v>
      </c>
      <c r="AO355" s="10">
        <v>0</v>
      </c>
      <c r="AP355" s="10">
        <v>0</v>
      </c>
      <c r="AQ355" s="10">
        <v>0</v>
      </c>
      <c r="AR355" s="10">
        <v>0</v>
      </c>
      <c r="AS355" s="10">
        <v>0</v>
      </c>
      <c r="AT355" s="10">
        <v>0</v>
      </c>
      <c r="AU355" s="10">
        <v>0</v>
      </c>
      <c r="AV355" s="10">
        <v>0</v>
      </c>
      <c r="AW355" s="10">
        <v>0</v>
      </c>
      <c r="AX355" s="10">
        <v>0</v>
      </c>
      <c r="AY355" s="10">
        <v>0</v>
      </c>
      <c r="AZ355" s="10">
        <v>0</v>
      </c>
      <c r="BA355" s="10">
        <v>0</v>
      </c>
      <c r="BB355" s="10">
        <v>0</v>
      </c>
      <c r="BC355" s="10">
        <v>0</v>
      </c>
      <c r="BD355" s="10">
        <v>0</v>
      </c>
      <c r="BE355" s="10">
        <v>0</v>
      </c>
      <c r="BF355" s="10">
        <v>0</v>
      </c>
      <c r="BG355" s="10">
        <v>0</v>
      </c>
      <c r="BH355" s="10">
        <v>0</v>
      </c>
      <c r="BI355" s="10">
        <v>0</v>
      </c>
      <c r="BJ355" s="10">
        <v>0</v>
      </c>
      <c r="BK355" s="10">
        <v>0</v>
      </c>
      <c r="BL355" s="10">
        <v>0</v>
      </c>
    </row>
    <row r="356" spans="1:64" ht="14.1" customHeight="1">
      <c r="A356" s="379">
        <f t="shared" si="665"/>
        <v>349</v>
      </c>
      <c r="B356" s="22" t="s">
        <v>230</v>
      </c>
      <c r="C356" s="38">
        <f t="shared" si="691"/>
        <v>0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0</v>
      </c>
      <c r="AP356" s="10">
        <v>0</v>
      </c>
      <c r="AQ356" s="10">
        <v>0</v>
      </c>
      <c r="AR356" s="10">
        <v>0</v>
      </c>
      <c r="AS356" s="10">
        <v>0</v>
      </c>
      <c r="AT356" s="10">
        <v>0</v>
      </c>
      <c r="AU356" s="10">
        <v>0</v>
      </c>
      <c r="AV356" s="10">
        <v>0</v>
      </c>
      <c r="AW356" s="10">
        <v>0</v>
      </c>
      <c r="AX356" s="10">
        <v>0</v>
      </c>
      <c r="AY356" s="10">
        <v>0</v>
      </c>
      <c r="AZ356" s="10">
        <v>0</v>
      </c>
      <c r="BA356" s="10">
        <v>0</v>
      </c>
      <c r="BB356" s="10">
        <v>0</v>
      </c>
      <c r="BC356" s="10">
        <v>0</v>
      </c>
      <c r="BD356" s="10">
        <v>0</v>
      </c>
      <c r="BE356" s="10">
        <v>0</v>
      </c>
      <c r="BF356" s="10">
        <v>0</v>
      </c>
      <c r="BG356" s="10">
        <v>0</v>
      </c>
      <c r="BH356" s="10">
        <v>0</v>
      </c>
      <c r="BI356" s="10">
        <v>0</v>
      </c>
      <c r="BJ356" s="10">
        <v>0</v>
      </c>
      <c r="BK356" s="10">
        <v>0</v>
      </c>
      <c r="BL356" s="10">
        <v>0</v>
      </c>
    </row>
    <row r="357" spans="1:64" ht="14.1" customHeight="1">
      <c r="A357" s="379">
        <f t="shared" si="665"/>
        <v>350</v>
      </c>
      <c r="B357" s="22" t="s">
        <v>231</v>
      </c>
      <c r="C357" s="38">
        <f t="shared" si="691"/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0">
        <v>0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0</v>
      </c>
      <c r="AN357" s="10">
        <v>0</v>
      </c>
      <c r="AO357" s="10">
        <v>0</v>
      </c>
      <c r="AP357" s="10">
        <v>0</v>
      </c>
      <c r="AQ357" s="10">
        <v>0</v>
      </c>
      <c r="AR357" s="10">
        <v>0</v>
      </c>
      <c r="AS357" s="10">
        <v>0</v>
      </c>
      <c r="AT357" s="10">
        <v>0</v>
      </c>
      <c r="AU357" s="10">
        <v>0</v>
      </c>
      <c r="AV357" s="10">
        <v>0</v>
      </c>
      <c r="AW357" s="10">
        <v>0</v>
      </c>
      <c r="AX357" s="10">
        <v>0</v>
      </c>
      <c r="AY357" s="10">
        <v>0</v>
      </c>
      <c r="AZ357" s="10">
        <v>0</v>
      </c>
      <c r="BA357" s="10">
        <v>0</v>
      </c>
      <c r="BB357" s="10">
        <v>0</v>
      </c>
      <c r="BC357" s="10">
        <v>0</v>
      </c>
      <c r="BD357" s="10">
        <v>0</v>
      </c>
      <c r="BE357" s="10">
        <v>0</v>
      </c>
      <c r="BF357" s="10">
        <v>0</v>
      </c>
      <c r="BG357" s="10">
        <v>0</v>
      </c>
      <c r="BH357" s="10">
        <v>0</v>
      </c>
      <c r="BI357" s="10">
        <v>0</v>
      </c>
      <c r="BJ357" s="10">
        <v>0</v>
      </c>
      <c r="BK357" s="10">
        <v>0</v>
      </c>
      <c r="BL357" s="10">
        <v>0</v>
      </c>
    </row>
    <row r="358" spans="1:64" ht="14.1" customHeight="1">
      <c r="A358" s="379">
        <f t="shared" si="665"/>
        <v>351</v>
      </c>
      <c r="B358" s="22" t="s">
        <v>232</v>
      </c>
      <c r="C358" s="38">
        <f t="shared" si="691"/>
        <v>5208.9700000000012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17056.97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f>-14514+1211+1455</f>
        <v>-11848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0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0">
        <v>0</v>
      </c>
      <c r="AZ358" s="10">
        <v>0</v>
      </c>
      <c r="BA358" s="10">
        <v>0</v>
      </c>
      <c r="BB358" s="10">
        <v>0</v>
      </c>
      <c r="BC358" s="10">
        <v>0</v>
      </c>
      <c r="BD358" s="10">
        <v>0</v>
      </c>
      <c r="BE358" s="10">
        <v>0</v>
      </c>
      <c r="BF358" s="10">
        <v>0</v>
      </c>
      <c r="BG358" s="10">
        <v>0</v>
      </c>
      <c r="BH358" s="10">
        <v>0</v>
      </c>
      <c r="BI358" s="10">
        <v>0</v>
      </c>
      <c r="BJ358" s="10">
        <v>0</v>
      </c>
      <c r="BK358" s="10">
        <v>0</v>
      </c>
      <c r="BL358" s="10">
        <v>0</v>
      </c>
    </row>
    <row r="359" spans="1:64" ht="14.1" customHeight="1">
      <c r="A359" s="379">
        <f t="shared" si="665"/>
        <v>352</v>
      </c>
      <c r="B359" s="22" t="s">
        <v>233</v>
      </c>
      <c r="C359" s="38">
        <f t="shared" si="691"/>
        <v>-102.34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-67.34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f>-20+7-22</f>
        <v>-35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0</v>
      </c>
      <c r="AO359" s="10">
        <v>0</v>
      </c>
      <c r="AP359" s="10">
        <v>0</v>
      </c>
      <c r="AQ359" s="10">
        <v>0</v>
      </c>
      <c r="AR359" s="10">
        <v>0</v>
      </c>
      <c r="AS359" s="10">
        <v>0</v>
      </c>
      <c r="AT359" s="10">
        <v>0</v>
      </c>
      <c r="AU359" s="10">
        <v>0</v>
      </c>
      <c r="AV359" s="10">
        <v>0</v>
      </c>
      <c r="AW359" s="10">
        <v>0</v>
      </c>
      <c r="AX359" s="10">
        <v>0</v>
      </c>
      <c r="AY359" s="10">
        <v>0</v>
      </c>
      <c r="AZ359" s="10">
        <v>0</v>
      </c>
      <c r="BA359" s="10">
        <v>0</v>
      </c>
      <c r="BB359" s="10">
        <v>0</v>
      </c>
      <c r="BC359" s="10">
        <v>0</v>
      </c>
      <c r="BD359" s="10">
        <v>0</v>
      </c>
      <c r="BE359" s="10">
        <v>0</v>
      </c>
      <c r="BF359" s="10">
        <v>0</v>
      </c>
      <c r="BG359" s="10">
        <v>0</v>
      </c>
      <c r="BH359" s="10">
        <v>0</v>
      </c>
      <c r="BI359" s="10">
        <v>0</v>
      </c>
      <c r="BJ359" s="10">
        <v>0</v>
      </c>
      <c r="BK359" s="10">
        <v>0</v>
      </c>
      <c r="BL359" s="10">
        <v>0</v>
      </c>
    </row>
    <row r="360" spans="1:64" ht="14.1" customHeight="1">
      <c r="A360" s="379">
        <f t="shared" si="665"/>
        <v>353</v>
      </c>
      <c r="B360" s="22" t="s">
        <v>234</v>
      </c>
      <c r="C360" s="38">
        <f t="shared" si="691"/>
        <v>-974.67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-520.66999999999996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f>-196+4-262</f>
        <v>-454</v>
      </c>
      <c r="AE360" s="10">
        <v>0</v>
      </c>
      <c r="AF360" s="10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0</v>
      </c>
      <c r="AW360" s="10">
        <v>0</v>
      </c>
      <c r="AX360" s="10">
        <v>0</v>
      </c>
      <c r="AY360" s="10">
        <v>0</v>
      </c>
      <c r="AZ360" s="10">
        <v>0</v>
      </c>
      <c r="BA360" s="10">
        <v>0</v>
      </c>
      <c r="BB360" s="10">
        <v>0</v>
      </c>
      <c r="BC360" s="10">
        <v>0</v>
      </c>
      <c r="BD360" s="10">
        <v>0</v>
      </c>
      <c r="BE360" s="10">
        <v>0</v>
      </c>
      <c r="BF360" s="10">
        <v>0</v>
      </c>
      <c r="BG360" s="10">
        <v>0</v>
      </c>
      <c r="BH360" s="10">
        <v>0</v>
      </c>
      <c r="BI360" s="10">
        <v>0</v>
      </c>
      <c r="BJ360" s="10">
        <v>0</v>
      </c>
      <c r="BK360" s="10">
        <v>0</v>
      </c>
      <c r="BL360" s="10">
        <v>0</v>
      </c>
    </row>
    <row r="361" spans="1:64" ht="14.1" customHeight="1">
      <c r="A361" s="379">
        <f t="shared" si="665"/>
        <v>354</v>
      </c>
      <c r="B361" s="22" t="s">
        <v>235</v>
      </c>
      <c r="C361" s="38">
        <f t="shared" si="691"/>
        <v>-16622.98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24192.02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f>-21186+732-20361</f>
        <v>-40815</v>
      </c>
      <c r="AE361" s="10">
        <v>0</v>
      </c>
      <c r="AF361" s="10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0</v>
      </c>
      <c r="AT361" s="10">
        <v>0</v>
      </c>
      <c r="AU361" s="10">
        <v>0</v>
      </c>
      <c r="AV361" s="10">
        <v>0</v>
      </c>
      <c r="AW361" s="10">
        <v>0</v>
      </c>
      <c r="AX361" s="10">
        <v>0</v>
      </c>
      <c r="AY361" s="10">
        <v>0</v>
      </c>
      <c r="AZ361" s="10">
        <v>0</v>
      </c>
      <c r="BA361" s="10">
        <v>0</v>
      </c>
      <c r="BB361" s="10">
        <v>0</v>
      </c>
      <c r="BC361" s="10">
        <v>0</v>
      </c>
      <c r="BD361" s="10">
        <v>0</v>
      </c>
      <c r="BE361" s="10">
        <v>0</v>
      </c>
      <c r="BF361" s="10">
        <v>0</v>
      </c>
      <c r="BG361" s="10">
        <v>0</v>
      </c>
      <c r="BH361" s="10">
        <v>0</v>
      </c>
      <c r="BI361" s="10">
        <v>0</v>
      </c>
      <c r="BJ361" s="10">
        <v>0</v>
      </c>
      <c r="BK361" s="10">
        <v>0</v>
      </c>
      <c r="BL361" s="10">
        <v>0</v>
      </c>
    </row>
    <row r="362" spans="1:64" ht="14.1" customHeight="1">
      <c r="A362" s="379">
        <f t="shared" si="665"/>
        <v>355</v>
      </c>
      <c r="B362" s="22" t="s">
        <v>236</v>
      </c>
      <c r="C362" s="38">
        <f t="shared" si="691"/>
        <v>-4585.88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0</v>
      </c>
      <c r="W362" s="10">
        <v>1522.12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f>-2901+22-3229</f>
        <v>-6108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0</v>
      </c>
      <c r="AQ362" s="10">
        <v>0</v>
      </c>
      <c r="AR362" s="10">
        <v>0</v>
      </c>
      <c r="AS362" s="10">
        <v>0</v>
      </c>
      <c r="AT362" s="10">
        <v>0</v>
      </c>
      <c r="AU362" s="10">
        <v>0</v>
      </c>
      <c r="AV362" s="10">
        <v>0</v>
      </c>
      <c r="AW362" s="10">
        <v>0</v>
      </c>
      <c r="AX362" s="10">
        <v>0</v>
      </c>
      <c r="AY362" s="10">
        <v>0</v>
      </c>
      <c r="AZ362" s="10">
        <v>0</v>
      </c>
      <c r="BA362" s="10">
        <v>0</v>
      </c>
      <c r="BB362" s="10">
        <v>0</v>
      </c>
      <c r="BC362" s="10">
        <v>0</v>
      </c>
      <c r="BD362" s="10">
        <v>0</v>
      </c>
      <c r="BE362" s="10">
        <v>0</v>
      </c>
      <c r="BF362" s="10">
        <v>0</v>
      </c>
      <c r="BG362" s="10">
        <v>0</v>
      </c>
      <c r="BH362" s="10">
        <v>0</v>
      </c>
      <c r="BI362" s="10">
        <v>0</v>
      </c>
      <c r="BJ362" s="10">
        <v>0</v>
      </c>
      <c r="BK362" s="10">
        <v>0</v>
      </c>
      <c r="BL362" s="10">
        <v>0</v>
      </c>
    </row>
    <row r="363" spans="1:64" s="21" customFormat="1" ht="14.1" customHeight="1">
      <c r="A363" s="379">
        <f t="shared" si="665"/>
        <v>356</v>
      </c>
      <c r="B363" s="22" t="s">
        <v>237</v>
      </c>
      <c r="C363" s="38">
        <f t="shared" si="691"/>
        <v>-169974.97999999998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-12541.98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f>-906+1431-71559</f>
        <v>-71034</v>
      </c>
      <c r="AE363" s="10">
        <v>-8148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-78251</v>
      </c>
      <c r="AW363" s="10">
        <v>0</v>
      </c>
      <c r="AX363" s="10">
        <v>0</v>
      </c>
      <c r="AY363" s="10">
        <v>0</v>
      </c>
      <c r="AZ363" s="10">
        <v>0</v>
      </c>
      <c r="BA363" s="10">
        <v>0</v>
      </c>
      <c r="BB363" s="10">
        <v>0</v>
      </c>
      <c r="BC363" s="10">
        <v>0</v>
      </c>
      <c r="BD363" s="10">
        <v>0</v>
      </c>
      <c r="BE363" s="10">
        <v>0</v>
      </c>
      <c r="BF363" s="10">
        <v>0</v>
      </c>
      <c r="BG363" s="10">
        <v>0</v>
      </c>
      <c r="BH363" s="10">
        <v>0</v>
      </c>
      <c r="BI363" s="10">
        <v>0</v>
      </c>
      <c r="BJ363" s="10">
        <v>0</v>
      </c>
      <c r="BK363" s="10">
        <v>0</v>
      </c>
      <c r="BL363" s="10">
        <v>0</v>
      </c>
    </row>
    <row r="364" spans="1:64" s="21" customFormat="1" ht="14.1" customHeight="1">
      <c r="A364" s="379">
        <f t="shared" si="665"/>
        <v>357</v>
      </c>
      <c r="B364" s="56" t="s">
        <v>238</v>
      </c>
      <c r="C364" s="38">
        <f t="shared" si="691"/>
        <v>226538</v>
      </c>
      <c r="D364" s="43">
        <v>0</v>
      </c>
      <c r="E364" s="43">
        <v>0</v>
      </c>
      <c r="F364" s="43">
        <v>0</v>
      </c>
      <c r="G364" s="43">
        <v>0</v>
      </c>
      <c r="H364" s="43">
        <v>0</v>
      </c>
      <c r="I364" s="43">
        <v>0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43">
        <v>0</v>
      </c>
      <c r="Q364" s="43">
        <v>0</v>
      </c>
      <c r="R364" s="43">
        <v>0</v>
      </c>
      <c r="S364" s="43">
        <v>0</v>
      </c>
      <c r="T364" s="43">
        <v>0</v>
      </c>
      <c r="U364" s="43">
        <v>0</v>
      </c>
      <c r="V364" s="43">
        <v>0</v>
      </c>
      <c r="W364" s="43">
        <v>0</v>
      </c>
      <c r="X364" s="43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43">
        <v>0</v>
      </c>
      <c r="AF364" s="43">
        <v>0</v>
      </c>
      <c r="AG364" s="43">
        <v>0</v>
      </c>
      <c r="AH364" s="43">
        <v>0</v>
      </c>
      <c r="AI364" s="43">
        <v>0</v>
      </c>
      <c r="AJ364" s="43">
        <v>0</v>
      </c>
      <c r="AK364" s="43">
        <v>0</v>
      </c>
      <c r="AL364" s="43">
        <v>0</v>
      </c>
      <c r="AM364" s="43">
        <v>0</v>
      </c>
      <c r="AN364" s="43">
        <v>0</v>
      </c>
      <c r="AO364" s="43">
        <v>0</v>
      </c>
      <c r="AP364" s="43">
        <v>0</v>
      </c>
      <c r="AQ364" s="43">
        <v>0</v>
      </c>
      <c r="AR364" s="43">
        <v>0</v>
      </c>
      <c r="AS364" s="43">
        <v>0</v>
      </c>
      <c r="AT364" s="43">
        <v>0</v>
      </c>
      <c r="AU364" s="43">
        <v>226538</v>
      </c>
      <c r="AV364" s="43">
        <v>0</v>
      </c>
      <c r="AW364" s="43">
        <v>0</v>
      </c>
      <c r="AX364" s="43">
        <v>0</v>
      </c>
      <c r="AY364" s="43">
        <v>0</v>
      </c>
      <c r="AZ364" s="43">
        <v>0</v>
      </c>
      <c r="BA364" s="43">
        <v>0</v>
      </c>
      <c r="BB364" s="43">
        <v>0</v>
      </c>
      <c r="BC364" s="43">
        <v>0</v>
      </c>
      <c r="BD364" s="43">
        <v>0</v>
      </c>
      <c r="BE364" s="43">
        <v>0</v>
      </c>
      <c r="BF364" s="43">
        <v>0</v>
      </c>
      <c r="BG364" s="43">
        <v>0</v>
      </c>
      <c r="BH364" s="43">
        <v>0</v>
      </c>
      <c r="BI364" s="43">
        <v>0</v>
      </c>
      <c r="BJ364" s="43">
        <v>0</v>
      </c>
      <c r="BK364" s="43">
        <v>0</v>
      </c>
      <c r="BL364" s="43">
        <v>0</v>
      </c>
    </row>
    <row r="365" spans="1:64" ht="14.1" customHeight="1">
      <c r="A365" s="379">
        <f t="shared" si="665"/>
        <v>358</v>
      </c>
      <c r="B365" s="20" t="s">
        <v>506</v>
      </c>
      <c r="C365" s="85">
        <f t="shared" ref="C365:K365" si="692">SUM(C355:C364)</f>
        <v>24228.660000000033</v>
      </c>
      <c r="D365" s="85">
        <f t="shared" si="692"/>
        <v>0</v>
      </c>
      <c r="E365" s="85">
        <f t="shared" si="692"/>
        <v>0</v>
      </c>
      <c r="F365" s="85">
        <f t="shared" si="692"/>
        <v>0</v>
      </c>
      <c r="G365" s="85">
        <f t="shared" si="692"/>
        <v>0</v>
      </c>
      <c r="H365" s="85">
        <f t="shared" si="692"/>
        <v>0</v>
      </c>
      <c r="I365" s="85">
        <f t="shared" si="692"/>
        <v>0</v>
      </c>
      <c r="J365" s="85">
        <f t="shared" si="692"/>
        <v>0</v>
      </c>
      <c r="K365" s="85">
        <f t="shared" si="692"/>
        <v>0</v>
      </c>
      <c r="L365" s="85">
        <f t="shared" ref="L365:Y365" si="693">SUM(L355:L364)</f>
        <v>0</v>
      </c>
      <c r="M365" s="85">
        <f t="shared" si="693"/>
        <v>0</v>
      </c>
      <c r="N365" s="85">
        <f t="shared" si="693"/>
        <v>0</v>
      </c>
      <c r="O365" s="85">
        <f t="shared" si="693"/>
        <v>0</v>
      </c>
      <c r="P365" s="85">
        <f t="shared" si="693"/>
        <v>0</v>
      </c>
      <c r="Q365" s="85">
        <f t="shared" si="693"/>
        <v>0</v>
      </c>
      <c r="R365" s="85">
        <f t="shared" si="693"/>
        <v>0</v>
      </c>
      <c r="S365" s="85">
        <f t="shared" si="693"/>
        <v>0</v>
      </c>
      <c r="T365" s="85">
        <f>SUM(T355:T364)</f>
        <v>0</v>
      </c>
      <c r="U365" s="85">
        <f t="shared" si="693"/>
        <v>0</v>
      </c>
      <c r="V365" s="85">
        <f t="shared" si="693"/>
        <v>0</v>
      </c>
      <c r="W365" s="85">
        <f t="shared" si="693"/>
        <v>28515.660000000007</v>
      </c>
      <c r="X365" s="85">
        <f t="shared" si="693"/>
        <v>0</v>
      </c>
      <c r="Y365" s="85">
        <f t="shared" si="693"/>
        <v>0</v>
      </c>
      <c r="Z365" s="85">
        <f t="shared" ref="Z365:AE365" si="694">SUM(Z355:Z364)</f>
        <v>0</v>
      </c>
      <c r="AA365" s="85">
        <f t="shared" si="694"/>
        <v>0</v>
      </c>
      <c r="AB365" s="85">
        <f t="shared" si="694"/>
        <v>0</v>
      </c>
      <c r="AC365" s="85">
        <f t="shared" si="694"/>
        <v>0</v>
      </c>
      <c r="AD365" s="85">
        <f t="shared" si="694"/>
        <v>-144426</v>
      </c>
      <c r="AE365" s="85">
        <f t="shared" si="694"/>
        <v>-8148</v>
      </c>
      <c r="AF365" s="85">
        <f t="shared" ref="AF365:AL365" si="695">SUM(AF355:AF364)</f>
        <v>0</v>
      </c>
      <c r="AG365" s="85">
        <f t="shared" si="695"/>
        <v>0</v>
      </c>
      <c r="AH365" s="85">
        <f t="shared" si="695"/>
        <v>0</v>
      </c>
      <c r="AI365" s="85">
        <f t="shared" si="695"/>
        <v>0</v>
      </c>
      <c r="AJ365" s="85">
        <f t="shared" si="695"/>
        <v>0</v>
      </c>
      <c r="AK365" s="85">
        <f t="shared" si="695"/>
        <v>0</v>
      </c>
      <c r="AL365" s="85">
        <f t="shared" si="695"/>
        <v>0</v>
      </c>
      <c r="AM365" s="85">
        <f t="shared" ref="AM365:BB365" si="696">SUM(AM355:AM364)</f>
        <v>0</v>
      </c>
      <c r="AN365" s="85">
        <f t="shared" si="696"/>
        <v>0</v>
      </c>
      <c r="AO365" s="85">
        <f t="shared" si="696"/>
        <v>0</v>
      </c>
      <c r="AP365" s="85">
        <f t="shared" si="696"/>
        <v>0</v>
      </c>
      <c r="AQ365" s="85">
        <f>SUM(AQ355:AQ364)</f>
        <v>0</v>
      </c>
      <c r="AR365" s="85">
        <f>SUM(AR355:AR364)</f>
        <v>0</v>
      </c>
      <c r="AS365" s="85">
        <f t="shared" ref="AS365:AY365" si="697">SUM(AS355:AS364)</f>
        <v>0</v>
      </c>
      <c r="AT365" s="85">
        <f t="shared" si="697"/>
        <v>0</v>
      </c>
      <c r="AU365" s="85">
        <f>SUM(AU355:AU364)</f>
        <v>226538</v>
      </c>
      <c r="AV365" s="85">
        <f t="shared" si="697"/>
        <v>-78251</v>
      </c>
      <c r="AW365" s="85">
        <f t="shared" si="697"/>
        <v>0</v>
      </c>
      <c r="AX365" s="85">
        <f t="shared" si="697"/>
        <v>0</v>
      </c>
      <c r="AY365" s="85">
        <f t="shared" si="697"/>
        <v>0</v>
      </c>
      <c r="AZ365" s="85">
        <f>SUM(AZ355:AZ364)</f>
        <v>0</v>
      </c>
      <c r="BA365" s="85">
        <f t="shared" si="696"/>
        <v>0</v>
      </c>
      <c r="BB365" s="85">
        <f t="shared" si="696"/>
        <v>0</v>
      </c>
      <c r="BC365" s="85">
        <f>SUM(BC355:BC364)</f>
        <v>0</v>
      </c>
      <c r="BD365" s="85">
        <f>SUM(BD355:BD364)</f>
        <v>0</v>
      </c>
      <c r="BE365" s="85">
        <f t="shared" ref="BE365:BG365" si="698">SUM(BE355:BE364)</f>
        <v>0</v>
      </c>
      <c r="BF365" s="85">
        <f t="shared" si="698"/>
        <v>0</v>
      </c>
      <c r="BG365" s="85">
        <f t="shared" si="698"/>
        <v>0</v>
      </c>
      <c r="BH365" s="85">
        <f t="shared" ref="BH365:BL365" si="699">SUM(BH355:BH364)</f>
        <v>0</v>
      </c>
      <c r="BI365" s="85">
        <f t="shared" si="699"/>
        <v>0</v>
      </c>
      <c r="BJ365" s="85">
        <f t="shared" si="699"/>
        <v>0</v>
      </c>
      <c r="BK365" s="85">
        <f t="shared" si="699"/>
        <v>0</v>
      </c>
      <c r="BL365" s="85">
        <f t="shared" si="699"/>
        <v>0</v>
      </c>
    </row>
    <row r="366" spans="1:64" ht="14.1" customHeight="1">
      <c r="A366" s="379">
        <f t="shared" si="665"/>
        <v>359</v>
      </c>
      <c r="B366" s="163"/>
      <c r="C366" s="163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</row>
    <row r="367" spans="1:64" ht="14.1" customHeight="1">
      <c r="A367" s="379">
        <f t="shared" si="665"/>
        <v>360</v>
      </c>
      <c r="B367" s="22" t="s">
        <v>239</v>
      </c>
      <c r="C367" s="38">
        <f t="shared" ref="C367:C377" si="700">SUM(D367:BI367)</f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0</v>
      </c>
      <c r="AW367" s="10">
        <v>0</v>
      </c>
      <c r="AX367" s="10">
        <v>0</v>
      </c>
      <c r="AY367" s="10">
        <v>0</v>
      </c>
      <c r="AZ367" s="10">
        <v>0</v>
      </c>
      <c r="BA367" s="10">
        <v>0</v>
      </c>
      <c r="BB367" s="10">
        <v>0</v>
      </c>
      <c r="BC367" s="10">
        <v>0</v>
      </c>
      <c r="BD367" s="10">
        <v>0</v>
      </c>
      <c r="BE367" s="10">
        <v>0</v>
      </c>
      <c r="BF367" s="10">
        <v>0</v>
      </c>
      <c r="BG367" s="10">
        <v>0</v>
      </c>
      <c r="BH367" s="10">
        <v>0</v>
      </c>
      <c r="BI367" s="10">
        <v>0</v>
      </c>
      <c r="BJ367" s="10">
        <v>0</v>
      </c>
      <c r="BK367" s="10">
        <v>0</v>
      </c>
      <c r="BL367" s="10">
        <v>0</v>
      </c>
    </row>
    <row r="368" spans="1:64" ht="14.1" customHeight="1">
      <c r="A368" s="379">
        <f t="shared" si="665"/>
        <v>361</v>
      </c>
      <c r="B368" s="22" t="s">
        <v>240</v>
      </c>
      <c r="C368" s="38">
        <f t="shared" si="700"/>
        <v>-5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f>-2-3</f>
        <v>-5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0">
        <v>0</v>
      </c>
      <c r="AZ368" s="10">
        <v>0</v>
      </c>
      <c r="BA368" s="10">
        <v>0</v>
      </c>
      <c r="BB368" s="10">
        <v>0</v>
      </c>
      <c r="BC368" s="10">
        <v>0</v>
      </c>
      <c r="BD368" s="10">
        <v>0</v>
      </c>
      <c r="BE368" s="10">
        <v>0</v>
      </c>
      <c r="BF368" s="10">
        <v>0</v>
      </c>
      <c r="BG368" s="10">
        <v>0</v>
      </c>
      <c r="BH368" s="10">
        <v>0</v>
      </c>
      <c r="BI368" s="10">
        <v>0</v>
      </c>
      <c r="BJ368" s="10">
        <v>0</v>
      </c>
      <c r="BK368" s="10">
        <v>0</v>
      </c>
      <c r="BL368" s="10">
        <v>0</v>
      </c>
    </row>
    <row r="369" spans="1:64" ht="13.15" customHeight="1">
      <c r="A369" s="379">
        <f t="shared" si="665"/>
        <v>362</v>
      </c>
      <c r="B369" s="22" t="s">
        <v>241</v>
      </c>
      <c r="C369" s="38">
        <f t="shared" si="700"/>
        <v>-604.74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-553.74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f>-202+151</f>
        <v>-51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0">
        <v>0</v>
      </c>
      <c r="AZ369" s="10">
        <v>0</v>
      </c>
      <c r="BA369" s="10">
        <v>0</v>
      </c>
      <c r="BB369" s="10">
        <v>0</v>
      </c>
      <c r="BC369" s="10">
        <v>0</v>
      </c>
      <c r="BD369" s="10">
        <v>0</v>
      </c>
      <c r="BE369" s="10">
        <v>0</v>
      </c>
      <c r="BF369" s="10">
        <v>0</v>
      </c>
      <c r="BG369" s="10">
        <v>0</v>
      </c>
      <c r="BH369" s="10">
        <v>0</v>
      </c>
      <c r="BI369" s="10">
        <v>0</v>
      </c>
      <c r="BJ369" s="10">
        <v>0</v>
      </c>
      <c r="BK369" s="10">
        <v>0</v>
      </c>
      <c r="BL369" s="10">
        <v>0</v>
      </c>
    </row>
    <row r="370" spans="1:64" ht="14.1" customHeight="1">
      <c r="A370" s="379">
        <f t="shared" si="665"/>
        <v>363</v>
      </c>
      <c r="B370" s="22" t="s">
        <v>242</v>
      </c>
      <c r="C370" s="38">
        <f t="shared" si="700"/>
        <v>-240089.12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-139143.12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f>-95979+43809-48776</f>
        <v>-100946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0</v>
      </c>
      <c r="AW370" s="10">
        <v>0</v>
      </c>
      <c r="AX370" s="10">
        <v>0</v>
      </c>
      <c r="AY370" s="10">
        <v>0</v>
      </c>
      <c r="AZ370" s="10">
        <v>0</v>
      </c>
      <c r="BA370" s="10">
        <v>0</v>
      </c>
      <c r="BB370" s="10">
        <v>0</v>
      </c>
      <c r="BC370" s="10">
        <v>0</v>
      </c>
      <c r="BD370" s="10">
        <v>0</v>
      </c>
      <c r="BE370" s="10">
        <v>0</v>
      </c>
      <c r="BF370" s="10">
        <v>0</v>
      </c>
      <c r="BG370" s="10">
        <v>0</v>
      </c>
      <c r="BH370" s="10">
        <v>0</v>
      </c>
      <c r="BI370" s="10">
        <v>0</v>
      </c>
      <c r="BJ370" s="10">
        <v>0</v>
      </c>
      <c r="BK370" s="10">
        <v>0</v>
      </c>
      <c r="BL370" s="10">
        <v>0</v>
      </c>
    </row>
    <row r="371" spans="1:64" ht="12.75" customHeight="1">
      <c r="A371" s="379">
        <f t="shared" si="665"/>
        <v>364</v>
      </c>
      <c r="B371" s="22" t="s">
        <v>322</v>
      </c>
      <c r="C371" s="38">
        <f t="shared" si="700"/>
        <v>511729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511729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0</v>
      </c>
      <c r="AW371" s="10">
        <v>0</v>
      </c>
      <c r="AX371" s="10">
        <v>0</v>
      </c>
      <c r="AY371" s="10">
        <v>0</v>
      </c>
      <c r="AZ371" s="10">
        <v>0</v>
      </c>
      <c r="BA371" s="10">
        <v>0</v>
      </c>
      <c r="BB371" s="10">
        <v>0</v>
      </c>
      <c r="BC371" s="10">
        <v>0</v>
      </c>
      <c r="BD371" s="10">
        <v>0</v>
      </c>
      <c r="BE371" s="10">
        <v>0</v>
      </c>
      <c r="BF371" s="10">
        <v>0</v>
      </c>
      <c r="BG371" s="10">
        <v>0</v>
      </c>
      <c r="BH371" s="10">
        <v>0</v>
      </c>
      <c r="BI371" s="10">
        <v>0</v>
      </c>
      <c r="BJ371" s="10">
        <v>0</v>
      </c>
      <c r="BK371" s="10">
        <v>0</v>
      </c>
      <c r="BL371" s="10">
        <v>0</v>
      </c>
    </row>
    <row r="372" spans="1:64" ht="14.1" customHeight="1">
      <c r="A372" s="379">
        <f t="shared" si="665"/>
        <v>365</v>
      </c>
      <c r="B372" s="22" t="s">
        <v>243</v>
      </c>
      <c r="C372" s="38">
        <f t="shared" si="700"/>
        <v>-263353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  <c r="AM372" s="10">
        <v>0</v>
      </c>
      <c r="AN372" s="10">
        <v>0</v>
      </c>
      <c r="AO372" s="10">
        <v>0</v>
      </c>
      <c r="AP372" s="10">
        <v>-263353</v>
      </c>
      <c r="AQ372" s="10">
        <v>0</v>
      </c>
      <c r="AR372" s="10">
        <v>0</v>
      </c>
      <c r="AS372" s="10">
        <v>0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0">
        <v>0</v>
      </c>
      <c r="AZ372" s="10">
        <v>0</v>
      </c>
      <c r="BA372" s="10">
        <v>0</v>
      </c>
      <c r="BB372" s="10">
        <v>0</v>
      </c>
      <c r="BC372" s="10">
        <v>0</v>
      </c>
      <c r="BD372" s="10">
        <v>0</v>
      </c>
      <c r="BE372" s="10">
        <v>0</v>
      </c>
      <c r="BF372" s="10">
        <v>0</v>
      </c>
      <c r="BG372" s="10">
        <v>0</v>
      </c>
      <c r="BH372" s="10">
        <v>0</v>
      </c>
      <c r="BI372" s="10">
        <v>0</v>
      </c>
      <c r="BJ372" s="10">
        <v>0</v>
      </c>
      <c r="BK372" s="10">
        <v>0</v>
      </c>
      <c r="BL372" s="10">
        <v>0</v>
      </c>
    </row>
    <row r="373" spans="1:64" ht="14.1" customHeight="1">
      <c r="A373" s="379">
        <f t="shared" si="665"/>
        <v>366</v>
      </c>
      <c r="B373" s="22" t="s">
        <v>244</v>
      </c>
      <c r="C373" s="38">
        <f t="shared" si="700"/>
        <v>-1417.6599999999999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-673.66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f>-319+2-427</f>
        <v>-744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0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0">
        <v>0</v>
      </c>
      <c r="AZ373" s="10">
        <v>0</v>
      </c>
      <c r="BA373" s="10">
        <v>0</v>
      </c>
      <c r="BB373" s="10">
        <v>0</v>
      </c>
      <c r="BC373" s="10">
        <v>0</v>
      </c>
      <c r="BD373" s="10">
        <v>0</v>
      </c>
      <c r="BE373" s="10">
        <v>0</v>
      </c>
      <c r="BF373" s="10">
        <v>0</v>
      </c>
      <c r="BG373" s="10">
        <v>0</v>
      </c>
      <c r="BH373" s="10">
        <v>0</v>
      </c>
      <c r="BI373" s="10">
        <v>0</v>
      </c>
      <c r="BJ373" s="10">
        <v>0</v>
      </c>
      <c r="BK373" s="10">
        <v>0</v>
      </c>
      <c r="BL373" s="10">
        <v>0</v>
      </c>
    </row>
    <row r="374" spans="1:64" ht="14.1" customHeight="1">
      <c r="A374" s="379">
        <f t="shared" si="665"/>
        <v>367</v>
      </c>
      <c r="B374" s="22" t="s">
        <v>245</v>
      </c>
      <c r="C374" s="38">
        <f t="shared" si="700"/>
        <v>-2677.09</v>
      </c>
      <c r="D374" s="10">
        <v>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-1820.09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f>-900+516-473</f>
        <v>-857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0">
        <v>0</v>
      </c>
      <c r="AZ374" s="10">
        <v>0</v>
      </c>
      <c r="BA374" s="10">
        <v>0</v>
      </c>
      <c r="BB374" s="10">
        <v>0</v>
      </c>
      <c r="BC374" s="10">
        <v>0</v>
      </c>
      <c r="BD374" s="10">
        <v>0</v>
      </c>
      <c r="BE374" s="10">
        <v>0</v>
      </c>
      <c r="BF374" s="10">
        <v>0</v>
      </c>
      <c r="BG374" s="10">
        <v>0</v>
      </c>
      <c r="BH374" s="10">
        <v>0</v>
      </c>
      <c r="BI374" s="10">
        <v>0</v>
      </c>
      <c r="BJ374" s="10">
        <v>0</v>
      </c>
      <c r="BK374" s="10">
        <v>0</v>
      </c>
      <c r="BL374" s="10">
        <v>0</v>
      </c>
    </row>
    <row r="375" spans="1:64" s="21" customFormat="1" ht="14.1" customHeight="1">
      <c r="A375" s="379">
        <f t="shared" si="665"/>
        <v>368</v>
      </c>
      <c r="B375" s="22" t="s">
        <v>246</v>
      </c>
      <c r="C375" s="38">
        <f t="shared" si="700"/>
        <v>1294.6300000000001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2314.63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f>-508+47-559</f>
        <v>-1020</v>
      </c>
      <c r="AE375" s="10">
        <v>0</v>
      </c>
      <c r="AF375" s="10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  <c r="AM375" s="10">
        <v>0</v>
      </c>
      <c r="AN375" s="10">
        <v>0</v>
      </c>
      <c r="AO375" s="10">
        <v>0</v>
      </c>
      <c r="AP375" s="10">
        <v>0</v>
      </c>
      <c r="AQ375" s="10">
        <v>0</v>
      </c>
      <c r="AR375" s="10">
        <v>0</v>
      </c>
      <c r="AS375" s="10">
        <v>0</v>
      </c>
      <c r="AT375" s="10">
        <v>0</v>
      </c>
      <c r="AU375" s="10">
        <v>0</v>
      </c>
      <c r="AV375" s="10">
        <v>0</v>
      </c>
      <c r="AW375" s="10">
        <v>0</v>
      </c>
      <c r="AX375" s="10">
        <v>0</v>
      </c>
      <c r="AY375" s="10">
        <v>0</v>
      </c>
      <c r="AZ375" s="10">
        <v>0</v>
      </c>
      <c r="BA375" s="10">
        <v>0</v>
      </c>
      <c r="BB375" s="10">
        <v>0</v>
      </c>
      <c r="BC375" s="10">
        <v>0</v>
      </c>
      <c r="BD375" s="10">
        <v>0</v>
      </c>
      <c r="BE375" s="10">
        <v>0</v>
      </c>
      <c r="BF375" s="10">
        <v>0</v>
      </c>
      <c r="BG375" s="10">
        <v>0</v>
      </c>
      <c r="BH375" s="10">
        <v>0</v>
      </c>
      <c r="BI375" s="10">
        <v>0</v>
      </c>
      <c r="BJ375" s="10">
        <v>0</v>
      </c>
      <c r="BK375" s="10">
        <v>0</v>
      </c>
      <c r="BL375" s="10">
        <v>0</v>
      </c>
    </row>
    <row r="376" spans="1:64" ht="14.1" customHeight="1">
      <c r="A376" s="379">
        <f t="shared" si="665"/>
        <v>369</v>
      </c>
      <c r="B376" s="22" t="s">
        <v>247</v>
      </c>
      <c r="C376" s="38">
        <f t="shared" si="700"/>
        <v>-1620.9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74.099999999999994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f>-754+30-971</f>
        <v>-1695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0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0">
        <v>0</v>
      </c>
      <c r="AZ376" s="10">
        <v>0</v>
      </c>
      <c r="BA376" s="10">
        <v>0</v>
      </c>
      <c r="BB376" s="10">
        <v>0</v>
      </c>
      <c r="BC376" s="10">
        <v>0</v>
      </c>
      <c r="BD376" s="10">
        <v>0</v>
      </c>
      <c r="BE376" s="10">
        <v>0</v>
      </c>
      <c r="BF376" s="10">
        <v>0</v>
      </c>
      <c r="BG376" s="10">
        <v>0</v>
      </c>
      <c r="BH376" s="10">
        <v>0</v>
      </c>
      <c r="BI376" s="10">
        <v>0</v>
      </c>
      <c r="BJ376" s="10">
        <v>0</v>
      </c>
      <c r="BK376" s="10">
        <v>0</v>
      </c>
      <c r="BL376" s="10">
        <v>0</v>
      </c>
    </row>
    <row r="377" spans="1:64" ht="14.1" customHeight="1">
      <c r="A377" s="379">
        <f t="shared" si="665"/>
        <v>370</v>
      </c>
      <c r="B377" s="56" t="s">
        <v>248</v>
      </c>
      <c r="C377" s="38">
        <f t="shared" si="700"/>
        <v>1021.54</v>
      </c>
      <c r="D377" s="43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43">
        <v>0</v>
      </c>
      <c r="M377" s="43">
        <v>0</v>
      </c>
      <c r="N377" s="43">
        <v>0</v>
      </c>
      <c r="O377" s="43">
        <v>0</v>
      </c>
      <c r="P377" s="43">
        <v>0</v>
      </c>
      <c r="Q377" s="43">
        <v>0</v>
      </c>
      <c r="R377" s="43">
        <v>0</v>
      </c>
      <c r="S377" s="43">
        <v>0</v>
      </c>
      <c r="T377" s="43">
        <v>0</v>
      </c>
      <c r="U377" s="43">
        <v>0</v>
      </c>
      <c r="V377" s="43">
        <v>0</v>
      </c>
      <c r="W377" s="43">
        <v>1474.54</v>
      </c>
      <c r="X377" s="43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f>-231+26-248</f>
        <v>-453</v>
      </c>
      <c r="AE377" s="43">
        <v>0</v>
      </c>
      <c r="AF377" s="43">
        <v>0</v>
      </c>
      <c r="AG377" s="43">
        <v>0</v>
      </c>
      <c r="AH377" s="43">
        <v>0</v>
      </c>
      <c r="AI377" s="43">
        <v>0</v>
      </c>
      <c r="AJ377" s="43">
        <v>0</v>
      </c>
      <c r="AK377" s="43">
        <v>0</v>
      </c>
      <c r="AL377" s="43">
        <v>0</v>
      </c>
      <c r="AM377" s="43">
        <v>0</v>
      </c>
      <c r="AN377" s="43">
        <v>0</v>
      </c>
      <c r="AO377" s="43">
        <v>0</v>
      </c>
      <c r="AP377" s="43">
        <v>0</v>
      </c>
      <c r="AQ377" s="43">
        <v>0</v>
      </c>
      <c r="AR377" s="43">
        <v>0</v>
      </c>
      <c r="AS377" s="43">
        <v>0</v>
      </c>
      <c r="AT377" s="43">
        <v>0</v>
      </c>
      <c r="AU377" s="43">
        <v>0</v>
      </c>
      <c r="AV377" s="43">
        <v>0</v>
      </c>
      <c r="AW377" s="43">
        <v>0</v>
      </c>
      <c r="AX377" s="43">
        <v>0</v>
      </c>
      <c r="AY377" s="43">
        <v>0</v>
      </c>
      <c r="AZ377" s="43">
        <v>0</v>
      </c>
      <c r="BA377" s="43">
        <v>0</v>
      </c>
      <c r="BB377" s="43">
        <v>0</v>
      </c>
      <c r="BC377" s="43">
        <v>0</v>
      </c>
      <c r="BD377" s="43">
        <v>0</v>
      </c>
      <c r="BE377" s="43">
        <v>0</v>
      </c>
      <c r="BF377" s="43">
        <v>0</v>
      </c>
      <c r="BG377" s="43">
        <v>0</v>
      </c>
      <c r="BH377" s="43">
        <v>0</v>
      </c>
      <c r="BI377" s="43">
        <v>0</v>
      </c>
      <c r="BJ377" s="43">
        <v>0</v>
      </c>
      <c r="BK377" s="43">
        <v>0</v>
      </c>
      <c r="BL377" s="43">
        <v>0</v>
      </c>
    </row>
    <row r="378" spans="1:64" ht="14.1" customHeight="1">
      <c r="A378" s="379">
        <f t="shared" si="665"/>
        <v>371</v>
      </c>
      <c r="B378" s="20" t="s">
        <v>507</v>
      </c>
      <c r="C378" s="47">
        <f t="shared" ref="C378:K378" si="701">SUM(C367:C377)</f>
        <v>4277.6600000000144</v>
      </c>
      <c r="D378" s="47">
        <f t="shared" si="701"/>
        <v>0</v>
      </c>
      <c r="E378" s="47">
        <f t="shared" si="701"/>
        <v>0</v>
      </c>
      <c r="F378" s="47">
        <f t="shared" si="701"/>
        <v>0</v>
      </c>
      <c r="G378" s="47">
        <f t="shared" si="701"/>
        <v>0</v>
      </c>
      <c r="H378" s="47">
        <f t="shared" si="701"/>
        <v>0</v>
      </c>
      <c r="I378" s="47">
        <f t="shared" si="701"/>
        <v>0</v>
      </c>
      <c r="J378" s="47">
        <f t="shared" si="701"/>
        <v>0</v>
      </c>
      <c r="K378" s="47">
        <f t="shared" si="701"/>
        <v>0</v>
      </c>
      <c r="L378" s="47">
        <f t="shared" ref="L378:Y378" si="702">SUM(L367:L377)</f>
        <v>0</v>
      </c>
      <c r="M378" s="47">
        <f t="shared" si="702"/>
        <v>0</v>
      </c>
      <c r="N378" s="47">
        <f t="shared" si="702"/>
        <v>0</v>
      </c>
      <c r="O378" s="47">
        <f t="shared" si="702"/>
        <v>0</v>
      </c>
      <c r="P378" s="47">
        <f t="shared" si="702"/>
        <v>0</v>
      </c>
      <c r="Q378" s="47">
        <f t="shared" si="702"/>
        <v>0</v>
      </c>
      <c r="R378" s="47">
        <f t="shared" si="702"/>
        <v>0</v>
      </c>
      <c r="S378" s="47">
        <f t="shared" si="702"/>
        <v>511729</v>
      </c>
      <c r="T378" s="47">
        <f>SUM(T367:T377)</f>
        <v>0</v>
      </c>
      <c r="U378" s="47">
        <f t="shared" si="702"/>
        <v>0</v>
      </c>
      <c r="V378" s="47">
        <f t="shared" si="702"/>
        <v>0</v>
      </c>
      <c r="W378" s="47">
        <f t="shared" si="702"/>
        <v>-138327.33999999997</v>
      </c>
      <c r="X378" s="47">
        <f t="shared" si="702"/>
        <v>0</v>
      </c>
      <c r="Y378" s="47">
        <f t="shared" si="702"/>
        <v>0</v>
      </c>
      <c r="Z378" s="47">
        <f t="shared" ref="Z378:AE378" si="703">SUM(Z367:Z377)</f>
        <v>0</v>
      </c>
      <c r="AA378" s="47">
        <f t="shared" si="703"/>
        <v>0</v>
      </c>
      <c r="AB378" s="47">
        <f t="shared" si="703"/>
        <v>0</v>
      </c>
      <c r="AC378" s="47">
        <f t="shared" si="703"/>
        <v>0</v>
      </c>
      <c r="AD378" s="47">
        <f t="shared" si="703"/>
        <v>-105771</v>
      </c>
      <c r="AE378" s="47">
        <f t="shared" si="703"/>
        <v>0</v>
      </c>
      <c r="AF378" s="47">
        <f t="shared" ref="AF378:AL378" si="704">SUM(AF367:AF377)</f>
        <v>0</v>
      </c>
      <c r="AG378" s="47">
        <f t="shared" si="704"/>
        <v>0</v>
      </c>
      <c r="AH378" s="47">
        <f t="shared" si="704"/>
        <v>0</v>
      </c>
      <c r="AI378" s="47">
        <f t="shared" si="704"/>
        <v>0</v>
      </c>
      <c r="AJ378" s="47">
        <f t="shared" si="704"/>
        <v>0</v>
      </c>
      <c r="AK378" s="47">
        <f t="shared" si="704"/>
        <v>0</v>
      </c>
      <c r="AL378" s="47">
        <f t="shared" si="704"/>
        <v>0</v>
      </c>
      <c r="AM378" s="47">
        <f t="shared" ref="AM378:BB378" si="705">SUM(AM367:AM377)</f>
        <v>0</v>
      </c>
      <c r="AN378" s="47">
        <f t="shared" si="705"/>
        <v>0</v>
      </c>
      <c r="AO378" s="47">
        <f t="shared" si="705"/>
        <v>0</v>
      </c>
      <c r="AP378" s="47">
        <f t="shared" si="705"/>
        <v>-263353</v>
      </c>
      <c r="AQ378" s="47">
        <f>SUM(AQ367:AQ377)</f>
        <v>0</v>
      </c>
      <c r="AR378" s="47">
        <f>SUM(AR367:AR377)</f>
        <v>0</v>
      </c>
      <c r="AS378" s="47">
        <f t="shared" ref="AS378:AY378" si="706">SUM(AS367:AS377)</f>
        <v>0</v>
      </c>
      <c r="AT378" s="47">
        <f t="shared" si="706"/>
        <v>0</v>
      </c>
      <c r="AU378" s="47">
        <f>SUM(AU367:AU377)</f>
        <v>0</v>
      </c>
      <c r="AV378" s="47">
        <f t="shared" si="706"/>
        <v>0</v>
      </c>
      <c r="AW378" s="47">
        <f t="shared" si="706"/>
        <v>0</v>
      </c>
      <c r="AX378" s="47">
        <f t="shared" si="706"/>
        <v>0</v>
      </c>
      <c r="AY378" s="47">
        <f t="shared" si="706"/>
        <v>0</v>
      </c>
      <c r="AZ378" s="47">
        <f>SUM(AZ367:AZ377)</f>
        <v>0</v>
      </c>
      <c r="BA378" s="47">
        <f t="shared" si="705"/>
        <v>0</v>
      </c>
      <c r="BB378" s="47">
        <f t="shared" si="705"/>
        <v>0</v>
      </c>
      <c r="BC378" s="47">
        <f>SUM(BC367:BC377)</f>
        <v>0</v>
      </c>
      <c r="BD378" s="47">
        <f>SUM(BD367:BD377)</f>
        <v>0</v>
      </c>
      <c r="BE378" s="47">
        <f t="shared" ref="BE378:BG378" si="707">SUM(BE367:BE377)</f>
        <v>0</v>
      </c>
      <c r="BF378" s="47">
        <f t="shared" si="707"/>
        <v>0</v>
      </c>
      <c r="BG378" s="47">
        <f t="shared" si="707"/>
        <v>0</v>
      </c>
      <c r="BH378" s="47">
        <f t="shared" ref="BH378:BL378" si="708">SUM(BH367:BH377)</f>
        <v>0</v>
      </c>
      <c r="BI378" s="47">
        <f t="shared" si="708"/>
        <v>0</v>
      </c>
      <c r="BJ378" s="47">
        <f t="shared" si="708"/>
        <v>0</v>
      </c>
      <c r="BK378" s="47">
        <f t="shared" si="708"/>
        <v>0</v>
      </c>
      <c r="BL378" s="47">
        <f t="shared" si="708"/>
        <v>0</v>
      </c>
    </row>
    <row r="379" spans="1:64" ht="14.1" customHeight="1">
      <c r="A379" s="379">
        <f t="shared" si="665"/>
        <v>372</v>
      </c>
      <c r="B379" s="1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</row>
    <row r="380" spans="1:64" ht="14.1" customHeight="1">
      <c r="A380" s="379">
        <f t="shared" si="665"/>
        <v>373</v>
      </c>
      <c r="B380" s="20" t="s">
        <v>249</v>
      </c>
      <c r="C380" s="16">
        <f t="shared" ref="C380:K380" si="709">C365+C378</f>
        <v>28506.320000000047</v>
      </c>
      <c r="D380" s="16">
        <f t="shared" si="709"/>
        <v>0</v>
      </c>
      <c r="E380" s="16">
        <f t="shared" si="709"/>
        <v>0</v>
      </c>
      <c r="F380" s="16">
        <f t="shared" si="709"/>
        <v>0</v>
      </c>
      <c r="G380" s="16">
        <f t="shared" si="709"/>
        <v>0</v>
      </c>
      <c r="H380" s="16">
        <f t="shared" si="709"/>
        <v>0</v>
      </c>
      <c r="I380" s="16">
        <f t="shared" si="709"/>
        <v>0</v>
      </c>
      <c r="J380" s="16">
        <f t="shared" si="709"/>
        <v>0</v>
      </c>
      <c r="K380" s="16">
        <f t="shared" si="709"/>
        <v>0</v>
      </c>
      <c r="L380" s="16">
        <f t="shared" ref="L380:Y380" si="710">L365+L378</f>
        <v>0</v>
      </c>
      <c r="M380" s="16">
        <f t="shared" si="710"/>
        <v>0</v>
      </c>
      <c r="N380" s="16">
        <f t="shared" si="710"/>
        <v>0</v>
      </c>
      <c r="O380" s="16">
        <f t="shared" si="710"/>
        <v>0</v>
      </c>
      <c r="P380" s="16">
        <f t="shared" si="710"/>
        <v>0</v>
      </c>
      <c r="Q380" s="16">
        <f t="shared" si="710"/>
        <v>0</v>
      </c>
      <c r="R380" s="16">
        <f t="shared" si="710"/>
        <v>0</v>
      </c>
      <c r="S380" s="16">
        <f t="shared" si="710"/>
        <v>511729</v>
      </c>
      <c r="T380" s="16">
        <f>T365+T378</f>
        <v>0</v>
      </c>
      <c r="U380" s="16">
        <f t="shared" si="710"/>
        <v>0</v>
      </c>
      <c r="V380" s="16">
        <f t="shared" si="710"/>
        <v>0</v>
      </c>
      <c r="W380" s="16">
        <f t="shared" si="710"/>
        <v>-109811.67999999996</v>
      </c>
      <c r="X380" s="16">
        <f t="shared" si="710"/>
        <v>0</v>
      </c>
      <c r="Y380" s="16">
        <f t="shared" si="710"/>
        <v>0</v>
      </c>
      <c r="Z380" s="16">
        <f t="shared" ref="Z380:AE380" si="711">Z365+Z378</f>
        <v>0</v>
      </c>
      <c r="AA380" s="16">
        <f t="shared" si="711"/>
        <v>0</v>
      </c>
      <c r="AB380" s="16">
        <f t="shared" si="711"/>
        <v>0</v>
      </c>
      <c r="AC380" s="16">
        <f t="shared" si="711"/>
        <v>0</v>
      </c>
      <c r="AD380" s="16">
        <f t="shared" si="711"/>
        <v>-250197</v>
      </c>
      <c r="AE380" s="16">
        <f t="shared" si="711"/>
        <v>-8148</v>
      </c>
      <c r="AF380" s="16">
        <f t="shared" ref="AF380:AL380" si="712">AF365+AF378</f>
        <v>0</v>
      </c>
      <c r="AG380" s="16">
        <f t="shared" si="712"/>
        <v>0</v>
      </c>
      <c r="AH380" s="16">
        <f t="shared" si="712"/>
        <v>0</v>
      </c>
      <c r="AI380" s="16">
        <f t="shared" si="712"/>
        <v>0</v>
      </c>
      <c r="AJ380" s="16">
        <f t="shared" si="712"/>
        <v>0</v>
      </c>
      <c r="AK380" s="16">
        <f t="shared" si="712"/>
        <v>0</v>
      </c>
      <c r="AL380" s="16">
        <f t="shared" si="712"/>
        <v>0</v>
      </c>
      <c r="AM380" s="16">
        <f t="shared" ref="AM380:BB380" si="713">AM365+AM378</f>
        <v>0</v>
      </c>
      <c r="AN380" s="16">
        <f t="shared" si="713"/>
        <v>0</v>
      </c>
      <c r="AO380" s="16">
        <f t="shared" si="713"/>
        <v>0</v>
      </c>
      <c r="AP380" s="16">
        <f t="shared" si="713"/>
        <v>-263353</v>
      </c>
      <c r="AQ380" s="16">
        <f>AQ365+AQ378</f>
        <v>0</v>
      </c>
      <c r="AR380" s="16">
        <f>AR365+AR378</f>
        <v>0</v>
      </c>
      <c r="AS380" s="16">
        <f t="shared" ref="AS380:AY380" si="714">AS365+AS378</f>
        <v>0</v>
      </c>
      <c r="AT380" s="16">
        <f t="shared" si="714"/>
        <v>0</v>
      </c>
      <c r="AU380" s="16">
        <f>AU365+AU378</f>
        <v>226538</v>
      </c>
      <c r="AV380" s="16">
        <f t="shared" si="714"/>
        <v>-78251</v>
      </c>
      <c r="AW380" s="16">
        <f t="shared" si="714"/>
        <v>0</v>
      </c>
      <c r="AX380" s="16">
        <f t="shared" si="714"/>
        <v>0</v>
      </c>
      <c r="AY380" s="16">
        <f t="shared" si="714"/>
        <v>0</v>
      </c>
      <c r="AZ380" s="16">
        <f>AZ365+AZ378</f>
        <v>0</v>
      </c>
      <c r="BA380" s="16">
        <f t="shared" si="713"/>
        <v>0</v>
      </c>
      <c r="BB380" s="16">
        <f t="shared" si="713"/>
        <v>0</v>
      </c>
      <c r="BC380" s="16">
        <f>BC365+BC378</f>
        <v>0</v>
      </c>
      <c r="BD380" s="16">
        <f>BD365+BD378</f>
        <v>0</v>
      </c>
      <c r="BE380" s="16">
        <f t="shared" ref="BE380:BG380" si="715">BE365+BE378</f>
        <v>0</v>
      </c>
      <c r="BF380" s="16">
        <f t="shared" si="715"/>
        <v>0</v>
      </c>
      <c r="BG380" s="16">
        <f t="shared" si="715"/>
        <v>0</v>
      </c>
      <c r="BH380" s="16">
        <f t="shared" ref="BH380:BL380" si="716">BH365+BH378</f>
        <v>0</v>
      </c>
      <c r="BI380" s="16">
        <f t="shared" si="716"/>
        <v>0</v>
      </c>
      <c r="BJ380" s="16">
        <f t="shared" si="716"/>
        <v>0</v>
      </c>
      <c r="BK380" s="16">
        <f t="shared" si="716"/>
        <v>0</v>
      </c>
      <c r="BL380" s="16">
        <f t="shared" si="716"/>
        <v>0</v>
      </c>
    </row>
    <row r="381" spans="1:64" ht="14.1" customHeight="1">
      <c r="A381" s="379">
        <f t="shared" si="665"/>
        <v>374</v>
      </c>
      <c r="B381" s="129"/>
      <c r="C381" s="163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</row>
    <row r="382" spans="1:64" ht="14.1" customHeight="1">
      <c r="A382" s="379">
        <f t="shared" si="665"/>
        <v>375</v>
      </c>
      <c r="B382" s="13" t="s">
        <v>250</v>
      </c>
      <c r="C382" s="61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</row>
    <row r="383" spans="1:64" ht="14.1" customHeight="1">
      <c r="A383" s="379">
        <f t="shared" si="665"/>
        <v>376</v>
      </c>
      <c r="B383" s="22" t="s">
        <v>251</v>
      </c>
      <c r="C383" s="38">
        <f t="shared" ref="C383:C388" si="717">SUM(D383:BI383)</f>
        <v>-670.17000000000007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-257.17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f>-164-249</f>
        <v>-413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0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0</v>
      </c>
      <c r="AU383" s="10">
        <v>0</v>
      </c>
      <c r="AV383" s="10">
        <v>0</v>
      </c>
      <c r="AW383" s="10">
        <v>0</v>
      </c>
      <c r="AX383" s="10">
        <v>0</v>
      </c>
      <c r="AY383" s="10">
        <v>0</v>
      </c>
      <c r="AZ383" s="10">
        <v>0</v>
      </c>
      <c r="BA383" s="10">
        <v>0</v>
      </c>
      <c r="BB383" s="10">
        <v>0</v>
      </c>
      <c r="BC383" s="10">
        <v>0</v>
      </c>
      <c r="BD383" s="10">
        <v>0</v>
      </c>
      <c r="BE383" s="10">
        <v>0</v>
      </c>
      <c r="BF383" s="10">
        <v>0</v>
      </c>
      <c r="BG383" s="10">
        <v>0</v>
      </c>
      <c r="BH383" s="10">
        <v>0</v>
      </c>
      <c r="BI383" s="10">
        <v>0</v>
      </c>
      <c r="BJ383" s="10">
        <v>0</v>
      </c>
      <c r="BK383" s="10">
        <v>0</v>
      </c>
      <c r="BL383" s="10">
        <v>0</v>
      </c>
    </row>
    <row r="384" spans="1:64" ht="14.1" customHeight="1">
      <c r="A384" s="379">
        <f t="shared" si="665"/>
        <v>377</v>
      </c>
      <c r="B384" s="22" t="s">
        <v>252</v>
      </c>
      <c r="C384" s="38">
        <f t="shared" si="717"/>
        <v>-16946.7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-2929.7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f>-6403+125-7739</f>
        <v>-14017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0</v>
      </c>
      <c r="AS384" s="10">
        <v>0</v>
      </c>
      <c r="AT384" s="10">
        <v>0</v>
      </c>
      <c r="AU384" s="10">
        <v>0</v>
      </c>
      <c r="AV384" s="10">
        <v>0</v>
      </c>
      <c r="AW384" s="10">
        <v>0</v>
      </c>
      <c r="AX384" s="10">
        <v>0</v>
      </c>
      <c r="AY384" s="10">
        <v>0</v>
      </c>
      <c r="AZ384" s="10">
        <v>0</v>
      </c>
      <c r="BA384" s="10">
        <v>0</v>
      </c>
      <c r="BB384" s="10">
        <v>0</v>
      </c>
      <c r="BC384" s="10">
        <v>0</v>
      </c>
      <c r="BD384" s="10">
        <v>0</v>
      </c>
      <c r="BE384" s="10">
        <v>0</v>
      </c>
      <c r="BF384" s="10">
        <v>0</v>
      </c>
      <c r="BG384" s="10">
        <v>0</v>
      </c>
      <c r="BH384" s="10">
        <v>0</v>
      </c>
      <c r="BI384" s="10">
        <v>0</v>
      </c>
      <c r="BJ384" s="10">
        <v>0</v>
      </c>
      <c r="BK384" s="10">
        <v>0</v>
      </c>
      <c r="BL384" s="10">
        <v>0</v>
      </c>
    </row>
    <row r="385" spans="1:64" ht="14.1" customHeight="1">
      <c r="A385" s="379">
        <f t="shared" si="665"/>
        <v>378</v>
      </c>
      <c r="B385" s="22" t="s">
        <v>253</v>
      </c>
      <c r="C385" s="38">
        <f t="shared" si="717"/>
        <v>-32938.44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-14866.44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f>-30552+2637-31864</f>
        <v>-59779</v>
      </c>
      <c r="AE385" s="10">
        <v>0</v>
      </c>
      <c r="AF385" s="10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0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41707</v>
      </c>
      <c r="AX385" s="10">
        <v>0</v>
      </c>
      <c r="AY385" s="10">
        <v>0</v>
      </c>
      <c r="AZ385" s="10">
        <v>0</v>
      </c>
      <c r="BA385" s="10">
        <v>0</v>
      </c>
      <c r="BB385" s="10">
        <v>0</v>
      </c>
      <c r="BC385" s="10">
        <v>0</v>
      </c>
      <c r="BD385" s="10">
        <v>0</v>
      </c>
      <c r="BE385" s="10">
        <v>0</v>
      </c>
      <c r="BF385" s="10">
        <v>0</v>
      </c>
      <c r="BG385" s="10">
        <v>0</v>
      </c>
      <c r="BH385" s="10">
        <v>0</v>
      </c>
      <c r="BI385" s="10">
        <v>0</v>
      </c>
      <c r="BJ385" s="10">
        <v>0</v>
      </c>
      <c r="BK385" s="10">
        <v>0</v>
      </c>
      <c r="BL385" s="10">
        <v>0</v>
      </c>
    </row>
    <row r="386" spans="1:64" ht="14.1" customHeight="1">
      <c r="A386" s="379">
        <f t="shared" si="665"/>
        <v>379</v>
      </c>
      <c r="B386" s="22" t="s">
        <v>254</v>
      </c>
      <c r="C386" s="38">
        <f t="shared" si="717"/>
        <v>0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0">
        <v>0</v>
      </c>
      <c r="AF386" s="10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  <c r="AM386" s="10">
        <v>0</v>
      </c>
      <c r="AN386" s="10">
        <v>0</v>
      </c>
      <c r="AO386" s="10">
        <v>0</v>
      </c>
      <c r="AP386" s="10">
        <v>0</v>
      </c>
      <c r="AQ386" s="10">
        <v>0</v>
      </c>
      <c r="AR386" s="10">
        <v>0</v>
      </c>
      <c r="AS386" s="10">
        <v>0</v>
      </c>
      <c r="AT386" s="10">
        <v>0</v>
      </c>
      <c r="AU386" s="10">
        <v>0</v>
      </c>
      <c r="AV386" s="10">
        <v>0</v>
      </c>
      <c r="AW386" s="10">
        <v>0</v>
      </c>
      <c r="AX386" s="10">
        <v>0</v>
      </c>
      <c r="AY386" s="10">
        <v>0</v>
      </c>
      <c r="AZ386" s="10">
        <v>0</v>
      </c>
      <c r="BA386" s="10">
        <v>0</v>
      </c>
      <c r="BB386" s="10">
        <v>0</v>
      </c>
      <c r="BC386" s="10">
        <v>0</v>
      </c>
      <c r="BD386" s="10">
        <v>0</v>
      </c>
      <c r="BE386" s="10">
        <v>0</v>
      </c>
      <c r="BF386" s="10">
        <v>0</v>
      </c>
      <c r="BG386" s="10">
        <v>0</v>
      </c>
      <c r="BH386" s="10">
        <v>0</v>
      </c>
      <c r="BI386" s="10">
        <v>0</v>
      </c>
      <c r="BJ386" s="10">
        <v>0</v>
      </c>
      <c r="BK386" s="10">
        <v>0</v>
      </c>
      <c r="BL386" s="10">
        <v>0</v>
      </c>
    </row>
    <row r="387" spans="1:64" s="21" customFormat="1" ht="14.1" customHeight="1">
      <c r="A387" s="379">
        <f t="shared" si="665"/>
        <v>380</v>
      </c>
      <c r="B387" s="22" t="s">
        <v>255</v>
      </c>
      <c r="C387" s="38">
        <f t="shared" si="717"/>
        <v>0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  <c r="AM387" s="10">
        <v>0</v>
      </c>
      <c r="AN387" s="10">
        <v>0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0</v>
      </c>
      <c r="AU387" s="10">
        <v>0</v>
      </c>
      <c r="AV387" s="10">
        <v>0</v>
      </c>
      <c r="AW387" s="10">
        <v>0</v>
      </c>
      <c r="AX387" s="10">
        <v>0</v>
      </c>
      <c r="AY387" s="10">
        <v>0</v>
      </c>
      <c r="AZ387" s="10">
        <v>0</v>
      </c>
      <c r="BA387" s="10">
        <v>0</v>
      </c>
      <c r="BB387" s="10">
        <v>0</v>
      </c>
      <c r="BC387" s="10">
        <v>0</v>
      </c>
      <c r="BD387" s="10">
        <v>0</v>
      </c>
      <c r="BE387" s="10">
        <v>0</v>
      </c>
      <c r="BF387" s="10">
        <v>0</v>
      </c>
      <c r="BG387" s="10">
        <v>0</v>
      </c>
      <c r="BH387" s="10">
        <v>0</v>
      </c>
      <c r="BI387" s="10">
        <v>0</v>
      </c>
      <c r="BJ387" s="10">
        <v>0</v>
      </c>
      <c r="BK387" s="10">
        <v>0</v>
      </c>
      <c r="BL387" s="10">
        <v>0</v>
      </c>
    </row>
    <row r="388" spans="1:64" ht="14.1" customHeight="1">
      <c r="A388" s="379">
        <f t="shared" si="665"/>
        <v>381</v>
      </c>
      <c r="B388" s="56" t="s">
        <v>256</v>
      </c>
      <c r="C388" s="38">
        <f t="shared" si="717"/>
        <v>0</v>
      </c>
      <c r="D388" s="43">
        <v>0</v>
      </c>
      <c r="E388" s="43">
        <v>0</v>
      </c>
      <c r="F388" s="43">
        <v>0</v>
      </c>
      <c r="G388" s="43">
        <v>0</v>
      </c>
      <c r="H388" s="43">
        <v>0</v>
      </c>
      <c r="I388" s="43">
        <v>0</v>
      </c>
      <c r="J388" s="43">
        <v>0</v>
      </c>
      <c r="K388" s="43">
        <v>0</v>
      </c>
      <c r="L388" s="43">
        <v>0</v>
      </c>
      <c r="M388" s="10">
        <v>0</v>
      </c>
      <c r="N388" s="43">
        <v>0</v>
      </c>
      <c r="O388" s="43">
        <v>0</v>
      </c>
      <c r="P388" s="43">
        <v>0</v>
      </c>
      <c r="Q388" s="43">
        <v>0</v>
      </c>
      <c r="R388" s="43">
        <v>0</v>
      </c>
      <c r="S388" s="43">
        <v>0</v>
      </c>
      <c r="T388" s="43">
        <v>0</v>
      </c>
      <c r="U388" s="43">
        <v>0</v>
      </c>
      <c r="V388" s="43">
        <v>0</v>
      </c>
      <c r="W388" s="43">
        <v>0</v>
      </c>
      <c r="X388" s="43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43">
        <v>0</v>
      </c>
      <c r="AF388" s="43">
        <v>0</v>
      </c>
      <c r="AG388" s="43">
        <v>0</v>
      </c>
      <c r="AH388" s="43">
        <v>0</v>
      </c>
      <c r="AI388" s="43">
        <v>0</v>
      </c>
      <c r="AJ388" s="43">
        <v>0</v>
      </c>
      <c r="AK388" s="43">
        <v>0</v>
      </c>
      <c r="AL388" s="43">
        <v>0</v>
      </c>
      <c r="AM388" s="43">
        <v>0</v>
      </c>
      <c r="AN388" s="43">
        <v>0</v>
      </c>
      <c r="AO388" s="43">
        <v>0</v>
      </c>
      <c r="AP388" s="43">
        <v>0</v>
      </c>
      <c r="AQ388" s="43">
        <v>0</v>
      </c>
      <c r="AR388" s="43">
        <v>0</v>
      </c>
      <c r="AS388" s="43">
        <v>0</v>
      </c>
      <c r="AT388" s="43">
        <v>0</v>
      </c>
      <c r="AU388" s="43">
        <v>0</v>
      </c>
      <c r="AV388" s="43">
        <v>0</v>
      </c>
      <c r="AW388" s="43">
        <v>0</v>
      </c>
      <c r="AX388" s="43">
        <v>0</v>
      </c>
      <c r="AY388" s="43">
        <v>0</v>
      </c>
      <c r="AZ388" s="43">
        <v>0</v>
      </c>
      <c r="BA388" s="43">
        <v>0</v>
      </c>
      <c r="BB388" s="43">
        <v>0</v>
      </c>
      <c r="BC388" s="43">
        <v>0</v>
      </c>
      <c r="BD388" s="43">
        <v>0</v>
      </c>
      <c r="BE388" s="43">
        <v>0</v>
      </c>
      <c r="BF388" s="43">
        <v>0</v>
      </c>
      <c r="BG388" s="43">
        <v>0</v>
      </c>
      <c r="BH388" s="43">
        <v>0</v>
      </c>
      <c r="BI388" s="43">
        <v>0</v>
      </c>
      <c r="BJ388" s="43">
        <v>0</v>
      </c>
      <c r="BK388" s="43">
        <v>0</v>
      </c>
      <c r="BL388" s="43">
        <v>0</v>
      </c>
    </row>
    <row r="389" spans="1:64" ht="14.1" customHeight="1">
      <c r="A389" s="379">
        <f t="shared" si="665"/>
        <v>382</v>
      </c>
      <c r="B389" s="20" t="s">
        <v>508</v>
      </c>
      <c r="C389" s="85">
        <f t="shared" ref="C389:K389" si="718">SUM(C383:C388)</f>
        <v>-50555.310000000005</v>
      </c>
      <c r="D389" s="85">
        <f t="shared" si="718"/>
        <v>0</v>
      </c>
      <c r="E389" s="85">
        <f t="shared" si="718"/>
        <v>0</v>
      </c>
      <c r="F389" s="85">
        <f t="shared" si="718"/>
        <v>0</v>
      </c>
      <c r="G389" s="85">
        <f t="shared" si="718"/>
        <v>0</v>
      </c>
      <c r="H389" s="85">
        <f t="shared" si="718"/>
        <v>0</v>
      </c>
      <c r="I389" s="85">
        <f t="shared" si="718"/>
        <v>0</v>
      </c>
      <c r="J389" s="85">
        <f t="shared" si="718"/>
        <v>0</v>
      </c>
      <c r="K389" s="85">
        <f t="shared" si="718"/>
        <v>0</v>
      </c>
      <c r="L389" s="85">
        <f t="shared" ref="L389:Y389" si="719">SUM(L383:L388)</f>
        <v>0</v>
      </c>
      <c r="M389" s="85">
        <f t="shared" si="719"/>
        <v>0</v>
      </c>
      <c r="N389" s="85">
        <f t="shared" si="719"/>
        <v>0</v>
      </c>
      <c r="O389" s="85">
        <f t="shared" si="719"/>
        <v>0</v>
      </c>
      <c r="P389" s="85">
        <f t="shared" si="719"/>
        <v>0</v>
      </c>
      <c r="Q389" s="85">
        <f t="shared" si="719"/>
        <v>0</v>
      </c>
      <c r="R389" s="85">
        <f t="shared" si="719"/>
        <v>0</v>
      </c>
      <c r="S389" s="85">
        <f t="shared" si="719"/>
        <v>0</v>
      </c>
      <c r="T389" s="85">
        <f>SUM(T383:T388)</f>
        <v>0</v>
      </c>
      <c r="U389" s="85">
        <f t="shared" si="719"/>
        <v>0</v>
      </c>
      <c r="V389" s="85">
        <f t="shared" si="719"/>
        <v>0</v>
      </c>
      <c r="W389" s="85">
        <f t="shared" si="719"/>
        <v>-18053.310000000001</v>
      </c>
      <c r="X389" s="85">
        <f t="shared" si="719"/>
        <v>0</v>
      </c>
      <c r="Y389" s="85">
        <f t="shared" si="719"/>
        <v>0</v>
      </c>
      <c r="Z389" s="85">
        <f t="shared" ref="Z389:AE389" si="720">SUM(Z383:Z388)</f>
        <v>0</v>
      </c>
      <c r="AA389" s="85">
        <f t="shared" si="720"/>
        <v>0</v>
      </c>
      <c r="AB389" s="85">
        <f t="shared" si="720"/>
        <v>0</v>
      </c>
      <c r="AC389" s="85">
        <f t="shared" si="720"/>
        <v>0</v>
      </c>
      <c r="AD389" s="85">
        <f t="shared" si="720"/>
        <v>-74209</v>
      </c>
      <c r="AE389" s="85">
        <f t="shared" si="720"/>
        <v>0</v>
      </c>
      <c r="AF389" s="85">
        <f t="shared" ref="AF389:AL389" si="721">SUM(AF383:AF388)</f>
        <v>0</v>
      </c>
      <c r="AG389" s="85">
        <f t="shared" si="721"/>
        <v>0</v>
      </c>
      <c r="AH389" s="85">
        <f t="shared" si="721"/>
        <v>0</v>
      </c>
      <c r="AI389" s="85">
        <f t="shared" si="721"/>
        <v>0</v>
      </c>
      <c r="AJ389" s="85">
        <f t="shared" si="721"/>
        <v>0</v>
      </c>
      <c r="AK389" s="85">
        <f t="shared" si="721"/>
        <v>0</v>
      </c>
      <c r="AL389" s="85">
        <f t="shared" si="721"/>
        <v>0</v>
      </c>
      <c r="AM389" s="85">
        <f t="shared" ref="AM389:BB389" si="722">SUM(AM383:AM388)</f>
        <v>0</v>
      </c>
      <c r="AN389" s="85">
        <f t="shared" si="722"/>
        <v>0</v>
      </c>
      <c r="AO389" s="85">
        <f t="shared" si="722"/>
        <v>0</v>
      </c>
      <c r="AP389" s="85">
        <f t="shared" si="722"/>
        <v>0</v>
      </c>
      <c r="AQ389" s="85">
        <f>SUM(AQ383:AQ388)</f>
        <v>0</v>
      </c>
      <c r="AR389" s="85">
        <f>SUM(AR383:AR388)</f>
        <v>0</v>
      </c>
      <c r="AS389" s="85">
        <f t="shared" ref="AS389:AY389" si="723">SUM(AS383:AS388)</f>
        <v>0</v>
      </c>
      <c r="AT389" s="85">
        <f t="shared" si="723"/>
        <v>0</v>
      </c>
      <c r="AU389" s="85">
        <f>SUM(AU383:AU388)</f>
        <v>0</v>
      </c>
      <c r="AV389" s="85">
        <f t="shared" si="723"/>
        <v>0</v>
      </c>
      <c r="AW389" s="85">
        <f t="shared" si="723"/>
        <v>41707</v>
      </c>
      <c r="AX389" s="85">
        <f t="shared" si="723"/>
        <v>0</v>
      </c>
      <c r="AY389" s="85">
        <f t="shared" si="723"/>
        <v>0</v>
      </c>
      <c r="AZ389" s="85">
        <f>SUM(AZ383:AZ388)</f>
        <v>0</v>
      </c>
      <c r="BA389" s="85">
        <f t="shared" si="722"/>
        <v>0</v>
      </c>
      <c r="BB389" s="85">
        <f t="shared" si="722"/>
        <v>0</v>
      </c>
      <c r="BC389" s="85">
        <f>SUM(BC383:BC388)</f>
        <v>0</v>
      </c>
      <c r="BD389" s="85">
        <f>SUM(BD383:BD388)</f>
        <v>0</v>
      </c>
      <c r="BE389" s="85">
        <f t="shared" ref="BE389:BG389" si="724">SUM(BE383:BE388)</f>
        <v>0</v>
      </c>
      <c r="BF389" s="85">
        <f t="shared" si="724"/>
        <v>0</v>
      </c>
      <c r="BG389" s="85">
        <f t="shared" si="724"/>
        <v>0</v>
      </c>
      <c r="BH389" s="85">
        <f t="shared" ref="BH389:BL389" si="725">SUM(BH383:BH388)</f>
        <v>0</v>
      </c>
      <c r="BI389" s="85">
        <f t="shared" si="725"/>
        <v>0</v>
      </c>
      <c r="BJ389" s="85">
        <f t="shared" si="725"/>
        <v>0</v>
      </c>
      <c r="BK389" s="85">
        <f t="shared" si="725"/>
        <v>0</v>
      </c>
      <c r="BL389" s="85">
        <f t="shared" si="725"/>
        <v>0</v>
      </c>
    </row>
    <row r="390" spans="1:64" ht="14.1" customHeight="1">
      <c r="A390" s="379">
        <f t="shared" si="665"/>
        <v>383</v>
      </c>
      <c r="B390" s="129"/>
      <c r="C390" s="129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</row>
    <row r="391" spans="1:64" ht="14.1" customHeight="1">
      <c r="A391" s="379">
        <f t="shared" si="665"/>
        <v>384</v>
      </c>
      <c r="B391" s="13" t="s">
        <v>257</v>
      </c>
      <c r="C391" s="1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</row>
    <row r="392" spans="1:64" ht="14.1" customHeight="1">
      <c r="A392" s="379">
        <f t="shared" si="665"/>
        <v>385</v>
      </c>
      <c r="B392" s="22" t="s">
        <v>258</v>
      </c>
      <c r="C392" s="38">
        <f>SUM(D392:BI392)</f>
        <v>-345.65</v>
      </c>
      <c r="D392" s="43">
        <v>0</v>
      </c>
      <c r="E392" s="43">
        <v>0</v>
      </c>
      <c r="F392" s="43">
        <v>0</v>
      </c>
      <c r="G392" s="43">
        <v>0</v>
      </c>
      <c r="H392" s="43">
        <v>0</v>
      </c>
      <c r="I392" s="43">
        <v>0</v>
      </c>
      <c r="J392" s="43">
        <v>0</v>
      </c>
      <c r="K392" s="43">
        <v>0</v>
      </c>
      <c r="L392" s="43">
        <v>0</v>
      </c>
      <c r="M392" s="43">
        <v>0</v>
      </c>
      <c r="N392" s="43">
        <v>0</v>
      </c>
      <c r="O392" s="43">
        <v>0</v>
      </c>
      <c r="P392" s="43">
        <v>0</v>
      </c>
      <c r="Q392" s="43">
        <v>0</v>
      </c>
      <c r="R392" s="43">
        <v>0</v>
      </c>
      <c r="S392" s="43">
        <v>0</v>
      </c>
      <c r="T392" s="43">
        <v>0</v>
      </c>
      <c r="U392" s="43">
        <v>0</v>
      </c>
      <c r="V392" s="43">
        <v>0</v>
      </c>
      <c r="W392" s="43">
        <v>-131.65</v>
      </c>
      <c r="X392" s="43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f>-113+7-108</f>
        <v>-214</v>
      </c>
      <c r="AE392" s="43">
        <v>0</v>
      </c>
      <c r="AF392" s="43">
        <v>0</v>
      </c>
      <c r="AG392" s="43">
        <v>0</v>
      </c>
      <c r="AH392" s="43">
        <v>0</v>
      </c>
      <c r="AI392" s="43">
        <v>0</v>
      </c>
      <c r="AJ392" s="43">
        <v>0</v>
      </c>
      <c r="AK392" s="43">
        <v>0</v>
      </c>
      <c r="AL392" s="43">
        <v>0</v>
      </c>
      <c r="AM392" s="43">
        <v>0</v>
      </c>
      <c r="AN392" s="43">
        <v>0</v>
      </c>
      <c r="AO392" s="43">
        <v>0</v>
      </c>
      <c r="AP392" s="43">
        <v>0</v>
      </c>
      <c r="AQ392" s="43">
        <v>0</v>
      </c>
      <c r="AR392" s="43">
        <v>0</v>
      </c>
      <c r="AS392" s="43">
        <v>0</v>
      </c>
      <c r="AT392" s="43">
        <v>0</v>
      </c>
      <c r="AU392" s="43">
        <v>0</v>
      </c>
      <c r="AV392" s="43">
        <v>0</v>
      </c>
      <c r="AW392" s="43">
        <v>0</v>
      </c>
      <c r="AX392" s="43">
        <v>0</v>
      </c>
      <c r="AY392" s="43">
        <v>0</v>
      </c>
      <c r="AZ392" s="43">
        <v>0</v>
      </c>
      <c r="BA392" s="43">
        <v>0</v>
      </c>
      <c r="BB392" s="43">
        <v>0</v>
      </c>
      <c r="BC392" s="43">
        <v>0</v>
      </c>
      <c r="BD392" s="43">
        <v>0</v>
      </c>
      <c r="BE392" s="43">
        <v>0</v>
      </c>
      <c r="BF392" s="43">
        <v>0</v>
      </c>
      <c r="BG392" s="43">
        <v>0</v>
      </c>
      <c r="BH392" s="43">
        <v>0</v>
      </c>
      <c r="BI392" s="43">
        <v>0</v>
      </c>
      <c r="BJ392" s="43">
        <v>0</v>
      </c>
      <c r="BK392" s="43">
        <v>0</v>
      </c>
      <c r="BL392" s="43">
        <v>0</v>
      </c>
    </row>
    <row r="393" spans="1:64" ht="13.5" customHeight="1">
      <c r="A393" s="379">
        <f t="shared" si="665"/>
        <v>386</v>
      </c>
      <c r="B393" s="22" t="s">
        <v>259</v>
      </c>
      <c r="C393" s="38">
        <f>SUM(D393:BI393)</f>
        <v>-365748.89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497876</v>
      </c>
      <c r="M393" s="10">
        <v>-482478</v>
      </c>
      <c r="N393" s="10">
        <v>-370224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0</v>
      </c>
      <c r="W393" s="10">
        <v>-652.89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f>-5131-5139</f>
        <v>-10270</v>
      </c>
      <c r="AE393" s="10">
        <v>0</v>
      </c>
      <c r="AF393" s="10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  <c r="AM393" s="10">
        <v>0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0</v>
      </c>
      <c r="AU393" s="10">
        <v>0</v>
      </c>
      <c r="AV393" s="10">
        <v>0</v>
      </c>
      <c r="AW393" s="10">
        <v>0</v>
      </c>
      <c r="AX393" s="10">
        <v>0</v>
      </c>
      <c r="AY393" s="10">
        <v>0</v>
      </c>
      <c r="AZ393" s="10">
        <v>0</v>
      </c>
      <c r="BA393" s="10">
        <v>0</v>
      </c>
      <c r="BB393" s="10">
        <v>0</v>
      </c>
      <c r="BC393" s="10">
        <v>0</v>
      </c>
      <c r="BD393" s="10">
        <v>0</v>
      </c>
      <c r="BE393" s="10">
        <v>0</v>
      </c>
      <c r="BF393" s="10">
        <v>0</v>
      </c>
      <c r="BG393" s="10">
        <v>0</v>
      </c>
      <c r="BH393" s="10">
        <v>0</v>
      </c>
      <c r="BI393" s="10">
        <v>0</v>
      </c>
      <c r="BJ393" s="10">
        <v>0</v>
      </c>
      <c r="BK393" s="10">
        <v>0</v>
      </c>
      <c r="BL393" s="10">
        <v>0</v>
      </c>
    </row>
    <row r="394" spans="1:64" ht="14.1" customHeight="1">
      <c r="A394" s="379">
        <f t="shared" si="665"/>
        <v>387</v>
      </c>
      <c r="B394" s="22" t="s">
        <v>260</v>
      </c>
      <c r="C394" s="38">
        <f>SUM(D394:BI394)</f>
        <v>-3009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  <c r="AM394" s="10">
        <v>0</v>
      </c>
      <c r="AN394" s="10">
        <v>0</v>
      </c>
      <c r="AO394" s="10">
        <v>0</v>
      </c>
      <c r="AP394" s="10">
        <v>0</v>
      </c>
      <c r="AQ394" s="10">
        <f>-2683-326</f>
        <v>-3009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0">
        <v>0</v>
      </c>
      <c r="AZ394" s="10">
        <v>0</v>
      </c>
      <c r="BA394" s="10">
        <v>0</v>
      </c>
      <c r="BB394" s="10">
        <v>0</v>
      </c>
      <c r="BC394" s="10">
        <v>0</v>
      </c>
      <c r="BD394" s="10">
        <v>0</v>
      </c>
      <c r="BE394" s="10">
        <v>0</v>
      </c>
      <c r="BF394" s="10">
        <v>0</v>
      </c>
      <c r="BG394" s="10">
        <v>0</v>
      </c>
      <c r="BH394" s="10">
        <v>0</v>
      </c>
      <c r="BI394" s="10">
        <v>0</v>
      </c>
      <c r="BJ394" s="10">
        <v>0</v>
      </c>
      <c r="BK394" s="10">
        <v>0</v>
      </c>
      <c r="BL394" s="10">
        <v>0</v>
      </c>
    </row>
    <row r="395" spans="1:64" ht="14.1" customHeight="1">
      <c r="A395" s="379">
        <f t="shared" si="665"/>
        <v>388</v>
      </c>
      <c r="B395" s="56" t="s">
        <v>261</v>
      </c>
      <c r="C395" s="38">
        <f>SUM(D395:BI395)</f>
        <v>-18198.52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43">
        <v>0</v>
      </c>
      <c r="M395" s="43">
        <v>0</v>
      </c>
      <c r="N395" s="43">
        <v>0</v>
      </c>
      <c r="O395" s="43">
        <v>0</v>
      </c>
      <c r="P395" s="43">
        <v>0</v>
      </c>
      <c r="Q395" s="43">
        <v>0</v>
      </c>
      <c r="R395" s="43">
        <v>0</v>
      </c>
      <c r="S395" s="43">
        <v>0</v>
      </c>
      <c r="T395" s="43">
        <v>0</v>
      </c>
      <c r="U395" s="43">
        <v>0</v>
      </c>
      <c r="V395" s="43">
        <v>0</v>
      </c>
      <c r="W395" s="43">
        <v>-19.52</v>
      </c>
      <c r="X395" s="43">
        <v>0</v>
      </c>
      <c r="Y395" s="43">
        <v>0</v>
      </c>
      <c r="Z395" s="43">
        <v>0</v>
      </c>
      <c r="AA395" s="43">
        <v>0</v>
      </c>
      <c r="AB395" s="43">
        <v>0</v>
      </c>
      <c r="AC395" s="43">
        <v>0</v>
      </c>
      <c r="AD395" s="43">
        <f>-32-27</f>
        <v>-59</v>
      </c>
      <c r="AE395" s="43">
        <f>-11748-6372</f>
        <v>-18120</v>
      </c>
      <c r="AF395" s="43">
        <v>0</v>
      </c>
      <c r="AG395" s="43">
        <v>0</v>
      </c>
      <c r="AH395" s="43">
        <v>0</v>
      </c>
      <c r="AI395" s="43">
        <v>0</v>
      </c>
      <c r="AJ395" s="43">
        <v>0</v>
      </c>
      <c r="AK395" s="43">
        <v>0</v>
      </c>
      <c r="AL395" s="43">
        <v>0</v>
      </c>
      <c r="AM395" s="43">
        <v>0</v>
      </c>
      <c r="AN395" s="43">
        <v>0</v>
      </c>
      <c r="AO395" s="43">
        <v>0</v>
      </c>
      <c r="AP395" s="43">
        <v>0</v>
      </c>
      <c r="AQ395" s="43">
        <v>0</v>
      </c>
      <c r="AR395" s="43">
        <v>0</v>
      </c>
      <c r="AS395" s="43">
        <v>0</v>
      </c>
      <c r="AT395" s="43">
        <v>0</v>
      </c>
      <c r="AU395" s="43">
        <v>0</v>
      </c>
      <c r="AV395" s="43">
        <v>0</v>
      </c>
      <c r="AW395" s="43">
        <v>0</v>
      </c>
      <c r="AX395" s="43">
        <v>0</v>
      </c>
      <c r="AY395" s="43">
        <v>0</v>
      </c>
      <c r="AZ395" s="43">
        <v>0</v>
      </c>
      <c r="BA395" s="43">
        <v>0</v>
      </c>
      <c r="BB395" s="43">
        <v>0</v>
      </c>
      <c r="BC395" s="43">
        <v>0</v>
      </c>
      <c r="BD395" s="43">
        <v>0</v>
      </c>
      <c r="BE395" s="43">
        <v>0</v>
      </c>
      <c r="BF395" s="43">
        <v>0</v>
      </c>
      <c r="BG395" s="43">
        <v>0</v>
      </c>
      <c r="BH395" s="43">
        <v>0</v>
      </c>
      <c r="BI395" s="43">
        <v>0</v>
      </c>
      <c r="BJ395" s="43">
        <v>0</v>
      </c>
      <c r="BK395" s="43">
        <v>0</v>
      </c>
      <c r="BL395" s="43">
        <v>0</v>
      </c>
    </row>
    <row r="396" spans="1:64" ht="14.1" customHeight="1">
      <c r="A396" s="379">
        <f t="shared" si="665"/>
        <v>389</v>
      </c>
      <c r="B396" s="20" t="s">
        <v>509</v>
      </c>
      <c r="C396" s="85">
        <f t="shared" ref="C396:K396" si="726">SUM(C392:C395)</f>
        <v>-387302.06000000006</v>
      </c>
      <c r="D396" s="85">
        <f t="shared" si="726"/>
        <v>0</v>
      </c>
      <c r="E396" s="85">
        <f t="shared" si="726"/>
        <v>0</v>
      </c>
      <c r="F396" s="85">
        <f t="shared" si="726"/>
        <v>0</v>
      </c>
      <c r="G396" s="85">
        <f t="shared" si="726"/>
        <v>0</v>
      </c>
      <c r="H396" s="85">
        <f t="shared" si="726"/>
        <v>0</v>
      </c>
      <c r="I396" s="85">
        <f t="shared" si="726"/>
        <v>0</v>
      </c>
      <c r="J396" s="85">
        <f t="shared" si="726"/>
        <v>0</v>
      </c>
      <c r="K396" s="85">
        <f t="shared" si="726"/>
        <v>0</v>
      </c>
      <c r="L396" s="85">
        <f t="shared" ref="L396:Y396" si="727">SUM(L392:L395)</f>
        <v>497876</v>
      </c>
      <c r="M396" s="85">
        <f t="shared" si="727"/>
        <v>-482478</v>
      </c>
      <c r="N396" s="85">
        <f t="shared" si="727"/>
        <v>-370224</v>
      </c>
      <c r="O396" s="85">
        <f t="shared" si="727"/>
        <v>0</v>
      </c>
      <c r="P396" s="85">
        <f t="shared" si="727"/>
        <v>0</v>
      </c>
      <c r="Q396" s="85">
        <f t="shared" si="727"/>
        <v>0</v>
      </c>
      <c r="R396" s="85">
        <f t="shared" si="727"/>
        <v>0</v>
      </c>
      <c r="S396" s="85">
        <f t="shared" si="727"/>
        <v>0</v>
      </c>
      <c r="T396" s="85">
        <f>SUM(T392:T395)</f>
        <v>0</v>
      </c>
      <c r="U396" s="85">
        <f t="shared" si="727"/>
        <v>0</v>
      </c>
      <c r="V396" s="85">
        <f t="shared" si="727"/>
        <v>0</v>
      </c>
      <c r="W396" s="85">
        <f t="shared" si="727"/>
        <v>-804.06</v>
      </c>
      <c r="X396" s="85">
        <f t="shared" si="727"/>
        <v>0</v>
      </c>
      <c r="Y396" s="85">
        <f t="shared" si="727"/>
        <v>0</v>
      </c>
      <c r="Z396" s="85">
        <f t="shared" ref="Z396:AE396" si="728">SUM(Z392:Z395)</f>
        <v>0</v>
      </c>
      <c r="AA396" s="85">
        <f t="shared" si="728"/>
        <v>0</v>
      </c>
      <c r="AB396" s="85">
        <f t="shared" si="728"/>
        <v>0</v>
      </c>
      <c r="AC396" s="85">
        <f t="shared" si="728"/>
        <v>0</v>
      </c>
      <c r="AD396" s="85">
        <f t="shared" si="728"/>
        <v>-10543</v>
      </c>
      <c r="AE396" s="85">
        <f t="shared" si="728"/>
        <v>-18120</v>
      </c>
      <c r="AF396" s="85">
        <f t="shared" ref="AF396:AL396" si="729">SUM(AF392:AF395)</f>
        <v>0</v>
      </c>
      <c r="AG396" s="85">
        <f t="shared" si="729"/>
        <v>0</v>
      </c>
      <c r="AH396" s="85">
        <f t="shared" si="729"/>
        <v>0</v>
      </c>
      <c r="AI396" s="85">
        <f t="shared" si="729"/>
        <v>0</v>
      </c>
      <c r="AJ396" s="85">
        <f t="shared" si="729"/>
        <v>0</v>
      </c>
      <c r="AK396" s="85">
        <f t="shared" si="729"/>
        <v>0</v>
      </c>
      <c r="AL396" s="85">
        <f t="shared" si="729"/>
        <v>0</v>
      </c>
      <c r="AM396" s="85">
        <f t="shared" ref="AM396:BB396" si="730">SUM(AM392:AM395)</f>
        <v>0</v>
      </c>
      <c r="AN396" s="85">
        <f t="shared" si="730"/>
        <v>0</v>
      </c>
      <c r="AO396" s="85">
        <f t="shared" si="730"/>
        <v>0</v>
      </c>
      <c r="AP396" s="85">
        <f t="shared" si="730"/>
        <v>0</v>
      </c>
      <c r="AQ396" s="85">
        <f>SUM(AQ392:AQ395)</f>
        <v>-3009</v>
      </c>
      <c r="AR396" s="85">
        <f>SUM(AR392:AR395)</f>
        <v>0</v>
      </c>
      <c r="AS396" s="85">
        <f t="shared" ref="AS396:AY396" si="731">SUM(AS392:AS395)</f>
        <v>0</v>
      </c>
      <c r="AT396" s="85">
        <f t="shared" si="731"/>
        <v>0</v>
      </c>
      <c r="AU396" s="85">
        <f>SUM(AU392:AU395)</f>
        <v>0</v>
      </c>
      <c r="AV396" s="85">
        <f t="shared" si="731"/>
        <v>0</v>
      </c>
      <c r="AW396" s="85">
        <f t="shared" si="731"/>
        <v>0</v>
      </c>
      <c r="AX396" s="85">
        <f t="shared" si="731"/>
        <v>0</v>
      </c>
      <c r="AY396" s="85">
        <f t="shared" si="731"/>
        <v>0</v>
      </c>
      <c r="AZ396" s="85">
        <f>SUM(AZ392:AZ395)</f>
        <v>0</v>
      </c>
      <c r="BA396" s="85">
        <f t="shared" si="730"/>
        <v>0</v>
      </c>
      <c r="BB396" s="85">
        <f t="shared" si="730"/>
        <v>0</v>
      </c>
      <c r="BC396" s="85">
        <f>SUM(BC392:BC395)</f>
        <v>0</v>
      </c>
      <c r="BD396" s="85">
        <f>SUM(BD392:BD395)</f>
        <v>0</v>
      </c>
      <c r="BE396" s="85">
        <f t="shared" ref="BE396:BG396" si="732">SUM(BE392:BE395)</f>
        <v>0</v>
      </c>
      <c r="BF396" s="85">
        <f t="shared" si="732"/>
        <v>0</v>
      </c>
      <c r="BG396" s="85">
        <f t="shared" si="732"/>
        <v>0</v>
      </c>
      <c r="BH396" s="85">
        <f t="shared" ref="BH396:BL396" si="733">SUM(BH392:BH395)</f>
        <v>0</v>
      </c>
      <c r="BI396" s="85">
        <f t="shared" si="733"/>
        <v>0</v>
      </c>
      <c r="BJ396" s="85">
        <f t="shared" si="733"/>
        <v>0</v>
      </c>
      <c r="BK396" s="85">
        <f t="shared" si="733"/>
        <v>0</v>
      </c>
      <c r="BL396" s="85">
        <f t="shared" si="733"/>
        <v>0</v>
      </c>
    </row>
    <row r="397" spans="1:64" ht="14.1" customHeight="1">
      <c r="A397" s="379">
        <f t="shared" si="665"/>
        <v>390</v>
      </c>
      <c r="B397" s="129"/>
      <c r="C397" s="129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</row>
    <row r="398" spans="1:64" ht="14.1" customHeight="1">
      <c r="A398" s="379">
        <f t="shared" ref="A398:A461" si="734">+A397+1</f>
        <v>391</v>
      </c>
      <c r="B398" s="13" t="s">
        <v>262</v>
      </c>
      <c r="C398" s="1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</row>
    <row r="399" spans="1:64" ht="14.1" customHeight="1">
      <c r="A399" s="379">
        <f t="shared" si="734"/>
        <v>392</v>
      </c>
      <c r="B399" s="22" t="s">
        <v>263</v>
      </c>
      <c r="C399" s="38">
        <f>SUM(D399:BI399)</f>
        <v>0</v>
      </c>
      <c r="D399" s="43">
        <v>0</v>
      </c>
      <c r="E399" s="43">
        <v>0</v>
      </c>
      <c r="F399" s="43">
        <v>0</v>
      </c>
      <c r="G399" s="43">
        <v>0</v>
      </c>
      <c r="H399" s="43">
        <v>0</v>
      </c>
      <c r="I399" s="43">
        <v>0</v>
      </c>
      <c r="J399" s="43">
        <v>0</v>
      </c>
      <c r="K399" s="43">
        <v>0</v>
      </c>
      <c r="L399" s="43">
        <v>0</v>
      </c>
      <c r="M399" s="43">
        <v>0</v>
      </c>
      <c r="N399" s="43">
        <v>0</v>
      </c>
      <c r="O399" s="43">
        <v>0</v>
      </c>
      <c r="P399" s="43">
        <v>0</v>
      </c>
      <c r="Q399" s="43">
        <v>0</v>
      </c>
      <c r="R399" s="43">
        <v>0</v>
      </c>
      <c r="S399" s="43">
        <v>0</v>
      </c>
      <c r="T399" s="43">
        <v>0</v>
      </c>
      <c r="U399" s="43">
        <v>0</v>
      </c>
      <c r="V399" s="43">
        <v>0</v>
      </c>
      <c r="W399" s="43">
        <v>0</v>
      </c>
      <c r="X399" s="43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43">
        <v>0</v>
      </c>
      <c r="AF399" s="43">
        <v>0</v>
      </c>
      <c r="AG399" s="43">
        <v>0</v>
      </c>
      <c r="AH399" s="43">
        <v>0</v>
      </c>
      <c r="AI399" s="43">
        <v>0</v>
      </c>
      <c r="AJ399" s="43">
        <v>0</v>
      </c>
      <c r="AK399" s="43">
        <v>0</v>
      </c>
      <c r="AL399" s="43">
        <v>0</v>
      </c>
      <c r="AM399" s="43">
        <v>0</v>
      </c>
      <c r="AN399" s="43">
        <v>0</v>
      </c>
      <c r="AO399" s="43">
        <v>0</v>
      </c>
      <c r="AP399" s="43">
        <v>0</v>
      </c>
      <c r="AQ399" s="43">
        <v>0</v>
      </c>
      <c r="AR399" s="43">
        <v>0</v>
      </c>
      <c r="AS399" s="43">
        <v>0</v>
      </c>
      <c r="AT399" s="43">
        <v>0</v>
      </c>
      <c r="AU399" s="43">
        <v>0</v>
      </c>
      <c r="AV399" s="43">
        <v>0</v>
      </c>
      <c r="AW399" s="43">
        <v>0</v>
      </c>
      <c r="AX399" s="43">
        <v>0</v>
      </c>
      <c r="AY399" s="43">
        <v>0</v>
      </c>
      <c r="AZ399" s="43">
        <v>0</v>
      </c>
      <c r="BA399" s="43">
        <v>0</v>
      </c>
      <c r="BB399" s="43">
        <v>0</v>
      </c>
      <c r="BC399" s="43">
        <v>0</v>
      </c>
      <c r="BD399" s="43">
        <v>0</v>
      </c>
      <c r="BE399" s="43">
        <v>0</v>
      </c>
      <c r="BF399" s="43">
        <v>0</v>
      </c>
      <c r="BG399" s="43">
        <v>0</v>
      </c>
      <c r="BH399" s="43">
        <v>0</v>
      </c>
      <c r="BI399" s="43">
        <v>0</v>
      </c>
      <c r="BJ399" s="43">
        <v>0</v>
      </c>
      <c r="BK399" s="43">
        <v>0</v>
      </c>
      <c r="BL399" s="43">
        <v>0</v>
      </c>
    </row>
    <row r="400" spans="1:64" ht="14.1" customHeight="1">
      <c r="A400" s="379">
        <f t="shared" si="734"/>
        <v>393</v>
      </c>
      <c r="B400" s="22" t="s">
        <v>264</v>
      </c>
      <c r="C400" s="38">
        <f>SUM(D400:BI400)</f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0">
        <v>0</v>
      </c>
      <c r="AF400" s="10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  <c r="AM400" s="10">
        <v>0</v>
      </c>
      <c r="AN400" s="10">
        <v>0</v>
      </c>
      <c r="AO400" s="10">
        <v>0</v>
      </c>
      <c r="AP400" s="10">
        <v>0</v>
      </c>
      <c r="AQ400" s="10">
        <v>0</v>
      </c>
      <c r="AR400" s="10">
        <v>0</v>
      </c>
      <c r="AS400" s="10">
        <v>0</v>
      </c>
      <c r="AT400" s="10">
        <v>0</v>
      </c>
      <c r="AU400" s="10">
        <v>0</v>
      </c>
      <c r="AV400" s="10">
        <v>0</v>
      </c>
      <c r="AW400" s="10">
        <v>0</v>
      </c>
      <c r="AX400" s="10">
        <v>0</v>
      </c>
      <c r="AY400" s="10">
        <v>0</v>
      </c>
      <c r="AZ400" s="10">
        <v>0</v>
      </c>
      <c r="BA400" s="10">
        <v>0</v>
      </c>
      <c r="BB400" s="10">
        <v>0</v>
      </c>
      <c r="BC400" s="10">
        <v>0</v>
      </c>
      <c r="BD400" s="10">
        <v>0</v>
      </c>
      <c r="BE400" s="10">
        <v>0</v>
      </c>
      <c r="BF400" s="10">
        <v>0</v>
      </c>
      <c r="BG400" s="10">
        <v>0</v>
      </c>
      <c r="BH400" s="10">
        <v>0</v>
      </c>
      <c r="BI400" s="10">
        <v>0</v>
      </c>
      <c r="BJ400" s="10">
        <v>0</v>
      </c>
      <c r="BK400" s="10">
        <v>0</v>
      </c>
      <c r="BL400" s="10">
        <v>0</v>
      </c>
    </row>
    <row r="401" spans="1:64" ht="14.1" customHeight="1">
      <c r="A401" s="379">
        <f t="shared" si="734"/>
        <v>394</v>
      </c>
      <c r="B401" s="22" t="s">
        <v>265</v>
      </c>
      <c r="C401" s="38">
        <f>SUM(D401:BI401)</f>
        <v>0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0</v>
      </c>
      <c r="AS401" s="10">
        <v>0</v>
      </c>
      <c r="AT401" s="10">
        <v>0</v>
      </c>
      <c r="AU401" s="10">
        <v>0</v>
      </c>
      <c r="AV401" s="10">
        <v>0</v>
      </c>
      <c r="AW401" s="10">
        <v>0</v>
      </c>
      <c r="AX401" s="10">
        <v>0</v>
      </c>
      <c r="AY401" s="10">
        <v>0</v>
      </c>
      <c r="AZ401" s="10">
        <v>0</v>
      </c>
      <c r="BA401" s="10">
        <v>0</v>
      </c>
      <c r="BB401" s="10">
        <v>0</v>
      </c>
      <c r="BC401" s="10">
        <v>0</v>
      </c>
      <c r="BD401" s="10">
        <v>0</v>
      </c>
      <c r="BE401" s="10">
        <v>0</v>
      </c>
      <c r="BF401" s="10">
        <v>0</v>
      </c>
      <c r="BG401" s="10">
        <v>0</v>
      </c>
      <c r="BH401" s="10">
        <v>0</v>
      </c>
      <c r="BI401" s="10">
        <v>0</v>
      </c>
      <c r="BJ401" s="10">
        <v>0</v>
      </c>
      <c r="BK401" s="10">
        <v>0</v>
      </c>
      <c r="BL401" s="10">
        <v>0</v>
      </c>
    </row>
    <row r="402" spans="1:64" ht="14.1" customHeight="1">
      <c r="A402" s="379">
        <f t="shared" si="734"/>
        <v>395</v>
      </c>
      <c r="B402" s="56" t="s">
        <v>266</v>
      </c>
      <c r="C402" s="38">
        <f>SUM(D402:BI402)</f>
        <v>0</v>
      </c>
      <c r="D402" s="43">
        <v>0</v>
      </c>
      <c r="E402" s="43">
        <v>0</v>
      </c>
      <c r="F402" s="43">
        <v>0</v>
      </c>
      <c r="G402" s="43">
        <v>0</v>
      </c>
      <c r="H402" s="43">
        <v>0</v>
      </c>
      <c r="I402" s="43">
        <v>0</v>
      </c>
      <c r="J402" s="43">
        <v>0</v>
      </c>
      <c r="K402" s="43">
        <v>0</v>
      </c>
      <c r="L402" s="43">
        <v>0</v>
      </c>
      <c r="M402" s="43">
        <v>0</v>
      </c>
      <c r="N402" s="43">
        <v>0</v>
      </c>
      <c r="O402" s="43">
        <v>0</v>
      </c>
      <c r="P402" s="43">
        <v>0</v>
      </c>
      <c r="Q402" s="43">
        <v>0</v>
      </c>
      <c r="R402" s="43">
        <v>0</v>
      </c>
      <c r="S402" s="43">
        <v>0</v>
      </c>
      <c r="T402" s="43">
        <v>0</v>
      </c>
      <c r="U402" s="43">
        <v>0</v>
      </c>
      <c r="V402" s="43">
        <v>0</v>
      </c>
      <c r="W402" s="43">
        <v>0</v>
      </c>
      <c r="X402" s="43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43">
        <v>0</v>
      </c>
      <c r="AF402" s="43">
        <v>0</v>
      </c>
      <c r="AG402" s="43">
        <v>0</v>
      </c>
      <c r="AH402" s="43">
        <v>0</v>
      </c>
      <c r="AI402" s="43">
        <v>0</v>
      </c>
      <c r="AJ402" s="43">
        <v>0</v>
      </c>
      <c r="AK402" s="43">
        <v>0</v>
      </c>
      <c r="AL402" s="43">
        <v>0</v>
      </c>
      <c r="AM402" s="43">
        <v>0</v>
      </c>
      <c r="AN402" s="43">
        <v>0</v>
      </c>
      <c r="AO402" s="43">
        <v>0</v>
      </c>
      <c r="AP402" s="43">
        <v>0</v>
      </c>
      <c r="AQ402" s="43">
        <v>0</v>
      </c>
      <c r="AR402" s="43">
        <v>0</v>
      </c>
      <c r="AS402" s="43">
        <v>0</v>
      </c>
      <c r="AT402" s="43">
        <v>0</v>
      </c>
      <c r="AU402" s="43">
        <v>0</v>
      </c>
      <c r="AV402" s="43">
        <v>0</v>
      </c>
      <c r="AW402" s="43">
        <v>0</v>
      </c>
      <c r="AX402" s="43">
        <v>0</v>
      </c>
      <c r="AY402" s="43">
        <v>0</v>
      </c>
      <c r="AZ402" s="43">
        <v>0</v>
      </c>
      <c r="BA402" s="43">
        <v>0</v>
      </c>
      <c r="BB402" s="43">
        <v>0</v>
      </c>
      <c r="BC402" s="43">
        <v>0</v>
      </c>
      <c r="BD402" s="43">
        <v>0</v>
      </c>
      <c r="BE402" s="43">
        <v>0</v>
      </c>
      <c r="BF402" s="43">
        <v>0</v>
      </c>
      <c r="BG402" s="43">
        <v>0</v>
      </c>
      <c r="BH402" s="43">
        <v>0</v>
      </c>
      <c r="BI402" s="43">
        <v>0</v>
      </c>
      <c r="BJ402" s="43">
        <v>0</v>
      </c>
      <c r="BK402" s="43">
        <v>0</v>
      </c>
      <c r="BL402" s="43">
        <v>0</v>
      </c>
    </row>
    <row r="403" spans="1:64" ht="14.1" customHeight="1">
      <c r="A403" s="379">
        <f t="shared" si="734"/>
        <v>396</v>
      </c>
      <c r="B403" s="20" t="s">
        <v>510</v>
      </c>
      <c r="C403" s="85">
        <f t="shared" ref="C403:K403" si="735">SUM(C398:C402)</f>
        <v>0</v>
      </c>
      <c r="D403" s="85">
        <f t="shared" si="735"/>
        <v>0</v>
      </c>
      <c r="E403" s="85">
        <f t="shared" si="735"/>
        <v>0</v>
      </c>
      <c r="F403" s="85">
        <f t="shared" si="735"/>
        <v>0</v>
      </c>
      <c r="G403" s="85">
        <f t="shared" si="735"/>
        <v>0</v>
      </c>
      <c r="H403" s="85">
        <f t="shared" si="735"/>
        <v>0</v>
      </c>
      <c r="I403" s="85">
        <f t="shared" si="735"/>
        <v>0</v>
      </c>
      <c r="J403" s="85">
        <f t="shared" si="735"/>
        <v>0</v>
      </c>
      <c r="K403" s="85">
        <f t="shared" si="735"/>
        <v>0</v>
      </c>
      <c r="L403" s="85">
        <f t="shared" ref="L403:Y403" si="736">SUM(L398:L402)</f>
        <v>0</v>
      </c>
      <c r="M403" s="85">
        <f t="shared" si="736"/>
        <v>0</v>
      </c>
      <c r="N403" s="85">
        <f t="shared" si="736"/>
        <v>0</v>
      </c>
      <c r="O403" s="85">
        <f t="shared" si="736"/>
        <v>0</v>
      </c>
      <c r="P403" s="85">
        <f t="shared" si="736"/>
        <v>0</v>
      </c>
      <c r="Q403" s="85">
        <f t="shared" si="736"/>
        <v>0</v>
      </c>
      <c r="R403" s="85">
        <f t="shared" si="736"/>
        <v>0</v>
      </c>
      <c r="S403" s="85">
        <f t="shared" si="736"/>
        <v>0</v>
      </c>
      <c r="T403" s="85">
        <f>SUM(T398:T402)</f>
        <v>0</v>
      </c>
      <c r="U403" s="85">
        <f t="shared" si="736"/>
        <v>0</v>
      </c>
      <c r="V403" s="85">
        <f t="shared" si="736"/>
        <v>0</v>
      </c>
      <c r="W403" s="85">
        <f t="shared" si="736"/>
        <v>0</v>
      </c>
      <c r="X403" s="85">
        <f t="shared" si="736"/>
        <v>0</v>
      </c>
      <c r="Y403" s="85">
        <f t="shared" si="736"/>
        <v>0</v>
      </c>
      <c r="Z403" s="85">
        <f t="shared" ref="Z403:AE403" si="737">SUM(Z398:Z402)</f>
        <v>0</v>
      </c>
      <c r="AA403" s="85">
        <f t="shared" si="737"/>
        <v>0</v>
      </c>
      <c r="AB403" s="85">
        <f t="shared" si="737"/>
        <v>0</v>
      </c>
      <c r="AC403" s="85">
        <f t="shared" si="737"/>
        <v>0</v>
      </c>
      <c r="AD403" s="85">
        <f t="shared" si="737"/>
        <v>0</v>
      </c>
      <c r="AE403" s="85">
        <f t="shared" si="737"/>
        <v>0</v>
      </c>
      <c r="AF403" s="85">
        <f t="shared" ref="AF403:AL403" si="738">SUM(AF398:AF402)</f>
        <v>0</v>
      </c>
      <c r="AG403" s="85">
        <f t="shared" si="738"/>
        <v>0</v>
      </c>
      <c r="AH403" s="85">
        <f t="shared" si="738"/>
        <v>0</v>
      </c>
      <c r="AI403" s="85">
        <f t="shared" si="738"/>
        <v>0</v>
      </c>
      <c r="AJ403" s="85">
        <f t="shared" si="738"/>
        <v>0</v>
      </c>
      <c r="AK403" s="85">
        <f t="shared" si="738"/>
        <v>0</v>
      </c>
      <c r="AL403" s="85">
        <f t="shared" si="738"/>
        <v>0</v>
      </c>
      <c r="AM403" s="85">
        <f t="shared" ref="AM403:BB403" si="739">SUM(AM398:AM402)</f>
        <v>0</v>
      </c>
      <c r="AN403" s="85">
        <f t="shared" si="739"/>
        <v>0</v>
      </c>
      <c r="AO403" s="85">
        <f t="shared" si="739"/>
        <v>0</v>
      </c>
      <c r="AP403" s="85">
        <f t="shared" si="739"/>
        <v>0</v>
      </c>
      <c r="AQ403" s="85">
        <f>SUM(AQ398:AQ402)</f>
        <v>0</v>
      </c>
      <c r="AR403" s="85">
        <f>SUM(AR398:AR402)</f>
        <v>0</v>
      </c>
      <c r="AS403" s="85">
        <f t="shared" ref="AS403:AY403" si="740">SUM(AS398:AS402)</f>
        <v>0</v>
      </c>
      <c r="AT403" s="85">
        <f t="shared" si="740"/>
        <v>0</v>
      </c>
      <c r="AU403" s="85">
        <f>SUM(AU398:AU402)</f>
        <v>0</v>
      </c>
      <c r="AV403" s="85">
        <f t="shared" si="740"/>
        <v>0</v>
      </c>
      <c r="AW403" s="85">
        <f t="shared" si="740"/>
        <v>0</v>
      </c>
      <c r="AX403" s="85">
        <f t="shared" si="740"/>
        <v>0</v>
      </c>
      <c r="AY403" s="85">
        <f t="shared" si="740"/>
        <v>0</v>
      </c>
      <c r="AZ403" s="85">
        <f>SUM(AZ398:AZ402)</f>
        <v>0</v>
      </c>
      <c r="BA403" s="85">
        <f t="shared" si="739"/>
        <v>0</v>
      </c>
      <c r="BB403" s="85">
        <f t="shared" si="739"/>
        <v>0</v>
      </c>
      <c r="BC403" s="85">
        <f>SUM(BC398:BC402)</f>
        <v>0</v>
      </c>
      <c r="BD403" s="85">
        <f>SUM(BD398:BD402)</f>
        <v>0</v>
      </c>
      <c r="BE403" s="85">
        <f t="shared" ref="BE403:BG403" si="741">SUM(BE398:BE402)</f>
        <v>0</v>
      </c>
      <c r="BF403" s="85">
        <f t="shared" si="741"/>
        <v>0</v>
      </c>
      <c r="BG403" s="85">
        <f t="shared" si="741"/>
        <v>0</v>
      </c>
      <c r="BH403" s="85">
        <f t="shared" ref="BH403:BL403" si="742">SUM(BH398:BH402)</f>
        <v>0</v>
      </c>
      <c r="BI403" s="85">
        <f t="shared" si="742"/>
        <v>0</v>
      </c>
      <c r="BJ403" s="85">
        <f t="shared" si="742"/>
        <v>0</v>
      </c>
      <c r="BK403" s="85">
        <f t="shared" si="742"/>
        <v>0</v>
      </c>
      <c r="BL403" s="85">
        <f t="shared" si="742"/>
        <v>0</v>
      </c>
    </row>
    <row r="404" spans="1:64" ht="14.1" customHeight="1">
      <c r="A404" s="379">
        <f t="shared" si="734"/>
        <v>397</v>
      </c>
      <c r="B404" s="129"/>
      <c r="C404" s="129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</row>
    <row r="405" spans="1:64" ht="14.1" customHeight="1">
      <c r="A405" s="379">
        <f t="shared" si="734"/>
        <v>398</v>
      </c>
      <c r="B405" s="13" t="s">
        <v>267</v>
      </c>
      <c r="C405" s="1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</row>
    <row r="406" spans="1:64" ht="14.1" customHeight="1">
      <c r="A406" s="379">
        <f t="shared" si="734"/>
        <v>399</v>
      </c>
      <c r="B406" s="22" t="s">
        <v>268</v>
      </c>
      <c r="C406" s="38">
        <f t="shared" ref="C406:C419" si="743">SUM(D406:BI406)</f>
        <v>-104141.04</v>
      </c>
      <c r="D406" s="65">
        <v>0</v>
      </c>
      <c r="E406" s="65">
        <v>-5155</v>
      </c>
      <c r="F406" s="43">
        <v>0</v>
      </c>
      <c r="G406" s="43">
        <v>0</v>
      </c>
      <c r="H406" s="43">
        <v>0</v>
      </c>
      <c r="I406" s="43">
        <v>0</v>
      </c>
      <c r="J406" s="43">
        <v>0</v>
      </c>
      <c r="K406" s="43">
        <v>0</v>
      </c>
      <c r="L406" s="43">
        <v>0</v>
      </c>
      <c r="M406" s="65">
        <v>0</v>
      </c>
      <c r="N406" s="65">
        <v>0</v>
      </c>
      <c r="O406" s="43">
        <v>0</v>
      </c>
      <c r="P406" s="43">
        <v>0</v>
      </c>
      <c r="Q406" s="43">
        <v>0</v>
      </c>
      <c r="R406" s="65">
        <v>0</v>
      </c>
      <c r="S406" s="43">
        <v>0</v>
      </c>
      <c r="T406" s="65">
        <v>0</v>
      </c>
      <c r="U406" s="43">
        <v>0</v>
      </c>
      <c r="V406" s="43">
        <v>0</v>
      </c>
      <c r="W406" s="43">
        <v>2673.96</v>
      </c>
      <c r="X406" s="43">
        <v>0</v>
      </c>
      <c r="Y406" s="43">
        <v>0</v>
      </c>
      <c r="Z406" s="43">
        <v>0</v>
      </c>
      <c r="AA406" s="43">
        <v>0</v>
      </c>
      <c r="AB406" s="43">
        <v>0</v>
      </c>
      <c r="AC406" s="43">
        <v>0</v>
      </c>
      <c r="AD406" s="43">
        <f>-50885+31-50806</f>
        <v>-101660</v>
      </c>
      <c r="AE406" s="65">
        <v>0</v>
      </c>
      <c r="AF406" s="43">
        <v>0</v>
      </c>
      <c r="AG406" s="43">
        <v>0</v>
      </c>
      <c r="AH406" s="43">
        <v>0</v>
      </c>
      <c r="AI406" s="65">
        <v>0</v>
      </c>
      <c r="AJ406" s="43">
        <v>0</v>
      </c>
      <c r="AK406" s="43">
        <v>0</v>
      </c>
      <c r="AL406" s="43">
        <v>0</v>
      </c>
      <c r="AM406" s="43">
        <v>0</v>
      </c>
      <c r="AN406" s="43">
        <v>0</v>
      </c>
      <c r="AO406" s="43">
        <v>0</v>
      </c>
      <c r="AP406" s="43">
        <v>0</v>
      </c>
      <c r="AQ406" s="43">
        <v>0</v>
      </c>
      <c r="AR406" s="43">
        <v>0</v>
      </c>
      <c r="AS406" s="43">
        <v>0</v>
      </c>
      <c r="AT406" s="43">
        <v>0</v>
      </c>
      <c r="AU406" s="43">
        <v>0</v>
      </c>
      <c r="AV406" s="43">
        <v>0</v>
      </c>
      <c r="AW406" s="43">
        <v>0</v>
      </c>
      <c r="AX406" s="43">
        <v>0</v>
      </c>
      <c r="AY406" s="43">
        <v>0</v>
      </c>
      <c r="AZ406" s="43">
        <v>0</v>
      </c>
      <c r="BA406" s="43">
        <v>0</v>
      </c>
      <c r="BB406" s="43">
        <v>0</v>
      </c>
      <c r="BC406" s="43">
        <v>0</v>
      </c>
      <c r="BD406" s="43">
        <v>0</v>
      </c>
      <c r="BE406" s="43">
        <v>0</v>
      </c>
      <c r="BF406" s="43">
        <v>0</v>
      </c>
      <c r="BG406" s="43">
        <v>0</v>
      </c>
      <c r="BH406" s="43">
        <v>0</v>
      </c>
      <c r="BI406" s="43">
        <v>0</v>
      </c>
      <c r="BJ406" s="43">
        <v>0</v>
      </c>
      <c r="BK406" s="43">
        <v>0</v>
      </c>
      <c r="BL406" s="43">
        <v>0</v>
      </c>
    </row>
    <row r="407" spans="1:64" ht="14.1" customHeight="1">
      <c r="A407" s="379">
        <f t="shared" si="734"/>
        <v>400</v>
      </c>
      <c r="B407" s="22" t="s">
        <v>269</v>
      </c>
      <c r="C407" s="38">
        <f t="shared" si="743"/>
        <v>-14309.24</v>
      </c>
      <c r="D407" s="65">
        <v>0</v>
      </c>
      <c r="E407" s="65">
        <v>-12887</v>
      </c>
      <c r="F407" s="43">
        <v>0</v>
      </c>
      <c r="G407" s="43">
        <v>0</v>
      </c>
      <c r="H407" s="43">
        <v>0</v>
      </c>
      <c r="I407" s="43">
        <v>0</v>
      </c>
      <c r="J407" s="43">
        <v>0</v>
      </c>
      <c r="K407" s="43">
        <v>0</v>
      </c>
      <c r="L407" s="43">
        <v>0</v>
      </c>
      <c r="M407" s="65">
        <v>0</v>
      </c>
      <c r="N407" s="65">
        <v>0</v>
      </c>
      <c r="O407" s="43">
        <v>0</v>
      </c>
      <c r="P407" s="43">
        <v>0</v>
      </c>
      <c r="Q407" s="43">
        <v>0</v>
      </c>
      <c r="R407" s="65">
        <v>0</v>
      </c>
      <c r="S407" s="43">
        <v>0</v>
      </c>
      <c r="T407" s="65">
        <v>0</v>
      </c>
      <c r="U407" s="43">
        <v>0</v>
      </c>
      <c r="V407" s="43">
        <v>0</v>
      </c>
      <c r="W407" s="43">
        <v>-134.24</v>
      </c>
      <c r="X407" s="43">
        <v>0</v>
      </c>
      <c r="Y407" s="43">
        <v>0</v>
      </c>
      <c r="Z407" s="43">
        <v>0</v>
      </c>
      <c r="AA407" s="43">
        <v>0</v>
      </c>
      <c r="AB407" s="43">
        <v>0</v>
      </c>
      <c r="AC407" s="43">
        <v>0</v>
      </c>
      <c r="AD407" s="43">
        <v>0</v>
      </c>
      <c r="AE407" s="65">
        <v>-1288</v>
      </c>
      <c r="AF407" s="43">
        <v>0</v>
      </c>
      <c r="AG407" s="43">
        <v>0</v>
      </c>
      <c r="AH407" s="43">
        <v>0</v>
      </c>
      <c r="AI407" s="65">
        <v>0</v>
      </c>
      <c r="AJ407" s="43">
        <v>0</v>
      </c>
      <c r="AK407" s="43">
        <v>0</v>
      </c>
      <c r="AL407" s="43">
        <v>0</v>
      </c>
      <c r="AM407" s="43">
        <v>0</v>
      </c>
      <c r="AN407" s="43">
        <v>0</v>
      </c>
      <c r="AO407" s="43">
        <v>0</v>
      </c>
      <c r="AP407" s="43">
        <v>0</v>
      </c>
      <c r="AQ407" s="43">
        <v>0</v>
      </c>
      <c r="AR407" s="43">
        <v>0</v>
      </c>
      <c r="AS407" s="43">
        <v>0</v>
      </c>
      <c r="AT407" s="43">
        <v>0</v>
      </c>
      <c r="AU407" s="43">
        <v>0</v>
      </c>
      <c r="AV407" s="43">
        <v>0</v>
      </c>
      <c r="AW407" s="43">
        <v>0</v>
      </c>
      <c r="AX407" s="43">
        <v>0</v>
      </c>
      <c r="AY407" s="43">
        <v>0</v>
      </c>
      <c r="AZ407" s="43">
        <v>0</v>
      </c>
      <c r="BA407" s="43">
        <v>0</v>
      </c>
      <c r="BB407" s="43">
        <v>0</v>
      </c>
      <c r="BC407" s="43">
        <v>0</v>
      </c>
      <c r="BD407" s="43">
        <v>0</v>
      </c>
      <c r="BE407" s="43">
        <v>0</v>
      </c>
      <c r="BF407" s="43">
        <v>0</v>
      </c>
      <c r="BG407" s="43">
        <v>0</v>
      </c>
      <c r="BH407" s="43">
        <v>0</v>
      </c>
      <c r="BI407" s="43">
        <v>0</v>
      </c>
      <c r="BJ407" s="43">
        <v>0</v>
      </c>
      <c r="BK407" s="43">
        <v>0</v>
      </c>
      <c r="BL407" s="43">
        <v>0</v>
      </c>
    </row>
    <row r="408" spans="1:64" ht="14.1" customHeight="1">
      <c r="A408" s="379">
        <f t="shared" si="734"/>
        <v>401</v>
      </c>
      <c r="B408" s="22" t="s">
        <v>270</v>
      </c>
      <c r="C408" s="38">
        <f t="shared" si="743"/>
        <v>14215</v>
      </c>
      <c r="D408" s="65">
        <v>0</v>
      </c>
      <c r="E408" s="65">
        <v>0</v>
      </c>
      <c r="F408" s="43">
        <v>0</v>
      </c>
      <c r="G408" s="43">
        <v>0</v>
      </c>
      <c r="H408" s="43">
        <v>0</v>
      </c>
      <c r="I408" s="43">
        <v>0</v>
      </c>
      <c r="J408" s="43">
        <v>0</v>
      </c>
      <c r="K408" s="43">
        <v>0</v>
      </c>
      <c r="L408" s="43">
        <v>0</v>
      </c>
      <c r="M408" s="65">
        <v>0</v>
      </c>
      <c r="N408" s="65">
        <v>0</v>
      </c>
      <c r="O408" s="43">
        <v>0</v>
      </c>
      <c r="P408" s="43">
        <v>0</v>
      </c>
      <c r="Q408" s="43">
        <v>0</v>
      </c>
      <c r="R408" s="65">
        <v>0</v>
      </c>
      <c r="S408" s="43">
        <v>0</v>
      </c>
      <c r="T408" s="65">
        <v>0</v>
      </c>
      <c r="U408" s="43">
        <v>0</v>
      </c>
      <c r="V408" s="43">
        <v>0</v>
      </c>
      <c r="W408" s="43">
        <v>0</v>
      </c>
      <c r="X408" s="43">
        <v>0</v>
      </c>
      <c r="Y408" s="43">
        <v>0</v>
      </c>
      <c r="Z408" s="43">
        <v>0</v>
      </c>
      <c r="AA408" s="43">
        <v>0</v>
      </c>
      <c r="AB408" s="43">
        <v>0</v>
      </c>
      <c r="AC408" s="43">
        <v>0</v>
      </c>
      <c r="AD408" s="43">
        <v>14215</v>
      </c>
      <c r="AE408" s="65">
        <v>0</v>
      </c>
      <c r="AF408" s="43">
        <v>0</v>
      </c>
      <c r="AG408" s="43">
        <v>0</v>
      </c>
      <c r="AH408" s="43">
        <v>0</v>
      </c>
      <c r="AI408" s="65">
        <v>0</v>
      </c>
      <c r="AJ408" s="43">
        <v>0</v>
      </c>
      <c r="AK408" s="43">
        <v>0</v>
      </c>
      <c r="AL408" s="43">
        <v>0</v>
      </c>
      <c r="AM408" s="43">
        <v>0</v>
      </c>
      <c r="AN408" s="43">
        <v>0</v>
      </c>
      <c r="AO408" s="43">
        <v>0</v>
      </c>
      <c r="AP408" s="43">
        <v>0</v>
      </c>
      <c r="AQ408" s="43">
        <v>0</v>
      </c>
      <c r="AR408" s="43">
        <v>0</v>
      </c>
      <c r="AS408" s="43">
        <v>0</v>
      </c>
      <c r="AT408" s="43">
        <v>0</v>
      </c>
      <c r="AU408" s="43">
        <v>0</v>
      </c>
      <c r="AV408" s="43">
        <v>0</v>
      </c>
      <c r="AW408" s="43">
        <v>0</v>
      </c>
      <c r="AX408" s="43">
        <v>0</v>
      </c>
      <c r="AY408" s="43">
        <v>0</v>
      </c>
      <c r="AZ408" s="43">
        <v>0</v>
      </c>
      <c r="BA408" s="43">
        <v>0</v>
      </c>
      <c r="BB408" s="43">
        <v>0</v>
      </c>
      <c r="BC408" s="43">
        <v>0</v>
      </c>
      <c r="BD408" s="43">
        <v>0</v>
      </c>
      <c r="BE408" s="43">
        <v>0</v>
      </c>
      <c r="BF408" s="43">
        <v>0</v>
      </c>
      <c r="BG408" s="43">
        <v>0</v>
      </c>
      <c r="BH408" s="43">
        <v>0</v>
      </c>
      <c r="BI408" s="43">
        <v>0</v>
      </c>
      <c r="BJ408" s="43">
        <v>0</v>
      </c>
      <c r="BK408" s="43">
        <v>0</v>
      </c>
      <c r="BL408" s="43">
        <v>0</v>
      </c>
    </row>
    <row r="409" spans="1:64" s="21" customFormat="1" ht="14.1" customHeight="1">
      <c r="A409" s="379">
        <f t="shared" si="734"/>
        <v>402</v>
      </c>
      <c r="B409" s="22" t="s">
        <v>271</v>
      </c>
      <c r="C409" s="38">
        <f t="shared" si="743"/>
        <v>-6487</v>
      </c>
      <c r="D409" s="38">
        <v>0</v>
      </c>
      <c r="E409" s="38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38">
        <v>0</v>
      </c>
      <c r="N409" s="38">
        <v>0</v>
      </c>
      <c r="O409" s="10">
        <v>0</v>
      </c>
      <c r="P409" s="10">
        <v>0</v>
      </c>
      <c r="Q409" s="10">
        <v>0</v>
      </c>
      <c r="R409" s="38">
        <v>0</v>
      </c>
      <c r="S409" s="10">
        <v>0</v>
      </c>
      <c r="T409" s="38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43">
        <v>0</v>
      </c>
      <c r="AE409" s="38">
        <v>0</v>
      </c>
      <c r="AF409" s="10">
        <v>0</v>
      </c>
      <c r="AG409" s="10">
        <v>0</v>
      </c>
      <c r="AH409" s="10">
        <v>0</v>
      </c>
      <c r="AI409" s="38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f>-4147-2340</f>
        <v>-6487</v>
      </c>
      <c r="AR409" s="10">
        <v>0</v>
      </c>
      <c r="AS409" s="10">
        <v>0</v>
      </c>
      <c r="AT409" s="10">
        <v>0</v>
      </c>
      <c r="AU409" s="10">
        <v>0</v>
      </c>
      <c r="AV409" s="10">
        <v>0</v>
      </c>
      <c r="AW409" s="10">
        <v>0</v>
      </c>
      <c r="AX409" s="10">
        <v>0</v>
      </c>
      <c r="AY409" s="10">
        <v>0</v>
      </c>
      <c r="AZ409" s="10">
        <v>0</v>
      </c>
      <c r="BA409" s="10">
        <v>0</v>
      </c>
      <c r="BB409" s="10">
        <v>0</v>
      </c>
      <c r="BC409" s="10">
        <v>0</v>
      </c>
      <c r="BD409" s="10">
        <v>0</v>
      </c>
      <c r="BE409" s="10">
        <v>0</v>
      </c>
      <c r="BF409" s="10">
        <v>0</v>
      </c>
      <c r="BG409" s="10">
        <v>0</v>
      </c>
      <c r="BH409" s="10">
        <v>0</v>
      </c>
      <c r="BI409" s="10">
        <v>0</v>
      </c>
      <c r="BJ409" s="10">
        <v>0</v>
      </c>
      <c r="BK409" s="10">
        <v>0</v>
      </c>
      <c r="BL409" s="10">
        <v>0</v>
      </c>
    </row>
    <row r="410" spans="1:64" s="21" customFormat="1" ht="14.1" customHeight="1">
      <c r="A410" s="379">
        <f t="shared" si="734"/>
        <v>403</v>
      </c>
      <c r="B410" s="22" t="s">
        <v>272</v>
      </c>
      <c r="C410" s="38">
        <f t="shared" si="743"/>
        <v>51527</v>
      </c>
      <c r="D410" s="38">
        <v>0</v>
      </c>
      <c r="E410" s="38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38">
        <v>0</v>
      </c>
      <c r="N410" s="38">
        <v>0</v>
      </c>
      <c r="O410" s="10">
        <v>0</v>
      </c>
      <c r="P410" s="10">
        <v>0</v>
      </c>
      <c r="Q410" s="10">
        <v>0</v>
      </c>
      <c r="R410" s="38">
        <v>0</v>
      </c>
      <c r="S410" s="10">
        <v>0</v>
      </c>
      <c r="T410" s="38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43">
        <v>0</v>
      </c>
      <c r="AE410" s="38">
        <v>0</v>
      </c>
      <c r="AF410" s="10">
        <v>0</v>
      </c>
      <c r="AG410" s="10">
        <v>0</v>
      </c>
      <c r="AH410" s="10">
        <v>0</v>
      </c>
      <c r="AI410" s="38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51527</v>
      </c>
      <c r="AT410" s="10">
        <v>0</v>
      </c>
      <c r="AU410" s="10">
        <v>0</v>
      </c>
      <c r="AV410" s="10">
        <v>0</v>
      </c>
      <c r="AW410" s="10">
        <v>0</v>
      </c>
      <c r="AX410" s="10">
        <v>0</v>
      </c>
      <c r="AY410" s="10">
        <v>0</v>
      </c>
      <c r="AZ410" s="10">
        <v>0</v>
      </c>
      <c r="BA410" s="10">
        <v>0</v>
      </c>
      <c r="BB410" s="10">
        <v>0</v>
      </c>
      <c r="BC410" s="10">
        <v>0</v>
      </c>
      <c r="BD410" s="10">
        <v>0</v>
      </c>
      <c r="BE410" s="10">
        <v>0</v>
      </c>
      <c r="BF410" s="10">
        <v>0</v>
      </c>
      <c r="BG410" s="10">
        <v>0</v>
      </c>
      <c r="BH410" s="10">
        <v>0</v>
      </c>
      <c r="BI410" s="10">
        <v>0</v>
      </c>
      <c r="BJ410" s="10">
        <v>0</v>
      </c>
      <c r="BK410" s="10">
        <v>0</v>
      </c>
      <c r="BL410" s="10">
        <v>0</v>
      </c>
    </row>
    <row r="411" spans="1:64" s="21" customFormat="1" ht="14.1" customHeight="1">
      <c r="A411" s="379">
        <f t="shared" si="734"/>
        <v>404</v>
      </c>
      <c r="B411" s="22" t="s">
        <v>273</v>
      </c>
      <c r="C411" s="38">
        <f t="shared" si="743"/>
        <v>0</v>
      </c>
      <c r="D411" s="65">
        <v>0</v>
      </c>
      <c r="E411" s="65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65">
        <v>0</v>
      </c>
      <c r="N411" s="65">
        <v>0</v>
      </c>
      <c r="O411" s="10">
        <v>0</v>
      </c>
      <c r="P411" s="10">
        <v>0</v>
      </c>
      <c r="Q411" s="10">
        <v>0</v>
      </c>
      <c r="R411" s="65">
        <v>0</v>
      </c>
      <c r="S411" s="10">
        <v>0</v>
      </c>
      <c r="T411" s="65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43">
        <v>0</v>
      </c>
      <c r="AE411" s="65">
        <v>0</v>
      </c>
      <c r="AF411" s="10">
        <v>0</v>
      </c>
      <c r="AG411" s="10">
        <v>0</v>
      </c>
      <c r="AH411" s="10">
        <v>0</v>
      </c>
      <c r="AI411" s="65">
        <v>0</v>
      </c>
      <c r="AJ411" s="10">
        <v>0</v>
      </c>
      <c r="AK411" s="10">
        <v>0</v>
      </c>
      <c r="AL411" s="10">
        <v>0</v>
      </c>
      <c r="AM411" s="10">
        <v>0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0</v>
      </c>
      <c r="AW411" s="10">
        <v>0</v>
      </c>
      <c r="AX411" s="10">
        <v>0</v>
      </c>
      <c r="AY411" s="10">
        <v>0</v>
      </c>
      <c r="AZ411" s="10">
        <v>0</v>
      </c>
      <c r="BA411" s="10">
        <v>0</v>
      </c>
      <c r="BB411" s="10">
        <v>0</v>
      </c>
      <c r="BC411" s="10">
        <v>0</v>
      </c>
      <c r="BD411" s="10">
        <v>0</v>
      </c>
      <c r="BE411" s="10">
        <v>0</v>
      </c>
      <c r="BF411" s="10">
        <v>0</v>
      </c>
      <c r="BG411" s="10">
        <v>0</v>
      </c>
      <c r="BH411" s="10">
        <v>0</v>
      </c>
      <c r="BI411" s="10">
        <v>0</v>
      </c>
      <c r="BJ411" s="10">
        <v>0</v>
      </c>
      <c r="BK411" s="10">
        <v>0</v>
      </c>
      <c r="BL411" s="10">
        <v>0</v>
      </c>
    </row>
    <row r="412" spans="1:64" s="21" customFormat="1" ht="14.1" customHeight="1">
      <c r="A412" s="379">
        <f t="shared" si="734"/>
        <v>405</v>
      </c>
      <c r="B412" s="22" t="s">
        <v>274</v>
      </c>
      <c r="C412" s="38">
        <f t="shared" si="743"/>
        <v>-451291.86</v>
      </c>
      <c r="D412" s="65">
        <v>0</v>
      </c>
      <c r="E412" s="65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65">
        <v>0</v>
      </c>
      <c r="N412" s="65">
        <v>0</v>
      </c>
      <c r="O412" s="10">
        <v>0</v>
      </c>
      <c r="P412" s="10">
        <v>0</v>
      </c>
      <c r="Q412" s="10">
        <v>0</v>
      </c>
      <c r="R412" s="65">
        <v>0</v>
      </c>
      <c r="S412" s="10">
        <v>0</v>
      </c>
      <c r="T412" s="65">
        <v>0</v>
      </c>
      <c r="U412" s="10">
        <v>0</v>
      </c>
      <c r="V412" s="10">
        <v>0</v>
      </c>
      <c r="W412" s="10">
        <v>23.14</v>
      </c>
      <c r="X412" s="10">
        <v>-8840</v>
      </c>
      <c r="Y412" s="10">
        <v>-383644</v>
      </c>
      <c r="Z412" s="10">
        <v>0</v>
      </c>
      <c r="AA412" s="10">
        <v>0</v>
      </c>
      <c r="AB412" s="10">
        <v>0</v>
      </c>
      <c r="AC412" s="10">
        <v>0</v>
      </c>
      <c r="AD412" s="43">
        <f>-1143+92-311-57469</f>
        <v>-58831</v>
      </c>
      <c r="AE412" s="65">
        <v>0</v>
      </c>
      <c r="AF412" s="10">
        <v>0</v>
      </c>
      <c r="AG412" s="10">
        <v>0</v>
      </c>
      <c r="AH412" s="10">
        <v>0</v>
      </c>
      <c r="AI412" s="65">
        <v>0</v>
      </c>
      <c r="AJ412" s="10">
        <v>0</v>
      </c>
      <c r="AK412" s="10">
        <v>0</v>
      </c>
      <c r="AL412" s="10">
        <v>0</v>
      </c>
      <c r="AM412" s="10">
        <v>0</v>
      </c>
      <c r="AN412" s="10">
        <v>0</v>
      </c>
      <c r="AO412" s="10">
        <v>0</v>
      </c>
      <c r="AP412" s="10">
        <v>0</v>
      </c>
      <c r="AQ412" s="10">
        <v>0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0">
        <v>0</v>
      </c>
      <c r="AZ412" s="10">
        <v>0</v>
      </c>
      <c r="BA412" s="10">
        <v>0</v>
      </c>
      <c r="BB412" s="10">
        <v>0</v>
      </c>
      <c r="BC412" s="10">
        <v>0</v>
      </c>
      <c r="BD412" s="10">
        <v>0</v>
      </c>
      <c r="BE412" s="10">
        <v>0</v>
      </c>
      <c r="BF412" s="10">
        <v>0</v>
      </c>
      <c r="BG412" s="10">
        <v>0</v>
      </c>
      <c r="BH412" s="10">
        <v>0</v>
      </c>
      <c r="BI412" s="10">
        <v>0</v>
      </c>
      <c r="BJ412" s="10">
        <v>0</v>
      </c>
      <c r="BK412" s="10">
        <v>0</v>
      </c>
      <c r="BL412" s="10">
        <v>0</v>
      </c>
    </row>
    <row r="413" spans="1:64" ht="14.1" customHeight="1">
      <c r="A413" s="379">
        <f t="shared" si="734"/>
        <v>406</v>
      </c>
      <c r="B413" s="88" t="s">
        <v>275</v>
      </c>
      <c r="C413" s="38">
        <f t="shared" si="743"/>
        <v>0</v>
      </c>
      <c r="D413" s="65">
        <v>0</v>
      </c>
      <c r="E413" s="65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65">
        <v>0</v>
      </c>
      <c r="N413" s="65">
        <v>0</v>
      </c>
      <c r="O413" s="10">
        <v>0</v>
      </c>
      <c r="P413" s="10">
        <v>0</v>
      </c>
      <c r="Q413" s="10">
        <v>0</v>
      </c>
      <c r="R413" s="65">
        <v>0</v>
      </c>
      <c r="S413" s="10">
        <v>0</v>
      </c>
      <c r="T413" s="65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43">
        <v>0</v>
      </c>
      <c r="AE413" s="65">
        <v>0</v>
      </c>
      <c r="AF413" s="10">
        <v>0</v>
      </c>
      <c r="AG413" s="10">
        <v>0</v>
      </c>
      <c r="AH413" s="10">
        <v>0</v>
      </c>
      <c r="AI413" s="65">
        <v>0</v>
      </c>
      <c r="AJ413" s="10">
        <v>0</v>
      </c>
      <c r="AK413" s="10">
        <v>0</v>
      </c>
      <c r="AL413" s="10">
        <v>0</v>
      </c>
      <c r="AM413" s="10">
        <v>0</v>
      </c>
      <c r="AN413" s="10">
        <v>0</v>
      </c>
      <c r="AO413" s="10">
        <v>0</v>
      </c>
      <c r="AP413" s="10">
        <v>0</v>
      </c>
      <c r="AQ413" s="10">
        <v>0</v>
      </c>
      <c r="AR413" s="10">
        <v>0</v>
      </c>
      <c r="AS413" s="10">
        <v>0</v>
      </c>
      <c r="AT413" s="10">
        <v>0</v>
      </c>
      <c r="AU413" s="10">
        <v>0</v>
      </c>
      <c r="AV413" s="10">
        <v>0</v>
      </c>
      <c r="AW413" s="10">
        <v>0</v>
      </c>
      <c r="AX413" s="10">
        <v>0</v>
      </c>
      <c r="AY413" s="10">
        <v>0</v>
      </c>
      <c r="AZ413" s="10">
        <v>0</v>
      </c>
      <c r="BA413" s="10">
        <v>0</v>
      </c>
      <c r="BB413" s="10">
        <v>0</v>
      </c>
      <c r="BC413" s="10">
        <v>0</v>
      </c>
      <c r="BD413" s="10">
        <v>0</v>
      </c>
      <c r="BE413" s="10">
        <v>0</v>
      </c>
      <c r="BF413" s="10">
        <v>0</v>
      </c>
      <c r="BG413" s="10">
        <v>0</v>
      </c>
      <c r="BH413" s="10">
        <v>0</v>
      </c>
      <c r="BI413" s="10">
        <v>0</v>
      </c>
      <c r="BJ413" s="10">
        <v>0</v>
      </c>
      <c r="BK413" s="10">
        <v>0</v>
      </c>
      <c r="BL413" s="10">
        <v>0</v>
      </c>
    </row>
    <row r="414" spans="1:64" ht="13.5" customHeight="1">
      <c r="A414" s="379">
        <f t="shared" si="734"/>
        <v>407</v>
      </c>
      <c r="B414" s="22" t="s">
        <v>276</v>
      </c>
      <c r="C414" s="38">
        <f t="shared" si="743"/>
        <v>0</v>
      </c>
      <c r="D414" s="38">
        <v>0</v>
      </c>
      <c r="E414" s="38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38">
        <v>0</v>
      </c>
      <c r="N414" s="38">
        <v>0</v>
      </c>
      <c r="O414" s="10">
        <v>0</v>
      </c>
      <c r="P414" s="10">
        <v>0</v>
      </c>
      <c r="Q414" s="10">
        <v>0</v>
      </c>
      <c r="R414" s="38">
        <v>0</v>
      </c>
      <c r="S414" s="10">
        <v>0</v>
      </c>
      <c r="T414" s="38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43">
        <v>0</v>
      </c>
      <c r="AE414" s="38">
        <v>0</v>
      </c>
      <c r="AF414" s="10">
        <v>0</v>
      </c>
      <c r="AG414" s="10">
        <v>0</v>
      </c>
      <c r="AH414" s="10">
        <v>0</v>
      </c>
      <c r="AI414" s="38">
        <v>0</v>
      </c>
      <c r="AJ414" s="10">
        <v>0</v>
      </c>
      <c r="AK414" s="10">
        <v>0</v>
      </c>
      <c r="AL414" s="10">
        <v>0</v>
      </c>
      <c r="AM414" s="10">
        <v>0</v>
      </c>
      <c r="AN414" s="10">
        <v>0</v>
      </c>
      <c r="AO414" s="10">
        <v>0</v>
      </c>
      <c r="AP414" s="10">
        <v>0</v>
      </c>
      <c r="AQ414" s="10">
        <v>0</v>
      </c>
      <c r="AR414" s="10">
        <v>0</v>
      </c>
      <c r="AS414" s="10">
        <v>0</v>
      </c>
      <c r="AT414" s="10">
        <v>0</v>
      </c>
      <c r="AU414" s="10">
        <v>0</v>
      </c>
      <c r="AV414" s="10">
        <v>0</v>
      </c>
      <c r="AW414" s="10">
        <v>0</v>
      </c>
      <c r="AX414" s="10">
        <v>0</v>
      </c>
      <c r="AY414" s="10">
        <v>0</v>
      </c>
      <c r="AZ414" s="10">
        <v>0</v>
      </c>
      <c r="BA414" s="10">
        <v>0</v>
      </c>
      <c r="BB414" s="10">
        <v>0</v>
      </c>
      <c r="BC414" s="10">
        <v>0</v>
      </c>
      <c r="BD414" s="10">
        <v>0</v>
      </c>
      <c r="BE414" s="10">
        <v>0</v>
      </c>
      <c r="BF414" s="10">
        <v>0</v>
      </c>
      <c r="BG414" s="10">
        <v>0</v>
      </c>
      <c r="BH414" s="10">
        <v>0</v>
      </c>
      <c r="BI414" s="10">
        <v>0</v>
      </c>
      <c r="BJ414" s="10">
        <v>0</v>
      </c>
      <c r="BK414" s="10">
        <v>0</v>
      </c>
      <c r="BL414" s="10">
        <v>0</v>
      </c>
    </row>
    <row r="415" spans="1:64" ht="14.1" customHeight="1">
      <c r="A415" s="379">
        <f t="shared" si="734"/>
        <v>408</v>
      </c>
      <c r="B415" s="22" t="s">
        <v>277</v>
      </c>
      <c r="C415" s="38">
        <f t="shared" si="743"/>
        <v>0</v>
      </c>
      <c r="D415" s="38">
        <v>0</v>
      </c>
      <c r="E415" s="38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38">
        <v>0</v>
      </c>
      <c r="N415" s="38">
        <v>0</v>
      </c>
      <c r="O415" s="10">
        <v>0</v>
      </c>
      <c r="P415" s="10">
        <v>0</v>
      </c>
      <c r="Q415" s="10">
        <v>0</v>
      </c>
      <c r="R415" s="38">
        <v>0</v>
      </c>
      <c r="S415" s="10">
        <v>0</v>
      </c>
      <c r="T415" s="38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43">
        <v>0</v>
      </c>
      <c r="AE415" s="38">
        <v>0</v>
      </c>
      <c r="AF415" s="10">
        <v>0</v>
      </c>
      <c r="AG415" s="10">
        <v>0</v>
      </c>
      <c r="AH415" s="10">
        <v>0</v>
      </c>
      <c r="AI415" s="38">
        <v>0</v>
      </c>
      <c r="AJ415" s="10">
        <v>0</v>
      </c>
      <c r="AK415" s="10">
        <v>0</v>
      </c>
      <c r="AL415" s="10">
        <v>0</v>
      </c>
      <c r="AM415" s="10">
        <v>0</v>
      </c>
      <c r="AN415" s="10">
        <v>0</v>
      </c>
      <c r="AO415" s="10">
        <v>0</v>
      </c>
      <c r="AP415" s="10">
        <v>0</v>
      </c>
      <c r="AQ415" s="10">
        <v>0</v>
      </c>
      <c r="AR415" s="10">
        <v>0</v>
      </c>
      <c r="AS415" s="10">
        <v>0</v>
      </c>
      <c r="AT415" s="10">
        <v>0</v>
      </c>
      <c r="AU415" s="10">
        <v>0</v>
      </c>
      <c r="AV415" s="10">
        <v>0</v>
      </c>
      <c r="AW415" s="10">
        <v>0</v>
      </c>
      <c r="AX415" s="10">
        <v>0</v>
      </c>
      <c r="AY415" s="10">
        <v>0</v>
      </c>
      <c r="AZ415" s="10">
        <v>0</v>
      </c>
      <c r="BA415" s="10">
        <v>0</v>
      </c>
      <c r="BB415" s="10">
        <v>0</v>
      </c>
      <c r="BC415" s="10">
        <v>0</v>
      </c>
      <c r="BD415" s="10">
        <v>0</v>
      </c>
      <c r="BE415" s="10">
        <v>0</v>
      </c>
      <c r="BF415" s="10">
        <v>0</v>
      </c>
      <c r="BG415" s="10">
        <v>0</v>
      </c>
      <c r="BH415" s="10">
        <v>0</v>
      </c>
      <c r="BI415" s="10">
        <v>0</v>
      </c>
      <c r="BJ415" s="10">
        <v>0</v>
      </c>
      <c r="BK415" s="10">
        <v>0</v>
      </c>
      <c r="BL415" s="10">
        <v>0</v>
      </c>
    </row>
    <row r="416" spans="1:64" ht="14.1" customHeight="1">
      <c r="A416" s="379">
        <f t="shared" si="734"/>
        <v>409</v>
      </c>
      <c r="B416" s="22" t="s">
        <v>323</v>
      </c>
      <c r="C416" s="38">
        <f t="shared" si="743"/>
        <v>67875.900000000023</v>
      </c>
      <c r="D416" s="65">
        <v>0</v>
      </c>
      <c r="E416" s="65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65">
        <v>0</v>
      </c>
      <c r="N416" s="65">
        <v>0</v>
      </c>
      <c r="O416" s="10">
        <v>0</v>
      </c>
      <c r="P416" s="10">
        <v>0</v>
      </c>
      <c r="Q416" s="10">
        <v>0</v>
      </c>
      <c r="R416" s="65">
        <v>0</v>
      </c>
      <c r="S416" s="10">
        <v>0</v>
      </c>
      <c r="T416" s="65">
        <v>0</v>
      </c>
      <c r="U416" s="10">
        <v>527792</v>
      </c>
      <c r="V416" s="10">
        <v>0</v>
      </c>
      <c r="W416" s="10">
        <v>159.9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43">
        <f>-870-873</f>
        <v>-1743</v>
      </c>
      <c r="AE416" s="65">
        <v>0</v>
      </c>
      <c r="AF416" s="10">
        <v>0</v>
      </c>
      <c r="AG416" s="10">
        <v>0</v>
      </c>
      <c r="AH416" s="10">
        <v>0</v>
      </c>
      <c r="AI416" s="65">
        <v>0</v>
      </c>
      <c r="AJ416" s="10">
        <v>0</v>
      </c>
      <c r="AK416" s="10">
        <v>0</v>
      </c>
      <c r="AL416" s="10">
        <v>0</v>
      </c>
      <c r="AM416" s="10">
        <v>0</v>
      </c>
      <c r="AN416" s="10">
        <v>0</v>
      </c>
      <c r="AO416" s="10">
        <v>0</v>
      </c>
      <c r="AP416" s="10">
        <v>0</v>
      </c>
      <c r="AQ416" s="10">
        <v>0</v>
      </c>
      <c r="AR416" s="10">
        <v>0</v>
      </c>
      <c r="AS416" s="10">
        <v>0</v>
      </c>
      <c r="AT416" s="10">
        <v>0</v>
      </c>
      <c r="AU416" s="10">
        <v>0</v>
      </c>
      <c r="AV416" s="10">
        <v>0</v>
      </c>
      <c r="AW416" s="10">
        <v>0</v>
      </c>
      <c r="AX416" s="10">
        <v>0</v>
      </c>
      <c r="AY416" s="10">
        <v>0</v>
      </c>
      <c r="AZ416" s="10">
        <v>0</v>
      </c>
      <c r="BA416" s="10">
        <v>0</v>
      </c>
      <c r="BB416" s="10">
        <v>0</v>
      </c>
      <c r="BC416" s="10">
        <v>0</v>
      </c>
      <c r="BD416" s="10">
        <v>0</v>
      </c>
      <c r="BE416" s="10">
        <v>0</v>
      </c>
      <c r="BF416" s="10">
        <v>0</v>
      </c>
      <c r="BG416" s="10">
        <v>0</v>
      </c>
      <c r="BH416" s="10">
        <v>0</v>
      </c>
      <c r="BI416" s="10">
        <v>-458333</v>
      </c>
      <c r="BJ416" s="10">
        <v>0</v>
      </c>
      <c r="BK416" s="10">
        <v>0</v>
      </c>
      <c r="BL416" s="10">
        <v>0</v>
      </c>
    </row>
    <row r="417" spans="1:64" ht="14.1" customHeight="1">
      <c r="A417" s="379">
        <f t="shared" si="734"/>
        <v>410</v>
      </c>
      <c r="B417" s="22" t="s">
        <v>278</v>
      </c>
      <c r="C417" s="38">
        <f t="shared" si="743"/>
        <v>-111982</v>
      </c>
      <c r="D417" s="65">
        <v>0</v>
      </c>
      <c r="E417" s="65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65">
        <v>0</v>
      </c>
      <c r="N417" s="65">
        <v>0</v>
      </c>
      <c r="O417" s="10">
        <v>0</v>
      </c>
      <c r="P417" s="10">
        <v>0</v>
      </c>
      <c r="Q417" s="10">
        <v>0</v>
      </c>
      <c r="R417" s="65">
        <v>0</v>
      </c>
      <c r="S417" s="10">
        <v>0</v>
      </c>
      <c r="T417" s="65">
        <v>0</v>
      </c>
      <c r="U417" s="10">
        <v>0</v>
      </c>
      <c r="V417" s="10">
        <v>-111982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43">
        <v>0</v>
      </c>
      <c r="AE417" s="65">
        <v>0</v>
      </c>
      <c r="AF417" s="10">
        <v>0</v>
      </c>
      <c r="AG417" s="10">
        <v>0</v>
      </c>
      <c r="AH417" s="10">
        <v>0</v>
      </c>
      <c r="AI417" s="65">
        <v>0</v>
      </c>
      <c r="AJ417" s="10">
        <v>0</v>
      </c>
      <c r="AK417" s="10">
        <v>0</v>
      </c>
      <c r="AL417" s="10">
        <v>0</v>
      </c>
      <c r="AM417" s="10">
        <v>0</v>
      </c>
      <c r="AN417" s="10">
        <v>0</v>
      </c>
      <c r="AO417" s="10">
        <v>0</v>
      </c>
      <c r="AP417" s="10">
        <v>0</v>
      </c>
      <c r="AQ417" s="10">
        <v>0</v>
      </c>
      <c r="AR417" s="10">
        <v>0</v>
      </c>
      <c r="AS417" s="10">
        <v>0</v>
      </c>
      <c r="AT417" s="10">
        <v>0</v>
      </c>
      <c r="AU417" s="10">
        <v>0</v>
      </c>
      <c r="AV417" s="10">
        <v>0</v>
      </c>
      <c r="AW417" s="10">
        <v>0</v>
      </c>
      <c r="AX417" s="10">
        <v>0</v>
      </c>
      <c r="AY417" s="10">
        <v>0</v>
      </c>
      <c r="AZ417" s="10">
        <v>0</v>
      </c>
      <c r="BA417" s="10">
        <v>0</v>
      </c>
      <c r="BB417" s="10">
        <v>0</v>
      </c>
      <c r="BC417" s="10">
        <v>0</v>
      </c>
      <c r="BD417" s="10">
        <v>0</v>
      </c>
      <c r="BE417" s="10">
        <v>0</v>
      </c>
      <c r="BF417" s="10">
        <v>0</v>
      </c>
      <c r="BG417" s="10">
        <v>0</v>
      </c>
      <c r="BH417" s="10">
        <v>0</v>
      </c>
      <c r="BI417" s="10">
        <v>0</v>
      </c>
      <c r="BJ417" s="10">
        <v>0</v>
      </c>
      <c r="BK417" s="10">
        <v>0</v>
      </c>
      <c r="BL417" s="10">
        <v>0</v>
      </c>
    </row>
    <row r="418" spans="1:64" ht="14.1" customHeight="1">
      <c r="A418" s="379">
        <f t="shared" si="734"/>
        <v>411</v>
      </c>
      <c r="B418" s="22" t="s">
        <v>279</v>
      </c>
      <c r="C418" s="38">
        <f t="shared" si="743"/>
        <v>-2563.39</v>
      </c>
      <c r="D418" s="65">
        <v>0</v>
      </c>
      <c r="E418" s="65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65">
        <v>0</v>
      </c>
      <c r="N418" s="65">
        <v>0</v>
      </c>
      <c r="O418" s="10">
        <v>0</v>
      </c>
      <c r="P418" s="10">
        <v>0</v>
      </c>
      <c r="Q418" s="10">
        <v>0</v>
      </c>
      <c r="R418" s="65">
        <v>0</v>
      </c>
      <c r="S418" s="10">
        <v>0</v>
      </c>
      <c r="T418" s="65">
        <v>0</v>
      </c>
      <c r="U418" s="10">
        <v>0</v>
      </c>
      <c r="V418" s="10">
        <v>0</v>
      </c>
      <c r="W418" s="10">
        <v>-686.39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43">
        <f>-1768+94-203</f>
        <v>-1877</v>
      </c>
      <c r="AE418" s="65">
        <v>0</v>
      </c>
      <c r="AF418" s="10">
        <v>0</v>
      </c>
      <c r="AG418" s="10">
        <v>0</v>
      </c>
      <c r="AH418" s="10">
        <v>0</v>
      </c>
      <c r="AI418" s="65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0</v>
      </c>
      <c r="AO418" s="10">
        <v>0</v>
      </c>
      <c r="AP418" s="10">
        <v>0</v>
      </c>
      <c r="AQ418" s="10">
        <v>0</v>
      </c>
      <c r="AR418" s="10">
        <v>0</v>
      </c>
      <c r="AS418" s="10">
        <v>0</v>
      </c>
      <c r="AT418" s="10">
        <v>0</v>
      </c>
      <c r="AU418" s="10">
        <v>0</v>
      </c>
      <c r="AV418" s="10">
        <v>0</v>
      </c>
      <c r="AW418" s="10">
        <v>0</v>
      </c>
      <c r="AX418" s="10">
        <v>0</v>
      </c>
      <c r="AY418" s="10">
        <v>0</v>
      </c>
      <c r="AZ418" s="10">
        <v>0</v>
      </c>
      <c r="BA418" s="10">
        <v>0</v>
      </c>
      <c r="BB418" s="10">
        <v>0</v>
      </c>
      <c r="BC418" s="10">
        <v>0</v>
      </c>
      <c r="BD418" s="10">
        <v>0</v>
      </c>
      <c r="BE418" s="10">
        <v>0</v>
      </c>
      <c r="BF418" s="10">
        <v>0</v>
      </c>
      <c r="BG418" s="10">
        <v>0</v>
      </c>
      <c r="BH418" s="10">
        <v>0</v>
      </c>
      <c r="BI418" s="10">
        <v>0</v>
      </c>
      <c r="BJ418" s="10">
        <v>0</v>
      </c>
      <c r="BK418" s="10">
        <v>0</v>
      </c>
      <c r="BL418" s="10">
        <v>0</v>
      </c>
    </row>
    <row r="419" spans="1:64" ht="14.1" customHeight="1">
      <c r="A419" s="379">
        <f t="shared" si="734"/>
        <v>412</v>
      </c>
      <c r="B419" s="56" t="s">
        <v>280</v>
      </c>
      <c r="C419" s="38">
        <f t="shared" si="743"/>
        <v>-5288.23</v>
      </c>
      <c r="D419" s="206">
        <v>0</v>
      </c>
      <c r="E419" s="206">
        <v>-181</v>
      </c>
      <c r="F419" s="43">
        <v>0</v>
      </c>
      <c r="G419" s="43">
        <v>0</v>
      </c>
      <c r="H419" s="43">
        <v>0</v>
      </c>
      <c r="I419" s="43">
        <v>0</v>
      </c>
      <c r="J419" s="43">
        <v>0</v>
      </c>
      <c r="K419" s="43">
        <v>0</v>
      </c>
      <c r="L419" s="43">
        <v>0</v>
      </c>
      <c r="M419" s="206">
        <v>0</v>
      </c>
      <c r="N419" s="206">
        <v>0</v>
      </c>
      <c r="O419" s="43">
        <v>0</v>
      </c>
      <c r="P419" s="43">
        <v>0</v>
      </c>
      <c r="Q419" s="43">
        <v>0</v>
      </c>
      <c r="R419" s="206">
        <v>0</v>
      </c>
      <c r="S419" s="43">
        <v>0</v>
      </c>
      <c r="T419" s="206">
        <v>0</v>
      </c>
      <c r="U419" s="43">
        <v>0</v>
      </c>
      <c r="V419" s="43">
        <v>0</v>
      </c>
      <c r="W419" s="43">
        <v>-5107.2299999999996</v>
      </c>
      <c r="X419" s="43">
        <v>0</v>
      </c>
      <c r="Y419" s="43">
        <v>0</v>
      </c>
      <c r="Z419" s="43">
        <v>0</v>
      </c>
      <c r="AA419" s="43">
        <v>0</v>
      </c>
      <c r="AB419" s="43">
        <v>0</v>
      </c>
      <c r="AC419" s="43">
        <v>0</v>
      </c>
      <c r="AD419" s="43">
        <v>0</v>
      </c>
      <c r="AE419" s="206">
        <v>0</v>
      </c>
      <c r="AF419" s="43">
        <v>0</v>
      </c>
      <c r="AG419" s="43">
        <v>0</v>
      </c>
      <c r="AH419" s="43">
        <v>0</v>
      </c>
      <c r="AI419" s="206">
        <v>0</v>
      </c>
      <c r="AJ419" s="43">
        <v>0</v>
      </c>
      <c r="AK419" s="43">
        <v>0</v>
      </c>
      <c r="AL419" s="43">
        <v>0</v>
      </c>
      <c r="AM419" s="43">
        <v>0</v>
      </c>
      <c r="AN419" s="43">
        <v>0</v>
      </c>
      <c r="AO419" s="43">
        <v>0</v>
      </c>
      <c r="AP419" s="43">
        <v>0</v>
      </c>
      <c r="AQ419" s="43">
        <v>0</v>
      </c>
      <c r="AR419" s="43">
        <v>0</v>
      </c>
      <c r="AS419" s="43">
        <v>0</v>
      </c>
      <c r="AT419" s="43">
        <v>0</v>
      </c>
      <c r="AU419" s="43">
        <v>0</v>
      </c>
      <c r="AV419" s="43">
        <v>0</v>
      </c>
      <c r="AW419" s="43">
        <v>0</v>
      </c>
      <c r="AX419" s="43">
        <v>0</v>
      </c>
      <c r="AY419" s="43">
        <v>0</v>
      </c>
      <c r="AZ419" s="43">
        <v>0</v>
      </c>
      <c r="BA419" s="43">
        <v>0</v>
      </c>
      <c r="BB419" s="43">
        <v>0</v>
      </c>
      <c r="BC419" s="43">
        <v>0</v>
      </c>
      <c r="BD419" s="43">
        <v>0</v>
      </c>
      <c r="BE419" s="43">
        <v>0</v>
      </c>
      <c r="BF419" s="43">
        <v>0</v>
      </c>
      <c r="BG419" s="43">
        <v>0</v>
      </c>
      <c r="BH419" s="43">
        <v>0</v>
      </c>
      <c r="BI419" s="43">
        <v>0</v>
      </c>
      <c r="BJ419" s="43">
        <v>0</v>
      </c>
      <c r="BK419" s="43">
        <v>0</v>
      </c>
      <c r="BL419" s="43">
        <v>0</v>
      </c>
    </row>
    <row r="420" spans="1:64" ht="14.1" customHeight="1">
      <c r="A420" s="379">
        <f t="shared" si="734"/>
        <v>413</v>
      </c>
      <c r="B420" s="20" t="s">
        <v>511</v>
      </c>
      <c r="C420" s="85">
        <f t="shared" ref="C420:K420" si="744">SUM(C406:C419)</f>
        <v>-562444.86</v>
      </c>
      <c r="D420" s="65">
        <f t="shared" si="744"/>
        <v>0</v>
      </c>
      <c r="E420" s="65">
        <f t="shared" si="744"/>
        <v>-18223</v>
      </c>
      <c r="F420" s="85">
        <f t="shared" si="744"/>
        <v>0</v>
      </c>
      <c r="G420" s="85">
        <f t="shared" si="744"/>
        <v>0</v>
      </c>
      <c r="H420" s="85">
        <f t="shared" si="744"/>
        <v>0</v>
      </c>
      <c r="I420" s="85">
        <f t="shared" si="744"/>
        <v>0</v>
      </c>
      <c r="J420" s="85">
        <f t="shared" si="744"/>
        <v>0</v>
      </c>
      <c r="K420" s="85">
        <f t="shared" si="744"/>
        <v>0</v>
      </c>
      <c r="L420" s="85">
        <f t="shared" ref="L420:Y420" si="745">SUM(L406:L419)</f>
        <v>0</v>
      </c>
      <c r="M420" s="65">
        <f t="shared" si="745"/>
        <v>0</v>
      </c>
      <c r="N420" s="65">
        <f t="shared" si="745"/>
        <v>0</v>
      </c>
      <c r="O420" s="85">
        <f t="shared" si="745"/>
        <v>0</v>
      </c>
      <c r="P420" s="85">
        <f t="shared" si="745"/>
        <v>0</v>
      </c>
      <c r="Q420" s="85">
        <f t="shared" si="745"/>
        <v>0</v>
      </c>
      <c r="R420" s="65">
        <f t="shared" si="745"/>
        <v>0</v>
      </c>
      <c r="S420" s="85">
        <f t="shared" si="745"/>
        <v>0</v>
      </c>
      <c r="T420" s="65">
        <f>SUM(T406:T419)</f>
        <v>0</v>
      </c>
      <c r="U420" s="85">
        <f t="shared" si="745"/>
        <v>527792</v>
      </c>
      <c r="V420" s="85">
        <f t="shared" si="745"/>
        <v>-111982</v>
      </c>
      <c r="W420" s="85">
        <f t="shared" si="745"/>
        <v>-3070.8599999999992</v>
      </c>
      <c r="X420" s="85">
        <f t="shared" si="745"/>
        <v>-8840</v>
      </c>
      <c r="Y420" s="85">
        <f t="shared" si="745"/>
        <v>-383644</v>
      </c>
      <c r="Z420" s="85">
        <f t="shared" ref="Z420:AE420" si="746">SUM(Z406:Z419)</f>
        <v>0</v>
      </c>
      <c r="AA420" s="85">
        <f t="shared" si="746"/>
        <v>0</v>
      </c>
      <c r="AB420" s="85">
        <f t="shared" si="746"/>
        <v>0</v>
      </c>
      <c r="AC420" s="85">
        <f t="shared" si="746"/>
        <v>0</v>
      </c>
      <c r="AD420" s="85">
        <f t="shared" si="746"/>
        <v>-149896</v>
      </c>
      <c r="AE420" s="65">
        <f t="shared" si="746"/>
        <v>-1288</v>
      </c>
      <c r="AF420" s="85">
        <f t="shared" ref="AF420:AL420" si="747">SUM(AF406:AF419)</f>
        <v>0</v>
      </c>
      <c r="AG420" s="85">
        <f t="shared" si="747"/>
        <v>0</v>
      </c>
      <c r="AH420" s="85">
        <f t="shared" si="747"/>
        <v>0</v>
      </c>
      <c r="AI420" s="65">
        <f t="shared" si="747"/>
        <v>0</v>
      </c>
      <c r="AJ420" s="85">
        <f t="shared" si="747"/>
        <v>0</v>
      </c>
      <c r="AK420" s="85">
        <f t="shared" si="747"/>
        <v>0</v>
      </c>
      <c r="AL420" s="85">
        <f t="shared" si="747"/>
        <v>0</v>
      </c>
      <c r="AM420" s="85">
        <f t="shared" ref="AM420:BB420" si="748">SUM(AM406:AM419)</f>
        <v>0</v>
      </c>
      <c r="AN420" s="85">
        <f t="shared" si="748"/>
        <v>0</v>
      </c>
      <c r="AO420" s="85">
        <f t="shared" si="748"/>
        <v>0</v>
      </c>
      <c r="AP420" s="85">
        <f t="shared" si="748"/>
        <v>0</v>
      </c>
      <c r="AQ420" s="85">
        <f>SUM(AQ406:AQ419)</f>
        <v>-6487</v>
      </c>
      <c r="AR420" s="85">
        <f>SUM(AR406:AR419)</f>
        <v>0</v>
      </c>
      <c r="AS420" s="85">
        <f t="shared" ref="AS420:AY420" si="749">SUM(AS406:AS419)</f>
        <v>51527</v>
      </c>
      <c r="AT420" s="85">
        <f t="shared" si="749"/>
        <v>0</v>
      </c>
      <c r="AU420" s="85">
        <f>SUM(AU406:AU419)</f>
        <v>0</v>
      </c>
      <c r="AV420" s="85">
        <f t="shared" si="749"/>
        <v>0</v>
      </c>
      <c r="AW420" s="85">
        <f t="shared" si="749"/>
        <v>0</v>
      </c>
      <c r="AX420" s="85">
        <f t="shared" si="749"/>
        <v>0</v>
      </c>
      <c r="AY420" s="85">
        <f t="shared" si="749"/>
        <v>0</v>
      </c>
      <c r="AZ420" s="85">
        <f>SUM(AZ406:AZ419)</f>
        <v>0</v>
      </c>
      <c r="BA420" s="85">
        <f t="shared" si="748"/>
        <v>0</v>
      </c>
      <c r="BB420" s="85">
        <f t="shared" si="748"/>
        <v>0</v>
      </c>
      <c r="BC420" s="85">
        <f>SUM(BC406:BC419)</f>
        <v>0</v>
      </c>
      <c r="BD420" s="85">
        <f>SUM(BD406:BD419)</f>
        <v>0</v>
      </c>
      <c r="BE420" s="85">
        <f t="shared" ref="BE420:BG420" si="750">SUM(BE406:BE419)</f>
        <v>0</v>
      </c>
      <c r="BF420" s="85">
        <f t="shared" si="750"/>
        <v>0</v>
      </c>
      <c r="BG420" s="85">
        <f t="shared" si="750"/>
        <v>0</v>
      </c>
      <c r="BH420" s="85">
        <f t="shared" ref="BH420:BL420" si="751">SUM(BH406:BH419)</f>
        <v>0</v>
      </c>
      <c r="BI420" s="85">
        <f t="shared" si="751"/>
        <v>-458333</v>
      </c>
      <c r="BJ420" s="85">
        <f t="shared" si="751"/>
        <v>0</v>
      </c>
      <c r="BK420" s="85">
        <f t="shared" si="751"/>
        <v>0</v>
      </c>
      <c r="BL420" s="85">
        <f t="shared" si="751"/>
        <v>0</v>
      </c>
    </row>
    <row r="421" spans="1:64" ht="14.1" customHeight="1">
      <c r="A421" s="379">
        <f t="shared" si="734"/>
        <v>414</v>
      </c>
      <c r="B421" s="22"/>
      <c r="C421" s="22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</row>
    <row r="422" spans="1:64" ht="14.1" customHeight="1">
      <c r="A422" s="379">
        <f t="shared" si="734"/>
        <v>415</v>
      </c>
      <c r="B422" s="129" t="s">
        <v>281</v>
      </c>
      <c r="C422" s="38">
        <f>SUM(D422:BI422)</f>
        <v>4657.8699999999953</v>
      </c>
      <c r="D422" s="43">
        <v>0</v>
      </c>
      <c r="E422" s="43">
        <v>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>
        <v>0</v>
      </c>
      <c r="M422" s="43">
        <v>0</v>
      </c>
      <c r="N422" s="43">
        <v>0</v>
      </c>
      <c r="O422" s="43">
        <v>0</v>
      </c>
      <c r="P422" s="43">
        <v>0</v>
      </c>
      <c r="Q422" s="43">
        <v>0</v>
      </c>
      <c r="R422" s="43">
        <v>0</v>
      </c>
      <c r="S422" s="43">
        <v>0</v>
      </c>
      <c r="T422" s="43">
        <v>0</v>
      </c>
      <c r="U422" s="43">
        <v>0</v>
      </c>
      <c r="V422" s="43">
        <v>0</v>
      </c>
      <c r="W422" s="43">
        <v>67077.87</v>
      </c>
      <c r="X422" s="43">
        <v>0</v>
      </c>
      <c r="Y422" s="43">
        <v>0</v>
      </c>
      <c r="Z422" s="43">
        <v>0</v>
      </c>
      <c r="AA422" s="43">
        <v>0</v>
      </c>
      <c r="AB422" s="43">
        <v>0</v>
      </c>
      <c r="AC422" s="43">
        <v>0</v>
      </c>
      <c r="AD422" s="43">
        <f>-45152+1209-18477</f>
        <v>-62420</v>
      </c>
      <c r="AE422" s="43">
        <v>0</v>
      </c>
      <c r="AF422" s="43">
        <v>0</v>
      </c>
      <c r="AG422" s="43">
        <v>0</v>
      </c>
      <c r="AH422" s="43">
        <v>0</v>
      </c>
      <c r="AI422" s="43">
        <v>0</v>
      </c>
      <c r="AJ422" s="43">
        <v>0</v>
      </c>
      <c r="AK422" s="43">
        <v>0</v>
      </c>
      <c r="AL422" s="43">
        <v>0</v>
      </c>
      <c r="AM422" s="43">
        <v>0</v>
      </c>
      <c r="AN422" s="43">
        <v>0</v>
      </c>
      <c r="AO422" s="43">
        <v>0</v>
      </c>
      <c r="AP422" s="43">
        <v>0</v>
      </c>
      <c r="AQ422" s="43">
        <v>0</v>
      </c>
      <c r="AR422" s="43">
        <v>0</v>
      </c>
      <c r="AS422" s="43">
        <v>0</v>
      </c>
      <c r="AT422" s="43">
        <v>0</v>
      </c>
      <c r="AU422" s="43">
        <v>0</v>
      </c>
      <c r="AV422" s="43">
        <v>0</v>
      </c>
      <c r="AW422" s="43">
        <v>0</v>
      </c>
      <c r="AX422" s="43">
        <v>0</v>
      </c>
      <c r="AY422" s="43">
        <v>0</v>
      </c>
      <c r="AZ422" s="43">
        <v>0</v>
      </c>
      <c r="BA422" s="43">
        <v>0</v>
      </c>
      <c r="BB422" s="43">
        <v>0</v>
      </c>
      <c r="BC422" s="43">
        <v>0</v>
      </c>
      <c r="BD422" s="43">
        <v>0</v>
      </c>
      <c r="BE422" s="43">
        <v>0</v>
      </c>
      <c r="BF422" s="43">
        <v>0</v>
      </c>
      <c r="BG422" s="43">
        <v>0</v>
      </c>
      <c r="BH422" s="43">
        <v>0</v>
      </c>
      <c r="BI422" s="43">
        <v>0</v>
      </c>
      <c r="BJ422" s="43">
        <v>0</v>
      </c>
      <c r="BK422" s="43">
        <v>0</v>
      </c>
      <c r="BL422" s="43">
        <v>0</v>
      </c>
    </row>
    <row r="423" spans="1:64" ht="14.1" customHeight="1">
      <c r="A423" s="379">
        <f t="shared" si="734"/>
        <v>416</v>
      </c>
      <c r="B423" s="57" t="s">
        <v>282</v>
      </c>
      <c r="C423" s="38">
        <f>SUM(D423:BI423)</f>
        <v>0</v>
      </c>
      <c r="D423" s="43">
        <v>0</v>
      </c>
      <c r="E423" s="43">
        <v>0</v>
      </c>
      <c r="F423" s="43">
        <v>0</v>
      </c>
      <c r="G423" s="43">
        <v>0</v>
      </c>
      <c r="H423" s="43">
        <v>0</v>
      </c>
      <c r="I423" s="43">
        <v>0</v>
      </c>
      <c r="J423" s="43">
        <v>0</v>
      </c>
      <c r="K423" s="43">
        <v>0</v>
      </c>
      <c r="L423" s="43">
        <v>0</v>
      </c>
      <c r="M423" s="43">
        <v>0</v>
      </c>
      <c r="N423" s="43">
        <v>0</v>
      </c>
      <c r="O423" s="43">
        <v>0</v>
      </c>
      <c r="P423" s="43">
        <v>0</v>
      </c>
      <c r="Q423" s="43">
        <v>0</v>
      </c>
      <c r="R423" s="43">
        <v>0</v>
      </c>
      <c r="S423" s="43">
        <v>0</v>
      </c>
      <c r="T423" s="43">
        <v>0</v>
      </c>
      <c r="U423" s="43">
        <v>0</v>
      </c>
      <c r="V423" s="43">
        <v>0</v>
      </c>
      <c r="W423" s="43">
        <v>0</v>
      </c>
      <c r="X423" s="43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43">
        <v>0</v>
      </c>
      <c r="AF423" s="43">
        <v>0</v>
      </c>
      <c r="AG423" s="43">
        <v>0</v>
      </c>
      <c r="AH423" s="43">
        <v>0</v>
      </c>
      <c r="AI423" s="43">
        <v>0</v>
      </c>
      <c r="AJ423" s="43">
        <v>0</v>
      </c>
      <c r="AK423" s="43">
        <v>0</v>
      </c>
      <c r="AL423" s="43">
        <v>0</v>
      </c>
      <c r="AM423" s="43">
        <v>0</v>
      </c>
      <c r="AN423" s="43">
        <v>0</v>
      </c>
      <c r="AO423" s="43">
        <v>0</v>
      </c>
      <c r="AP423" s="43">
        <v>0</v>
      </c>
      <c r="AQ423" s="43">
        <v>0</v>
      </c>
      <c r="AR423" s="43">
        <v>0</v>
      </c>
      <c r="AS423" s="43">
        <v>0</v>
      </c>
      <c r="AT423" s="43">
        <v>0</v>
      </c>
      <c r="AU423" s="43">
        <v>0</v>
      </c>
      <c r="AV423" s="43">
        <v>0</v>
      </c>
      <c r="AW423" s="43">
        <v>0</v>
      </c>
      <c r="AX423" s="43">
        <v>0</v>
      </c>
      <c r="AY423" s="43">
        <v>0</v>
      </c>
      <c r="AZ423" s="43">
        <v>0</v>
      </c>
      <c r="BA423" s="43">
        <v>0</v>
      </c>
      <c r="BB423" s="43">
        <v>0</v>
      </c>
      <c r="BC423" s="43">
        <v>0</v>
      </c>
      <c r="BD423" s="43">
        <v>0</v>
      </c>
      <c r="BE423" s="43">
        <v>0</v>
      </c>
      <c r="BF423" s="43">
        <v>0</v>
      </c>
      <c r="BG423" s="43">
        <v>0</v>
      </c>
      <c r="BH423" s="43">
        <v>0</v>
      </c>
      <c r="BI423" s="43">
        <v>0</v>
      </c>
      <c r="BJ423" s="43">
        <v>0</v>
      </c>
      <c r="BK423" s="43">
        <v>0</v>
      </c>
      <c r="BL423" s="43">
        <v>0</v>
      </c>
    </row>
    <row r="424" spans="1:64" ht="14.1" customHeight="1">
      <c r="A424" s="379">
        <f t="shared" si="734"/>
        <v>417</v>
      </c>
      <c r="B424" s="20" t="s">
        <v>283</v>
      </c>
      <c r="C424" s="85">
        <f t="shared" ref="C424:H424" si="752">C420+SUM(C422:C423)</f>
        <v>-557786.99</v>
      </c>
      <c r="D424" s="85">
        <f t="shared" si="752"/>
        <v>0</v>
      </c>
      <c r="E424" s="85">
        <f>E420+SUM(E422:E423)</f>
        <v>-18223</v>
      </c>
      <c r="F424" s="85">
        <f>F420+SUM(F422:F423)</f>
        <v>0</v>
      </c>
      <c r="G424" s="85">
        <f>G420+SUM(G422:G423)</f>
        <v>0</v>
      </c>
      <c r="H424" s="85">
        <f t="shared" si="752"/>
        <v>0</v>
      </c>
      <c r="I424" s="85">
        <f>I420+SUM(I422:I423)</f>
        <v>0</v>
      </c>
      <c r="J424" s="85">
        <f>J420+SUM(J422:J423)</f>
        <v>0</v>
      </c>
      <c r="K424" s="85">
        <f>K420+SUM(K422:K423)</f>
        <v>0</v>
      </c>
      <c r="L424" s="85">
        <f t="shared" ref="L424:Y424" si="753">L420+SUM(L422:L423)</f>
        <v>0</v>
      </c>
      <c r="M424" s="85">
        <f t="shared" si="753"/>
        <v>0</v>
      </c>
      <c r="N424" s="85">
        <f t="shared" si="753"/>
        <v>0</v>
      </c>
      <c r="O424" s="85">
        <f t="shared" si="753"/>
        <v>0</v>
      </c>
      <c r="P424" s="85">
        <f t="shared" si="753"/>
        <v>0</v>
      </c>
      <c r="Q424" s="85">
        <f t="shared" si="753"/>
        <v>0</v>
      </c>
      <c r="R424" s="85">
        <f t="shared" si="753"/>
        <v>0</v>
      </c>
      <c r="S424" s="85">
        <f t="shared" si="753"/>
        <v>0</v>
      </c>
      <c r="T424" s="85">
        <f>T420+SUM(T422:T423)</f>
        <v>0</v>
      </c>
      <c r="U424" s="85">
        <f t="shared" si="753"/>
        <v>527792</v>
      </c>
      <c r="V424" s="85">
        <f t="shared" si="753"/>
        <v>-111982</v>
      </c>
      <c r="W424" s="85">
        <f t="shared" si="753"/>
        <v>64007.009999999995</v>
      </c>
      <c r="X424" s="85">
        <f t="shared" si="753"/>
        <v>-8840</v>
      </c>
      <c r="Y424" s="85">
        <f t="shared" si="753"/>
        <v>-383644</v>
      </c>
      <c r="Z424" s="85">
        <f>Z420+SUM(Z422:Z423)</f>
        <v>0</v>
      </c>
      <c r="AA424" s="85">
        <f>AA420+SUM(AA422:AA423)</f>
        <v>0</v>
      </c>
      <c r="AB424" s="85">
        <f>AB420+SUM(AB422:AB423)</f>
        <v>0</v>
      </c>
      <c r="AC424" s="85">
        <f t="shared" ref="AC424:AL424" si="754">AC420+SUM(AC422:AC423)</f>
        <v>0</v>
      </c>
      <c r="AD424" s="85">
        <f>AD420+SUM(AD422:AD423)</f>
        <v>-212316</v>
      </c>
      <c r="AE424" s="85">
        <f t="shared" si="754"/>
        <v>-1288</v>
      </c>
      <c r="AF424" s="85">
        <f t="shared" si="754"/>
        <v>0</v>
      </c>
      <c r="AG424" s="85">
        <f t="shared" si="754"/>
        <v>0</v>
      </c>
      <c r="AH424" s="85">
        <f t="shared" si="754"/>
        <v>0</v>
      </c>
      <c r="AI424" s="85">
        <f t="shared" si="754"/>
        <v>0</v>
      </c>
      <c r="AJ424" s="85">
        <f t="shared" si="754"/>
        <v>0</v>
      </c>
      <c r="AK424" s="85">
        <f t="shared" si="754"/>
        <v>0</v>
      </c>
      <c r="AL424" s="85">
        <f t="shared" si="754"/>
        <v>0</v>
      </c>
      <c r="AM424" s="85">
        <f t="shared" ref="AM424:BB424" si="755">AM420+SUM(AM422:AM423)</f>
        <v>0</v>
      </c>
      <c r="AN424" s="85">
        <f t="shared" si="755"/>
        <v>0</v>
      </c>
      <c r="AO424" s="85">
        <f t="shared" si="755"/>
        <v>0</v>
      </c>
      <c r="AP424" s="85">
        <f t="shared" si="755"/>
        <v>0</v>
      </c>
      <c r="AQ424" s="85">
        <f>AQ420+SUM(AQ422:AQ423)</f>
        <v>-6487</v>
      </c>
      <c r="AR424" s="85">
        <f>AR420+SUM(AR422:AR423)</f>
        <v>0</v>
      </c>
      <c r="AS424" s="85">
        <f t="shared" ref="AS424:AY424" si="756">AS420+SUM(AS422:AS423)</f>
        <v>51527</v>
      </c>
      <c r="AT424" s="85">
        <f t="shared" si="756"/>
        <v>0</v>
      </c>
      <c r="AU424" s="85">
        <f>AU420+SUM(AU422:AU423)</f>
        <v>0</v>
      </c>
      <c r="AV424" s="85">
        <f t="shared" si="756"/>
        <v>0</v>
      </c>
      <c r="AW424" s="85">
        <f t="shared" si="756"/>
        <v>0</v>
      </c>
      <c r="AX424" s="85">
        <f t="shared" si="756"/>
        <v>0</v>
      </c>
      <c r="AY424" s="85">
        <f t="shared" si="756"/>
        <v>0</v>
      </c>
      <c r="AZ424" s="85">
        <f>AZ420+SUM(AZ422:AZ423)</f>
        <v>0</v>
      </c>
      <c r="BA424" s="85">
        <f t="shared" si="755"/>
        <v>0</v>
      </c>
      <c r="BB424" s="85">
        <f t="shared" si="755"/>
        <v>0</v>
      </c>
      <c r="BC424" s="85">
        <f>BC420+SUM(BC422:BC423)</f>
        <v>0</v>
      </c>
      <c r="BD424" s="85">
        <f>BD420+SUM(BD422:BD423)</f>
        <v>0</v>
      </c>
      <c r="BE424" s="85">
        <f t="shared" ref="BE424:BG424" si="757">BE420+SUM(BE422:BE423)</f>
        <v>0</v>
      </c>
      <c r="BF424" s="85">
        <f t="shared" si="757"/>
        <v>0</v>
      </c>
      <c r="BG424" s="85">
        <f t="shared" si="757"/>
        <v>0</v>
      </c>
      <c r="BH424" s="85">
        <f t="shared" ref="BH424:BL424" si="758">BH420+SUM(BH422:BH423)</f>
        <v>0</v>
      </c>
      <c r="BI424" s="85">
        <f t="shared" si="758"/>
        <v>-458333</v>
      </c>
      <c r="BJ424" s="85">
        <f t="shared" si="758"/>
        <v>0</v>
      </c>
      <c r="BK424" s="85">
        <f t="shared" si="758"/>
        <v>0</v>
      </c>
      <c r="BL424" s="85">
        <f t="shared" si="758"/>
        <v>0</v>
      </c>
    </row>
    <row r="425" spans="1:64" ht="14.1" customHeight="1">
      <c r="A425" s="379">
        <f t="shared" si="734"/>
        <v>418</v>
      </c>
      <c r="B425" s="57"/>
      <c r="C425" s="151"/>
      <c r="D425" s="151"/>
      <c r="E425" s="151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  <c r="X425" s="151"/>
      <c r="Y425" s="151"/>
      <c r="Z425" s="151"/>
      <c r="AA425" s="151"/>
      <c r="AB425" s="151"/>
      <c r="AC425" s="151"/>
      <c r="AD425" s="151"/>
      <c r="AE425" s="151"/>
      <c r="AF425" s="151"/>
      <c r="AG425" s="151"/>
      <c r="AH425" s="151"/>
      <c r="AI425" s="151"/>
      <c r="AJ425" s="151"/>
      <c r="AK425" s="151"/>
      <c r="AL425" s="151"/>
      <c r="AM425" s="151"/>
      <c r="AN425" s="151"/>
      <c r="AO425" s="151"/>
      <c r="AP425" s="151"/>
      <c r="AQ425" s="151"/>
      <c r="AR425" s="151"/>
      <c r="AS425" s="151"/>
      <c r="AT425" s="151"/>
      <c r="AU425" s="151"/>
      <c r="AV425" s="151"/>
      <c r="AW425" s="151"/>
      <c r="AX425" s="151"/>
      <c r="AY425" s="151"/>
      <c r="AZ425" s="151"/>
      <c r="BA425" s="151"/>
      <c r="BB425" s="151"/>
      <c r="BC425" s="151"/>
      <c r="BD425" s="151"/>
      <c r="BE425" s="151"/>
      <c r="BF425" s="151"/>
      <c r="BG425" s="151"/>
      <c r="BH425" s="151"/>
      <c r="BI425" s="151"/>
      <c r="BJ425" s="151"/>
      <c r="BK425" s="151"/>
      <c r="BL425" s="151"/>
    </row>
    <row r="426" spans="1:64" s="21" customFormat="1" ht="14.1" customHeight="1">
      <c r="A426" s="379">
        <f t="shared" si="734"/>
        <v>419</v>
      </c>
      <c r="B426" s="20" t="s">
        <v>512</v>
      </c>
      <c r="C426" s="168">
        <f t="shared" ref="C426:K426" si="759">C424+C403+C396+C389+C380+C352+C325</f>
        <v>5461326.4499999974</v>
      </c>
      <c r="D426" s="168">
        <f t="shared" si="759"/>
        <v>0</v>
      </c>
      <c r="E426" s="168">
        <f t="shared" si="759"/>
        <v>1</v>
      </c>
      <c r="F426" s="168">
        <f t="shared" si="759"/>
        <v>-3843206</v>
      </c>
      <c r="G426" s="168">
        <f t="shared" si="759"/>
        <v>0</v>
      </c>
      <c r="H426" s="168">
        <f t="shared" si="759"/>
        <v>0</v>
      </c>
      <c r="I426" s="168">
        <f t="shared" si="759"/>
        <v>2822903</v>
      </c>
      <c r="J426" s="168">
        <f t="shared" si="759"/>
        <v>0</v>
      </c>
      <c r="K426" s="168">
        <f t="shared" si="759"/>
        <v>2098614</v>
      </c>
      <c r="L426" s="168">
        <f t="shared" ref="L426:Y426" si="760">L424+L403+L396+L389+L380+L352+L325</f>
        <v>497876</v>
      </c>
      <c r="M426" s="168">
        <f t="shared" si="760"/>
        <v>-482478</v>
      </c>
      <c r="N426" s="168">
        <f t="shared" si="760"/>
        <v>-370224</v>
      </c>
      <c r="O426" s="168">
        <f t="shared" si="760"/>
        <v>-6412416</v>
      </c>
      <c r="P426" s="168">
        <f t="shared" si="760"/>
        <v>-9814264</v>
      </c>
      <c r="Q426" s="168">
        <f t="shared" si="760"/>
        <v>2870414</v>
      </c>
      <c r="R426" s="168">
        <f t="shared" si="760"/>
        <v>0</v>
      </c>
      <c r="S426" s="168">
        <f t="shared" si="760"/>
        <v>511729</v>
      </c>
      <c r="T426" s="168">
        <f>T424+T403+T396+T389+T380+T352+T325</f>
        <v>361146</v>
      </c>
      <c r="U426" s="168">
        <f t="shared" si="760"/>
        <v>527792</v>
      </c>
      <c r="V426" s="168">
        <f t="shared" si="760"/>
        <v>-111982</v>
      </c>
      <c r="W426" s="168">
        <f t="shared" si="760"/>
        <v>-109656.54999999996</v>
      </c>
      <c r="X426" s="168">
        <f t="shared" si="760"/>
        <v>-8840</v>
      </c>
      <c r="Y426" s="168">
        <f t="shared" si="760"/>
        <v>-383644</v>
      </c>
      <c r="Z426" s="168">
        <f t="shared" ref="Z426:AE426" si="761">Z424+Z403+Z396+Z389+Z380+Z352+Z325</f>
        <v>12240862</v>
      </c>
      <c r="AA426" s="168">
        <f t="shared" si="761"/>
        <v>208436</v>
      </c>
      <c r="AB426" s="168">
        <f t="shared" si="761"/>
        <v>0</v>
      </c>
      <c r="AC426" s="168">
        <f t="shared" si="761"/>
        <v>-1541217</v>
      </c>
      <c r="AD426" s="168">
        <f t="shared" si="761"/>
        <v>-1494203</v>
      </c>
      <c r="AE426" s="168">
        <f t="shared" si="761"/>
        <v>-27556</v>
      </c>
      <c r="AF426" s="168">
        <f t="shared" ref="AF426:AL426" si="762">AF424+AF403+AF396+AF389+AF380+AF352+AF325</f>
        <v>0</v>
      </c>
      <c r="AG426" s="168">
        <f t="shared" si="762"/>
        <v>0</v>
      </c>
      <c r="AH426" s="168">
        <f t="shared" si="762"/>
        <v>0</v>
      </c>
      <c r="AI426" s="168">
        <f t="shared" si="762"/>
        <v>0</v>
      </c>
      <c r="AJ426" s="168">
        <f t="shared" si="762"/>
        <v>0</v>
      </c>
      <c r="AK426" s="168">
        <f t="shared" si="762"/>
        <v>0</v>
      </c>
      <c r="AL426" s="168">
        <f t="shared" si="762"/>
        <v>0</v>
      </c>
      <c r="AM426" s="168">
        <f t="shared" ref="AM426:BB426" si="763">AM424+AM403+AM396+AM389+AM380+AM352+AM325</f>
        <v>0</v>
      </c>
      <c r="AN426" s="168">
        <f t="shared" si="763"/>
        <v>0</v>
      </c>
      <c r="AO426" s="168">
        <f t="shared" si="763"/>
        <v>0</v>
      </c>
      <c r="AP426" s="168">
        <f t="shared" si="763"/>
        <v>-263353</v>
      </c>
      <c r="AQ426" s="168">
        <f>AQ424+AQ403+AQ396+AQ389+AQ380+AQ352+AQ325</f>
        <v>-9496</v>
      </c>
      <c r="AR426" s="168">
        <f>AR424+AR403+AR396+AR389+AR380+AR352+AR325</f>
        <v>1695513</v>
      </c>
      <c r="AS426" s="168">
        <f t="shared" ref="AS426:AY426" si="764">AS424+AS403+AS396+AS389+AS380+AS352+AS325</f>
        <v>51527</v>
      </c>
      <c r="AT426" s="168">
        <f t="shared" si="764"/>
        <v>-33163</v>
      </c>
      <c r="AU426" s="168">
        <f>AU424+AU403+AU396+AU389+AU380+AU352+AU325</f>
        <v>226538</v>
      </c>
      <c r="AV426" s="168">
        <f t="shared" si="764"/>
        <v>-142980</v>
      </c>
      <c r="AW426" s="168">
        <f t="shared" si="764"/>
        <v>41707</v>
      </c>
      <c r="AX426" s="168">
        <f t="shared" si="764"/>
        <v>919331</v>
      </c>
      <c r="AY426" s="168">
        <f t="shared" si="764"/>
        <v>232065</v>
      </c>
      <c r="AZ426" s="168">
        <f>AZ424+AZ403+AZ396+AZ389+AZ380+AZ352+AZ325</f>
        <v>0</v>
      </c>
      <c r="BA426" s="168">
        <f t="shared" si="763"/>
        <v>0</v>
      </c>
      <c r="BB426" s="168">
        <f t="shared" si="763"/>
        <v>0</v>
      </c>
      <c r="BC426" s="168">
        <f>BC424+BC403+BC396+BC389+BC380+BC352+BC325</f>
        <v>0</v>
      </c>
      <c r="BD426" s="168">
        <f>BD424+BD403+BD396+BD389+BD380+BD352+BD325</f>
        <v>0</v>
      </c>
      <c r="BE426" s="168">
        <f t="shared" ref="BE426:BG426" si="765">BE424+BE403+BE396+BE389+BE380+BE352+BE325</f>
        <v>0</v>
      </c>
      <c r="BF426" s="168">
        <f t="shared" si="765"/>
        <v>0</v>
      </c>
      <c r="BG426" s="168">
        <f t="shared" si="765"/>
        <v>0</v>
      </c>
      <c r="BH426" s="168">
        <f t="shared" ref="BH426:BL426" si="766">BH424+BH403+BH396+BH389+BH380+BH352+BH325</f>
        <v>5661884</v>
      </c>
      <c r="BI426" s="168">
        <f t="shared" si="766"/>
        <v>-458333</v>
      </c>
      <c r="BJ426" s="168">
        <f t="shared" si="766"/>
        <v>0</v>
      </c>
      <c r="BK426" s="168">
        <f t="shared" si="766"/>
        <v>0</v>
      </c>
      <c r="BL426" s="168">
        <f t="shared" si="766"/>
        <v>0</v>
      </c>
    </row>
    <row r="427" spans="1:64" s="21" customFormat="1" ht="14.1" customHeight="1">
      <c r="A427" s="379">
        <f t="shared" si="734"/>
        <v>420</v>
      </c>
      <c r="B427" s="129"/>
      <c r="C427" s="129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</row>
    <row r="428" spans="1:64" s="21" customFormat="1" ht="14.1" customHeight="1">
      <c r="A428" s="379">
        <f t="shared" si="734"/>
        <v>421</v>
      </c>
      <c r="B428" s="20" t="s">
        <v>375</v>
      </c>
      <c r="C428" s="20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</row>
    <row r="429" spans="1:64" s="21" customFormat="1" ht="14.1" customHeight="1">
      <c r="A429" s="379">
        <f t="shared" si="734"/>
        <v>422</v>
      </c>
      <c r="B429" s="22" t="s">
        <v>379</v>
      </c>
      <c r="C429" s="38">
        <f>SUM(D429:BI429)</f>
        <v>-8940489.3299999982</v>
      </c>
      <c r="D429" s="38">
        <f t="shared" ref="D429:K429" si="767">D316+D323</f>
        <v>0</v>
      </c>
      <c r="E429" s="38">
        <f t="shared" si="767"/>
        <v>18224</v>
      </c>
      <c r="F429" s="10">
        <f t="shared" si="767"/>
        <v>-3843206</v>
      </c>
      <c r="G429" s="10">
        <f t="shared" si="767"/>
        <v>0</v>
      </c>
      <c r="H429" s="10">
        <f t="shared" si="767"/>
        <v>0</v>
      </c>
      <c r="I429" s="10">
        <f t="shared" si="767"/>
        <v>2822903</v>
      </c>
      <c r="J429" s="10">
        <f t="shared" si="767"/>
        <v>0</v>
      </c>
      <c r="K429" s="10">
        <f t="shared" si="767"/>
        <v>-854641</v>
      </c>
      <c r="L429" s="162">
        <f t="shared" ref="L429:Y429" si="768">L316+L323</f>
        <v>0</v>
      </c>
      <c r="M429" s="38">
        <f t="shared" si="768"/>
        <v>0</v>
      </c>
      <c r="N429" s="38">
        <f t="shared" si="768"/>
        <v>0</v>
      </c>
      <c r="O429" s="10">
        <f t="shared" si="768"/>
        <v>-6412416</v>
      </c>
      <c r="P429" s="162">
        <f t="shared" si="768"/>
        <v>-9814264</v>
      </c>
      <c r="Q429" s="10">
        <f t="shared" si="768"/>
        <v>2870414</v>
      </c>
      <c r="R429" s="162">
        <f t="shared" si="768"/>
        <v>0</v>
      </c>
      <c r="S429" s="10">
        <f t="shared" si="768"/>
        <v>0</v>
      </c>
      <c r="T429" s="38">
        <f>T316+T323</f>
        <v>361146</v>
      </c>
      <c r="U429" s="10">
        <f t="shared" si="768"/>
        <v>0</v>
      </c>
      <c r="V429" s="10">
        <f t="shared" si="768"/>
        <v>0</v>
      </c>
      <c r="W429" s="10">
        <f t="shared" si="768"/>
        <v>-44959.33</v>
      </c>
      <c r="X429" s="162">
        <f t="shared" si="768"/>
        <v>0</v>
      </c>
      <c r="Y429" s="10">
        <f t="shared" si="768"/>
        <v>0</v>
      </c>
      <c r="Z429" s="10">
        <f t="shared" ref="Z429:AE429" si="769">Z316+Z323</f>
        <v>0</v>
      </c>
      <c r="AA429" s="10">
        <f t="shared" si="769"/>
        <v>0</v>
      </c>
      <c r="AB429" s="10">
        <f t="shared" si="769"/>
        <v>0</v>
      </c>
      <c r="AC429" s="10">
        <f t="shared" si="769"/>
        <v>-1541217</v>
      </c>
      <c r="AD429" s="10">
        <f t="shared" si="769"/>
        <v>-946537</v>
      </c>
      <c r="AE429" s="38">
        <f t="shared" si="769"/>
        <v>0</v>
      </c>
      <c r="AF429" s="10">
        <f t="shared" ref="AF429:AL429" si="770">AF316+AF323</f>
        <v>0</v>
      </c>
      <c r="AG429" s="10">
        <f t="shared" si="770"/>
        <v>0</v>
      </c>
      <c r="AH429" s="10">
        <f t="shared" si="770"/>
        <v>0</v>
      </c>
      <c r="AI429" s="38">
        <f t="shared" si="770"/>
        <v>0</v>
      </c>
      <c r="AJ429" s="10">
        <f t="shared" si="770"/>
        <v>0</v>
      </c>
      <c r="AK429" s="10">
        <f t="shared" si="770"/>
        <v>0</v>
      </c>
      <c r="AL429" s="10">
        <f t="shared" si="770"/>
        <v>0</v>
      </c>
      <c r="AM429" s="10">
        <f>AM316+AM323</f>
        <v>0</v>
      </c>
      <c r="AN429" s="10">
        <f t="shared" ref="AN429:BB429" si="771">AN316+AN323</f>
        <v>0</v>
      </c>
      <c r="AO429" s="10">
        <f t="shared" si="771"/>
        <v>0</v>
      </c>
      <c r="AP429" s="10">
        <f t="shared" si="771"/>
        <v>0</v>
      </c>
      <c r="AQ429" s="10">
        <f>AQ316+AQ323</f>
        <v>0</v>
      </c>
      <c r="AR429" s="10">
        <f>AR316+AR323</f>
        <v>1695513</v>
      </c>
      <c r="AS429" s="10">
        <f t="shared" ref="AS429:AY429" si="772">AS316+AS323</f>
        <v>0</v>
      </c>
      <c r="AT429" s="10">
        <f t="shared" si="772"/>
        <v>0</v>
      </c>
      <c r="AU429" s="10">
        <f>AU316+AU323</f>
        <v>0</v>
      </c>
      <c r="AV429" s="10">
        <f t="shared" si="772"/>
        <v>-64729</v>
      </c>
      <c r="AW429" s="10">
        <f t="shared" si="772"/>
        <v>0</v>
      </c>
      <c r="AX429" s="10">
        <f t="shared" si="772"/>
        <v>919331</v>
      </c>
      <c r="AY429" s="10">
        <f t="shared" si="772"/>
        <v>232065</v>
      </c>
      <c r="AZ429" s="10">
        <f>AZ316+AZ323</f>
        <v>0</v>
      </c>
      <c r="BA429" s="10">
        <f t="shared" si="771"/>
        <v>0</v>
      </c>
      <c r="BB429" s="10">
        <f t="shared" si="771"/>
        <v>0</v>
      </c>
      <c r="BC429" s="10">
        <f>BC316+BC323</f>
        <v>0</v>
      </c>
      <c r="BD429" s="10">
        <f>BD316+BD323</f>
        <v>0</v>
      </c>
      <c r="BE429" s="10">
        <f t="shared" ref="BE429:BG429" si="773">BE316+BE323</f>
        <v>0</v>
      </c>
      <c r="BF429" s="10">
        <f t="shared" si="773"/>
        <v>0</v>
      </c>
      <c r="BG429" s="10">
        <f t="shared" si="773"/>
        <v>0</v>
      </c>
      <c r="BH429" s="10">
        <f t="shared" ref="BH429:BL429" si="774">BH316+BH323</f>
        <v>5661884</v>
      </c>
      <c r="BI429" s="10">
        <f t="shared" si="774"/>
        <v>0</v>
      </c>
      <c r="BJ429" s="10">
        <f t="shared" si="774"/>
        <v>0</v>
      </c>
      <c r="BK429" s="10">
        <f t="shared" si="774"/>
        <v>0</v>
      </c>
      <c r="BL429" s="10">
        <f t="shared" si="774"/>
        <v>0</v>
      </c>
    </row>
    <row r="430" spans="1:64" s="21" customFormat="1" ht="14.1" customHeight="1">
      <c r="A430" s="379">
        <f t="shared" si="734"/>
        <v>423</v>
      </c>
      <c r="B430" s="22" t="s">
        <v>380</v>
      </c>
      <c r="C430" s="38">
        <f>SUM(D430:BI430)</f>
        <v>15368953.82</v>
      </c>
      <c r="D430" s="38">
        <f t="shared" ref="D430:K430" si="775">D340+D350</f>
        <v>0</v>
      </c>
      <c r="E430" s="38">
        <f t="shared" si="775"/>
        <v>0</v>
      </c>
      <c r="F430" s="38">
        <f t="shared" si="775"/>
        <v>0</v>
      </c>
      <c r="G430" s="38">
        <f t="shared" si="775"/>
        <v>0</v>
      </c>
      <c r="H430" s="38">
        <f t="shared" si="775"/>
        <v>0</v>
      </c>
      <c r="I430" s="38">
        <f t="shared" si="775"/>
        <v>0</v>
      </c>
      <c r="J430" s="38">
        <f t="shared" si="775"/>
        <v>0</v>
      </c>
      <c r="K430" s="38">
        <f t="shared" si="775"/>
        <v>2953255</v>
      </c>
      <c r="L430" s="38">
        <f t="shared" ref="L430:Y430" si="776">L340+L350</f>
        <v>0</v>
      </c>
      <c r="M430" s="38">
        <f t="shared" si="776"/>
        <v>0</v>
      </c>
      <c r="N430" s="38">
        <f t="shared" si="776"/>
        <v>0</v>
      </c>
      <c r="O430" s="38">
        <f t="shared" si="776"/>
        <v>0</v>
      </c>
      <c r="P430" s="38">
        <f t="shared" si="776"/>
        <v>0</v>
      </c>
      <c r="Q430" s="38">
        <f t="shared" si="776"/>
        <v>0</v>
      </c>
      <c r="R430" s="38">
        <f t="shared" si="776"/>
        <v>0</v>
      </c>
      <c r="S430" s="38">
        <f t="shared" si="776"/>
        <v>0</v>
      </c>
      <c r="T430" s="38">
        <f>T340+T350</f>
        <v>0</v>
      </c>
      <c r="U430" s="38">
        <f t="shared" si="776"/>
        <v>0</v>
      </c>
      <c r="V430" s="38">
        <f t="shared" si="776"/>
        <v>0</v>
      </c>
      <c r="W430" s="38">
        <f t="shared" si="776"/>
        <v>-35.18</v>
      </c>
      <c r="X430" s="38">
        <f t="shared" si="776"/>
        <v>0</v>
      </c>
      <c r="Y430" s="38">
        <f t="shared" si="776"/>
        <v>0</v>
      </c>
      <c r="Z430" s="38">
        <f t="shared" ref="Z430:AE430" si="777">Z340+Z350</f>
        <v>12240862</v>
      </c>
      <c r="AA430" s="38">
        <f t="shared" si="777"/>
        <v>208436</v>
      </c>
      <c r="AB430" s="38">
        <f t="shared" si="777"/>
        <v>0</v>
      </c>
      <c r="AC430" s="38">
        <f t="shared" si="777"/>
        <v>0</v>
      </c>
      <c r="AD430" s="38">
        <f t="shared" si="777"/>
        <v>-401</v>
      </c>
      <c r="AE430" s="38">
        <f t="shared" si="777"/>
        <v>0</v>
      </c>
      <c r="AF430" s="38">
        <f t="shared" ref="AF430:AL430" si="778">AF340+AF350</f>
        <v>0</v>
      </c>
      <c r="AG430" s="38">
        <f t="shared" si="778"/>
        <v>0</v>
      </c>
      <c r="AH430" s="38">
        <f t="shared" si="778"/>
        <v>0</v>
      </c>
      <c r="AI430" s="38">
        <f t="shared" si="778"/>
        <v>0</v>
      </c>
      <c r="AJ430" s="38">
        <f t="shared" si="778"/>
        <v>0</v>
      </c>
      <c r="AK430" s="38">
        <f t="shared" si="778"/>
        <v>0</v>
      </c>
      <c r="AL430" s="38">
        <f t="shared" si="778"/>
        <v>0</v>
      </c>
      <c r="AM430" s="38">
        <f>AM340+AM350</f>
        <v>0</v>
      </c>
      <c r="AN430" s="38">
        <f t="shared" ref="AN430:BB430" si="779">AN340+AN350</f>
        <v>0</v>
      </c>
      <c r="AO430" s="38">
        <f t="shared" si="779"/>
        <v>0</v>
      </c>
      <c r="AP430" s="38">
        <f t="shared" si="779"/>
        <v>0</v>
      </c>
      <c r="AQ430" s="38">
        <f>AQ340+AQ350</f>
        <v>0</v>
      </c>
      <c r="AR430" s="38">
        <f>AR340+AR350</f>
        <v>0</v>
      </c>
      <c r="AS430" s="38">
        <f t="shared" ref="AS430:AY430" si="780">AS340+AS350</f>
        <v>0</v>
      </c>
      <c r="AT430" s="38">
        <f t="shared" si="780"/>
        <v>-33163</v>
      </c>
      <c r="AU430" s="38">
        <f>AU340+AU350</f>
        <v>0</v>
      </c>
      <c r="AV430" s="38">
        <f t="shared" si="780"/>
        <v>0</v>
      </c>
      <c r="AW430" s="38">
        <f t="shared" si="780"/>
        <v>0</v>
      </c>
      <c r="AX430" s="38">
        <f t="shared" si="780"/>
        <v>0</v>
      </c>
      <c r="AY430" s="38">
        <f t="shared" si="780"/>
        <v>0</v>
      </c>
      <c r="AZ430" s="38">
        <f>AZ340+AZ350</f>
        <v>0</v>
      </c>
      <c r="BA430" s="38">
        <f t="shared" si="779"/>
        <v>0</v>
      </c>
      <c r="BB430" s="38">
        <f t="shared" si="779"/>
        <v>0</v>
      </c>
      <c r="BC430" s="38">
        <f>BC340+BC350</f>
        <v>0</v>
      </c>
      <c r="BD430" s="38">
        <f>BD340+BD350</f>
        <v>0</v>
      </c>
      <c r="BE430" s="38">
        <f t="shared" ref="BE430:BG430" si="781">BE340+BE350</f>
        <v>0</v>
      </c>
      <c r="BF430" s="38">
        <f t="shared" si="781"/>
        <v>0</v>
      </c>
      <c r="BG430" s="38">
        <f t="shared" si="781"/>
        <v>0</v>
      </c>
      <c r="BH430" s="38">
        <f t="shared" ref="BH430:BL430" si="782">BH340+BH350</f>
        <v>0</v>
      </c>
      <c r="BI430" s="38">
        <f t="shared" si="782"/>
        <v>0</v>
      </c>
      <c r="BJ430" s="38">
        <f t="shared" si="782"/>
        <v>0</v>
      </c>
      <c r="BK430" s="38">
        <f t="shared" si="782"/>
        <v>0</v>
      </c>
      <c r="BL430" s="38">
        <f t="shared" si="782"/>
        <v>0</v>
      </c>
    </row>
    <row r="431" spans="1:64" s="21" customFormat="1" ht="14.1" customHeight="1">
      <c r="A431" s="379">
        <f t="shared" si="734"/>
        <v>424</v>
      </c>
      <c r="B431" s="22" t="s">
        <v>249</v>
      </c>
      <c r="C431" s="38">
        <f>SUM(D431:BI431)</f>
        <v>28506.320000000065</v>
      </c>
      <c r="D431" s="38">
        <f t="shared" ref="D431:L431" si="783">D380</f>
        <v>0</v>
      </c>
      <c r="E431" s="38">
        <f t="shared" si="783"/>
        <v>0</v>
      </c>
      <c r="F431" s="10">
        <f t="shared" si="783"/>
        <v>0</v>
      </c>
      <c r="G431" s="10">
        <f t="shared" si="783"/>
        <v>0</v>
      </c>
      <c r="H431" s="10">
        <f t="shared" si="783"/>
        <v>0</v>
      </c>
      <c r="I431" s="10">
        <f t="shared" si="783"/>
        <v>0</v>
      </c>
      <c r="J431" s="10">
        <f t="shared" si="783"/>
        <v>0</v>
      </c>
      <c r="K431" s="10">
        <f t="shared" si="783"/>
        <v>0</v>
      </c>
      <c r="L431" s="10">
        <f t="shared" si="783"/>
        <v>0</v>
      </c>
      <c r="M431" s="38">
        <f>M380+M483</f>
        <v>0</v>
      </c>
      <c r="N431" s="38">
        <f t="shared" ref="N431:Y431" si="784">N380</f>
        <v>0</v>
      </c>
      <c r="O431" s="10">
        <f t="shared" si="784"/>
        <v>0</v>
      </c>
      <c r="P431" s="10">
        <f t="shared" si="784"/>
        <v>0</v>
      </c>
      <c r="Q431" s="10">
        <f t="shared" si="784"/>
        <v>0</v>
      </c>
      <c r="R431" s="38">
        <f t="shared" si="784"/>
        <v>0</v>
      </c>
      <c r="S431" s="162">
        <f t="shared" si="784"/>
        <v>511729</v>
      </c>
      <c r="T431" s="38">
        <f>T380</f>
        <v>0</v>
      </c>
      <c r="U431" s="10">
        <f t="shared" si="784"/>
        <v>0</v>
      </c>
      <c r="V431" s="10">
        <f t="shared" si="784"/>
        <v>0</v>
      </c>
      <c r="W431" s="162">
        <f t="shared" si="784"/>
        <v>-109811.67999999996</v>
      </c>
      <c r="X431" s="10">
        <f t="shared" si="784"/>
        <v>0</v>
      </c>
      <c r="Y431" s="10">
        <f t="shared" si="784"/>
        <v>0</v>
      </c>
      <c r="Z431" s="162">
        <f t="shared" ref="Z431:AE431" si="785">Z380</f>
        <v>0</v>
      </c>
      <c r="AA431" s="162">
        <f t="shared" si="785"/>
        <v>0</v>
      </c>
      <c r="AB431" s="10">
        <f t="shared" si="785"/>
        <v>0</v>
      </c>
      <c r="AC431" s="10">
        <f t="shared" si="785"/>
        <v>0</v>
      </c>
      <c r="AD431" s="10">
        <f t="shared" si="785"/>
        <v>-250197</v>
      </c>
      <c r="AE431" s="38">
        <f t="shared" si="785"/>
        <v>-8148</v>
      </c>
      <c r="AF431" s="10">
        <f t="shared" ref="AF431:AL431" si="786">AF380</f>
        <v>0</v>
      </c>
      <c r="AG431" s="10">
        <f t="shared" si="786"/>
        <v>0</v>
      </c>
      <c r="AH431" s="10">
        <f t="shared" si="786"/>
        <v>0</v>
      </c>
      <c r="AI431" s="38">
        <f t="shared" si="786"/>
        <v>0</v>
      </c>
      <c r="AJ431" s="10">
        <f t="shared" si="786"/>
        <v>0</v>
      </c>
      <c r="AK431" s="10">
        <f t="shared" si="786"/>
        <v>0</v>
      </c>
      <c r="AL431" s="10">
        <f t="shared" si="786"/>
        <v>0</v>
      </c>
      <c r="AM431" s="10">
        <f>AM380</f>
        <v>0</v>
      </c>
      <c r="AN431" s="10">
        <f t="shared" ref="AN431:BB431" si="787">AN380</f>
        <v>0</v>
      </c>
      <c r="AO431" s="10">
        <f t="shared" si="787"/>
        <v>0</v>
      </c>
      <c r="AP431" s="10">
        <f t="shared" si="787"/>
        <v>-263353</v>
      </c>
      <c r="AQ431" s="10">
        <f>AQ380</f>
        <v>0</v>
      </c>
      <c r="AR431" s="10">
        <f>AR380</f>
        <v>0</v>
      </c>
      <c r="AS431" s="10">
        <f t="shared" ref="AS431:AY431" si="788">AS380</f>
        <v>0</v>
      </c>
      <c r="AT431" s="10">
        <f t="shared" si="788"/>
        <v>0</v>
      </c>
      <c r="AU431" s="10">
        <f>AU380</f>
        <v>226538</v>
      </c>
      <c r="AV431" s="10">
        <f t="shared" si="788"/>
        <v>-78251</v>
      </c>
      <c r="AW431" s="10">
        <f t="shared" si="788"/>
        <v>0</v>
      </c>
      <c r="AX431" s="10">
        <f t="shared" si="788"/>
        <v>0</v>
      </c>
      <c r="AY431" s="10">
        <f t="shared" si="788"/>
        <v>0</v>
      </c>
      <c r="AZ431" s="10">
        <f>AZ380</f>
        <v>0</v>
      </c>
      <c r="BA431" s="10">
        <f t="shared" si="787"/>
        <v>0</v>
      </c>
      <c r="BB431" s="10">
        <f t="shared" si="787"/>
        <v>0</v>
      </c>
      <c r="BC431" s="10">
        <f>BC380</f>
        <v>0</v>
      </c>
      <c r="BD431" s="10">
        <f>BD380</f>
        <v>0</v>
      </c>
      <c r="BE431" s="10">
        <f t="shared" ref="BE431:BG431" si="789">BE380</f>
        <v>0</v>
      </c>
      <c r="BF431" s="10">
        <f t="shared" si="789"/>
        <v>0</v>
      </c>
      <c r="BG431" s="10">
        <f t="shared" si="789"/>
        <v>0</v>
      </c>
      <c r="BH431" s="10">
        <f t="shared" ref="BH431:BL431" si="790">BH380</f>
        <v>0</v>
      </c>
      <c r="BI431" s="10">
        <f t="shared" si="790"/>
        <v>0</v>
      </c>
      <c r="BJ431" s="10">
        <f t="shared" si="790"/>
        <v>0</v>
      </c>
      <c r="BK431" s="10">
        <f t="shared" si="790"/>
        <v>0</v>
      </c>
      <c r="BL431" s="10">
        <f t="shared" si="790"/>
        <v>0</v>
      </c>
    </row>
    <row r="432" spans="1:64" s="21" customFormat="1" ht="14.1" customHeight="1">
      <c r="A432" s="379">
        <f t="shared" si="734"/>
        <v>425</v>
      </c>
      <c r="B432" s="22" t="s">
        <v>381</v>
      </c>
      <c r="C432" s="38">
        <f>SUM(D432:BI432)</f>
        <v>-437857.37</v>
      </c>
      <c r="D432" s="38">
        <f t="shared" ref="D432:K432" si="791">D389+D396+D403</f>
        <v>0</v>
      </c>
      <c r="E432" s="38">
        <f t="shared" si="791"/>
        <v>0</v>
      </c>
      <c r="F432" s="10">
        <f t="shared" si="791"/>
        <v>0</v>
      </c>
      <c r="G432" s="10">
        <f t="shared" si="791"/>
        <v>0</v>
      </c>
      <c r="H432" s="10">
        <f t="shared" si="791"/>
        <v>0</v>
      </c>
      <c r="I432" s="10">
        <f t="shared" si="791"/>
        <v>0</v>
      </c>
      <c r="J432" s="10">
        <f t="shared" si="791"/>
        <v>0</v>
      </c>
      <c r="K432" s="10">
        <f t="shared" si="791"/>
        <v>0</v>
      </c>
      <c r="L432" s="10">
        <f t="shared" ref="L432:Y432" si="792">L389+L396+L403</f>
        <v>497876</v>
      </c>
      <c r="M432" s="38">
        <f t="shared" si="792"/>
        <v>-482478</v>
      </c>
      <c r="N432" s="38">
        <f t="shared" si="792"/>
        <v>-370224</v>
      </c>
      <c r="O432" s="10">
        <f t="shared" si="792"/>
        <v>0</v>
      </c>
      <c r="P432" s="10">
        <f t="shared" si="792"/>
        <v>0</v>
      </c>
      <c r="Q432" s="10">
        <f t="shared" si="792"/>
        <v>0</v>
      </c>
      <c r="R432" s="38">
        <f t="shared" si="792"/>
        <v>0</v>
      </c>
      <c r="S432" s="10">
        <f t="shared" si="792"/>
        <v>0</v>
      </c>
      <c r="T432" s="38">
        <f>T389+T396+T403</f>
        <v>0</v>
      </c>
      <c r="U432" s="10">
        <f t="shared" si="792"/>
        <v>0</v>
      </c>
      <c r="V432" s="10">
        <f t="shared" si="792"/>
        <v>0</v>
      </c>
      <c r="W432" s="10">
        <f t="shared" si="792"/>
        <v>-18857.370000000003</v>
      </c>
      <c r="X432" s="10">
        <f t="shared" si="792"/>
        <v>0</v>
      </c>
      <c r="Y432" s="10">
        <f t="shared" si="792"/>
        <v>0</v>
      </c>
      <c r="Z432" s="10">
        <f t="shared" ref="Z432:AE432" si="793">Z389+Z396+Z403</f>
        <v>0</v>
      </c>
      <c r="AA432" s="10">
        <f t="shared" si="793"/>
        <v>0</v>
      </c>
      <c r="AB432" s="10">
        <f t="shared" si="793"/>
        <v>0</v>
      </c>
      <c r="AC432" s="10">
        <f t="shared" si="793"/>
        <v>0</v>
      </c>
      <c r="AD432" s="10">
        <f t="shared" si="793"/>
        <v>-84752</v>
      </c>
      <c r="AE432" s="38">
        <f t="shared" si="793"/>
        <v>-18120</v>
      </c>
      <c r="AF432" s="10">
        <f t="shared" ref="AF432:AL432" si="794">AF389+AF396+AF403</f>
        <v>0</v>
      </c>
      <c r="AG432" s="10">
        <f t="shared" si="794"/>
        <v>0</v>
      </c>
      <c r="AH432" s="10">
        <f t="shared" si="794"/>
        <v>0</v>
      </c>
      <c r="AI432" s="38">
        <f t="shared" si="794"/>
        <v>0</v>
      </c>
      <c r="AJ432" s="10">
        <f t="shared" si="794"/>
        <v>0</v>
      </c>
      <c r="AK432" s="10">
        <f t="shared" si="794"/>
        <v>0</v>
      </c>
      <c r="AL432" s="10">
        <f t="shared" si="794"/>
        <v>0</v>
      </c>
      <c r="AM432" s="10">
        <f t="shared" ref="AM432:BB432" si="795">AM389+AM396+AM403</f>
        <v>0</v>
      </c>
      <c r="AN432" s="10">
        <f t="shared" si="795"/>
        <v>0</v>
      </c>
      <c r="AO432" s="10">
        <f t="shared" si="795"/>
        <v>0</v>
      </c>
      <c r="AP432" s="10">
        <f t="shared" si="795"/>
        <v>0</v>
      </c>
      <c r="AQ432" s="10">
        <f>AQ389+AQ396+AQ403</f>
        <v>-3009</v>
      </c>
      <c r="AR432" s="10">
        <f>AR389+AR396+AR403</f>
        <v>0</v>
      </c>
      <c r="AS432" s="10">
        <f t="shared" ref="AS432:AY432" si="796">AS389+AS396+AS403</f>
        <v>0</v>
      </c>
      <c r="AT432" s="10">
        <f t="shared" si="796"/>
        <v>0</v>
      </c>
      <c r="AU432" s="10">
        <f>AU389+AU396+AU403</f>
        <v>0</v>
      </c>
      <c r="AV432" s="10">
        <f t="shared" si="796"/>
        <v>0</v>
      </c>
      <c r="AW432" s="10">
        <f t="shared" si="796"/>
        <v>41707</v>
      </c>
      <c r="AX432" s="10">
        <f t="shared" si="796"/>
        <v>0</v>
      </c>
      <c r="AY432" s="10">
        <f t="shared" si="796"/>
        <v>0</v>
      </c>
      <c r="AZ432" s="10">
        <f>AZ389+AZ396+AZ403</f>
        <v>0</v>
      </c>
      <c r="BA432" s="10">
        <f t="shared" si="795"/>
        <v>0</v>
      </c>
      <c r="BB432" s="10">
        <f t="shared" si="795"/>
        <v>0</v>
      </c>
      <c r="BC432" s="10">
        <f>BC389+BC396+BC403</f>
        <v>0</v>
      </c>
      <c r="BD432" s="10">
        <f>BD389+BD396+BD403</f>
        <v>0</v>
      </c>
      <c r="BE432" s="10">
        <f t="shared" ref="BE432:BG432" si="797">BE389+BE396+BE403</f>
        <v>0</v>
      </c>
      <c r="BF432" s="10">
        <f t="shared" si="797"/>
        <v>0</v>
      </c>
      <c r="BG432" s="10">
        <f t="shared" si="797"/>
        <v>0</v>
      </c>
      <c r="BH432" s="10">
        <f t="shared" ref="BH432:BL432" si="798">BH389+BH396+BH403</f>
        <v>0</v>
      </c>
      <c r="BI432" s="10">
        <f t="shared" si="798"/>
        <v>0</v>
      </c>
      <c r="BJ432" s="10">
        <f t="shared" si="798"/>
        <v>0</v>
      </c>
      <c r="BK432" s="10">
        <f t="shared" si="798"/>
        <v>0</v>
      </c>
      <c r="BL432" s="10">
        <f t="shared" si="798"/>
        <v>0</v>
      </c>
    </row>
    <row r="433" spans="1:64" s="21" customFormat="1" ht="14.1" customHeight="1">
      <c r="A433" s="379">
        <f t="shared" si="734"/>
        <v>426</v>
      </c>
      <c r="B433" s="56" t="s">
        <v>382</v>
      </c>
      <c r="C433" s="38">
        <f>SUM(D433:BI433)</f>
        <v>-557786.99</v>
      </c>
      <c r="D433" s="206">
        <f t="shared" ref="D433:K433" si="799">D424</f>
        <v>0</v>
      </c>
      <c r="E433" s="206">
        <f t="shared" si="799"/>
        <v>-18223</v>
      </c>
      <c r="F433" s="64">
        <f t="shared" si="799"/>
        <v>0</v>
      </c>
      <c r="G433" s="64">
        <f t="shared" si="799"/>
        <v>0</v>
      </c>
      <c r="H433" s="64">
        <f t="shared" si="799"/>
        <v>0</v>
      </c>
      <c r="I433" s="64">
        <f t="shared" si="799"/>
        <v>0</v>
      </c>
      <c r="J433" s="64">
        <f t="shared" si="799"/>
        <v>0</v>
      </c>
      <c r="K433" s="64">
        <f t="shared" si="799"/>
        <v>0</v>
      </c>
      <c r="L433" s="10">
        <f>L390+L397+L404</f>
        <v>0</v>
      </c>
      <c r="M433" s="38">
        <f>M424</f>
        <v>0</v>
      </c>
      <c r="N433" s="206">
        <v>0</v>
      </c>
      <c r="O433" s="64">
        <f t="shared" ref="O433:Y433" si="800">O424</f>
        <v>0</v>
      </c>
      <c r="P433" s="10">
        <f t="shared" si="800"/>
        <v>0</v>
      </c>
      <c r="Q433" s="64">
        <f t="shared" si="800"/>
        <v>0</v>
      </c>
      <c r="R433" s="38">
        <f t="shared" si="800"/>
        <v>0</v>
      </c>
      <c r="S433" s="10">
        <f t="shared" si="800"/>
        <v>0</v>
      </c>
      <c r="T433" s="206">
        <f>T424</f>
        <v>0</v>
      </c>
      <c r="U433" s="173">
        <f t="shared" si="800"/>
        <v>527792</v>
      </c>
      <c r="V433" s="173">
        <f t="shared" si="800"/>
        <v>-111982</v>
      </c>
      <c r="W433" s="10">
        <f t="shared" si="800"/>
        <v>64007.009999999995</v>
      </c>
      <c r="X433" s="10">
        <f t="shared" si="800"/>
        <v>-8840</v>
      </c>
      <c r="Y433" s="173">
        <f t="shared" si="800"/>
        <v>-383644</v>
      </c>
      <c r="Z433" s="10">
        <f t="shared" ref="Z433:AE433" si="801">Z424</f>
        <v>0</v>
      </c>
      <c r="AA433" s="10">
        <f t="shared" si="801"/>
        <v>0</v>
      </c>
      <c r="AB433" s="64">
        <f t="shared" si="801"/>
        <v>0</v>
      </c>
      <c r="AC433" s="173">
        <f t="shared" si="801"/>
        <v>0</v>
      </c>
      <c r="AD433" s="64">
        <f t="shared" si="801"/>
        <v>-212316</v>
      </c>
      <c r="AE433" s="206">
        <f t="shared" si="801"/>
        <v>-1288</v>
      </c>
      <c r="AF433" s="64">
        <f t="shared" ref="AF433:AL433" si="802">AF424</f>
        <v>0</v>
      </c>
      <c r="AG433" s="64">
        <f t="shared" si="802"/>
        <v>0</v>
      </c>
      <c r="AH433" s="64">
        <f t="shared" si="802"/>
        <v>0</v>
      </c>
      <c r="AI433" s="206">
        <f t="shared" si="802"/>
        <v>0</v>
      </c>
      <c r="AJ433" s="64">
        <f t="shared" si="802"/>
        <v>0</v>
      </c>
      <c r="AK433" s="64">
        <f t="shared" si="802"/>
        <v>0</v>
      </c>
      <c r="AL433" s="64">
        <f t="shared" si="802"/>
        <v>0</v>
      </c>
      <c r="AM433" s="64">
        <f>AM424</f>
        <v>0</v>
      </c>
      <c r="AN433" s="64">
        <f t="shared" ref="AN433:BB433" si="803">AN424</f>
        <v>0</v>
      </c>
      <c r="AO433" s="64">
        <f t="shared" si="803"/>
        <v>0</v>
      </c>
      <c r="AP433" s="64">
        <f t="shared" si="803"/>
        <v>0</v>
      </c>
      <c r="AQ433" s="64">
        <f>AQ424</f>
        <v>-6487</v>
      </c>
      <c r="AR433" s="64">
        <f>AR424</f>
        <v>0</v>
      </c>
      <c r="AS433" s="64">
        <f t="shared" ref="AS433:AY433" si="804">AS424</f>
        <v>51527</v>
      </c>
      <c r="AT433" s="64">
        <f t="shared" si="804"/>
        <v>0</v>
      </c>
      <c r="AU433" s="64">
        <f>AU424</f>
        <v>0</v>
      </c>
      <c r="AV433" s="64">
        <f t="shared" si="804"/>
        <v>0</v>
      </c>
      <c r="AW433" s="64">
        <f t="shared" si="804"/>
        <v>0</v>
      </c>
      <c r="AX433" s="64">
        <f t="shared" si="804"/>
        <v>0</v>
      </c>
      <c r="AY433" s="64">
        <f t="shared" si="804"/>
        <v>0</v>
      </c>
      <c r="AZ433" s="64">
        <f>AZ424</f>
        <v>0</v>
      </c>
      <c r="BA433" s="64">
        <f t="shared" si="803"/>
        <v>0</v>
      </c>
      <c r="BB433" s="64">
        <f t="shared" si="803"/>
        <v>0</v>
      </c>
      <c r="BC433" s="64">
        <f>BC424</f>
        <v>0</v>
      </c>
      <c r="BD433" s="64">
        <f>BD424</f>
        <v>0</v>
      </c>
      <c r="BE433" s="64">
        <f t="shared" ref="BE433:BG433" si="805">BE424</f>
        <v>0</v>
      </c>
      <c r="BF433" s="64">
        <f t="shared" si="805"/>
        <v>0</v>
      </c>
      <c r="BG433" s="64">
        <f t="shared" si="805"/>
        <v>0</v>
      </c>
      <c r="BH433" s="64">
        <f t="shared" ref="BH433:BL433" si="806">BH424</f>
        <v>0</v>
      </c>
      <c r="BI433" s="64">
        <f t="shared" si="806"/>
        <v>-458333</v>
      </c>
      <c r="BJ433" s="64">
        <f t="shared" si="806"/>
        <v>0</v>
      </c>
      <c r="BK433" s="64">
        <f t="shared" si="806"/>
        <v>0</v>
      </c>
      <c r="BL433" s="64">
        <f t="shared" si="806"/>
        <v>0</v>
      </c>
    </row>
    <row r="434" spans="1:64" s="21" customFormat="1" ht="14.1" customHeight="1">
      <c r="A434" s="379">
        <f t="shared" si="734"/>
        <v>427</v>
      </c>
      <c r="B434" s="62" t="s">
        <v>513</v>
      </c>
      <c r="C434" s="176">
        <f t="shared" ref="C434:K434" si="807">SUM(C429:C433)</f>
        <v>5461326.450000002</v>
      </c>
      <c r="D434" s="209">
        <f t="shared" si="807"/>
        <v>0</v>
      </c>
      <c r="E434" s="209">
        <f t="shared" si="807"/>
        <v>1</v>
      </c>
      <c r="F434" s="64">
        <f t="shared" si="807"/>
        <v>-3843206</v>
      </c>
      <c r="G434" s="64">
        <f t="shared" si="807"/>
        <v>0</v>
      </c>
      <c r="H434" s="64">
        <f t="shared" si="807"/>
        <v>0</v>
      </c>
      <c r="I434" s="177">
        <f t="shared" si="807"/>
        <v>2822903</v>
      </c>
      <c r="J434" s="64">
        <f t="shared" si="807"/>
        <v>0</v>
      </c>
      <c r="K434" s="64">
        <f t="shared" si="807"/>
        <v>2098614</v>
      </c>
      <c r="L434" s="176">
        <f t="shared" ref="L434:Y434" si="808">SUM(L429:L433)</f>
        <v>497876</v>
      </c>
      <c r="M434" s="176">
        <f t="shared" si="808"/>
        <v>-482478</v>
      </c>
      <c r="N434" s="206">
        <f t="shared" si="808"/>
        <v>-370224</v>
      </c>
      <c r="O434" s="64">
        <f t="shared" si="808"/>
        <v>-6412416</v>
      </c>
      <c r="P434" s="176">
        <f t="shared" si="808"/>
        <v>-9814264</v>
      </c>
      <c r="Q434" s="64">
        <f t="shared" si="808"/>
        <v>2870414</v>
      </c>
      <c r="R434" s="176">
        <f t="shared" si="808"/>
        <v>0</v>
      </c>
      <c r="S434" s="176">
        <f t="shared" si="808"/>
        <v>511729</v>
      </c>
      <c r="T434" s="206">
        <f>SUM(T429:T433)</f>
        <v>361146</v>
      </c>
      <c r="U434" s="176">
        <f t="shared" si="808"/>
        <v>527792</v>
      </c>
      <c r="V434" s="176">
        <f t="shared" si="808"/>
        <v>-111982</v>
      </c>
      <c r="W434" s="176">
        <f t="shared" si="808"/>
        <v>-109656.54999999997</v>
      </c>
      <c r="X434" s="176">
        <f t="shared" si="808"/>
        <v>-8840</v>
      </c>
      <c r="Y434" s="176">
        <f t="shared" si="808"/>
        <v>-383644</v>
      </c>
      <c r="Z434" s="176">
        <f t="shared" ref="Z434:AE434" si="809">SUM(Z429:Z433)</f>
        <v>12240862</v>
      </c>
      <c r="AA434" s="176">
        <f t="shared" si="809"/>
        <v>208436</v>
      </c>
      <c r="AB434" s="64">
        <f t="shared" si="809"/>
        <v>0</v>
      </c>
      <c r="AC434" s="176">
        <f t="shared" si="809"/>
        <v>-1541217</v>
      </c>
      <c r="AD434" s="64">
        <f t="shared" si="809"/>
        <v>-1494203</v>
      </c>
      <c r="AE434" s="206">
        <f t="shared" si="809"/>
        <v>-27556</v>
      </c>
      <c r="AF434" s="64">
        <f t="shared" ref="AF434:AL434" si="810">SUM(AF429:AF433)</f>
        <v>0</v>
      </c>
      <c r="AG434" s="64">
        <f t="shared" si="810"/>
        <v>0</v>
      </c>
      <c r="AH434" s="64">
        <f t="shared" si="810"/>
        <v>0</v>
      </c>
      <c r="AI434" s="206">
        <f t="shared" si="810"/>
        <v>0</v>
      </c>
      <c r="AJ434" s="64">
        <f t="shared" si="810"/>
        <v>0</v>
      </c>
      <c r="AK434" s="177">
        <f t="shared" si="810"/>
        <v>0</v>
      </c>
      <c r="AL434" s="64">
        <f t="shared" si="810"/>
        <v>0</v>
      </c>
      <c r="AM434" s="64">
        <f t="shared" ref="AM434:BB434" si="811">SUM(AM429:AM433)</f>
        <v>0</v>
      </c>
      <c r="AN434" s="64">
        <f t="shared" si="811"/>
        <v>0</v>
      </c>
      <c r="AO434" s="64">
        <f t="shared" si="811"/>
        <v>0</v>
      </c>
      <c r="AP434" s="64">
        <f t="shared" si="811"/>
        <v>-263353</v>
      </c>
      <c r="AQ434" s="64">
        <f>SUM(AQ429:AQ433)</f>
        <v>-9496</v>
      </c>
      <c r="AR434" s="64">
        <f>SUM(AR429:AR433)</f>
        <v>1695513</v>
      </c>
      <c r="AS434" s="64">
        <f t="shared" ref="AS434:AY434" si="812">SUM(AS429:AS433)</f>
        <v>51527</v>
      </c>
      <c r="AT434" s="64">
        <f t="shared" si="812"/>
        <v>-33163</v>
      </c>
      <c r="AU434" s="64">
        <f>SUM(AU429:AU433)</f>
        <v>226538</v>
      </c>
      <c r="AV434" s="64">
        <f t="shared" si="812"/>
        <v>-142980</v>
      </c>
      <c r="AW434" s="64">
        <f t="shared" si="812"/>
        <v>41707</v>
      </c>
      <c r="AX434" s="64">
        <f t="shared" si="812"/>
        <v>919331</v>
      </c>
      <c r="AY434" s="64">
        <f t="shared" si="812"/>
        <v>232065</v>
      </c>
      <c r="AZ434" s="177">
        <f>SUM(AZ429:AZ433)</f>
        <v>0</v>
      </c>
      <c r="BA434" s="64">
        <f t="shared" si="811"/>
        <v>0</v>
      </c>
      <c r="BB434" s="64">
        <f t="shared" si="811"/>
        <v>0</v>
      </c>
      <c r="BC434" s="64">
        <f>SUM(BC429:BC433)</f>
        <v>0</v>
      </c>
      <c r="BD434" s="64">
        <f>SUM(BD429:BD433)</f>
        <v>0</v>
      </c>
      <c r="BE434" s="64">
        <f t="shared" ref="BE434:BG434" si="813">SUM(BE429:BE433)</f>
        <v>0</v>
      </c>
      <c r="BF434" s="64">
        <f t="shared" si="813"/>
        <v>0</v>
      </c>
      <c r="BG434" s="64">
        <f t="shared" si="813"/>
        <v>0</v>
      </c>
      <c r="BH434" s="64">
        <f t="shared" ref="BH434:BL434" si="814">SUM(BH429:BH433)</f>
        <v>5661884</v>
      </c>
      <c r="BI434" s="64">
        <f t="shared" si="814"/>
        <v>-458333</v>
      </c>
      <c r="BJ434" s="64">
        <f t="shared" si="814"/>
        <v>0</v>
      </c>
      <c r="BK434" s="64">
        <f t="shared" si="814"/>
        <v>0</v>
      </c>
      <c r="BL434" s="64">
        <f t="shared" si="814"/>
        <v>0</v>
      </c>
    </row>
    <row r="435" spans="1:64" s="21" customFormat="1" ht="14.1" customHeight="1" thickBot="1">
      <c r="A435" s="379">
        <f t="shared" si="734"/>
        <v>428</v>
      </c>
      <c r="B435" s="63" t="s">
        <v>514</v>
      </c>
      <c r="C435" s="180">
        <f t="shared" ref="C435:K435" si="815">C434*0.125</f>
        <v>682665.80625000026</v>
      </c>
      <c r="D435" s="180">
        <f t="shared" si="815"/>
        <v>0</v>
      </c>
      <c r="E435" s="180">
        <f t="shared" si="815"/>
        <v>0.125</v>
      </c>
      <c r="F435" s="210">
        <f t="shared" si="815"/>
        <v>-480400.75</v>
      </c>
      <c r="G435" s="210">
        <f t="shared" si="815"/>
        <v>0</v>
      </c>
      <c r="H435" s="210">
        <f t="shared" si="815"/>
        <v>0</v>
      </c>
      <c r="I435" s="180">
        <f t="shared" si="815"/>
        <v>352862.875</v>
      </c>
      <c r="J435" s="210">
        <f t="shared" si="815"/>
        <v>0</v>
      </c>
      <c r="K435" s="210">
        <f t="shared" si="815"/>
        <v>262326.75</v>
      </c>
      <c r="L435" s="180">
        <f t="shared" ref="L435:Y435" si="816">L434*0.125</f>
        <v>62234.5</v>
      </c>
      <c r="M435" s="180">
        <f t="shared" si="816"/>
        <v>-60309.75</v>
      </c>
      <c r="N435" s="180">
        <f t="shared" si="816"/>
        <v>-46278</v>
      </c>
      <c r="O435" s="180">
        <f t="shared" si="816"/>
        <v>-801552</v>
      </c>
      <c r="P435" s="180">
        <f t="shared" si="816"/>
        <v>-1226783</v>
      </c>
      <c r="Q435" s="210">
        <f t="shared" si="816"/>
        <v>358801.75</v>
      </c>
      <c r="R435" s="180">
        <f t="shared" si="816"/>
        <v>0</v>
      </c>
      <c r="S435" s="180">
        <f t="shared" si="816"/>
        <v>63966.125</v>
      </c>
      <c r="T435" s="180">
        <f>T434*0.125</f>
        <v>45143.25</v>
      </c>
      <c r="U435" s="180">
        <f t="shared" si="816"/>
        <v>65974</v>
      </c>
      <c r="V435" s="180">
        <f t="shared" si="816"/>
        <v>-13997.75</v>
      </c>
      <c r="W435" s="180">
        <f t="shared" si="816"/>
        <v>-13707.068749999997</v>
      </c>
      <c r="X435" s="180">
        <f t="shared" si="816"/>
        <v>-1105</v>
      </c>
      <c r="Y435" s="180">
        <f t="shared" si="816"/>
        <v>-47955.5</v>
      </c>
      <c r="Z435" s="180">
        <f t="shared" ref="Z435:AE435" si="817">Z434*0.125</f>
        <v>1530107.75</v>
      </c>
      <c r="AA435" s="180">
        <f t="shared" si="817"/>
        <v>26054.5</v>
      </c>
      <c r="AB435" s="180">
        <f t="shared" si="817"/>
        <v>0</v>
      </c>
      <c r="AC435" s="180">
        <f t="shared" si="817"/>
        <v>-192652.125</v>
      </c>
      <c r="AD435" s="210">
        <f t="shared" si="817"/>
        <v>-186775.375</v>
      </c>
      <c r="AE435" s="180">
        <f t="shared" si="817"/>
        <v>-3444.5</v>
      </c>
      <c r="AF435" s="180">
        <f t="shared" ref="AF435:AL435" si="818">AF434*0.125</f>
        <v>0</v>
      </c>
      <c r="AG435" s="210">
        <f t="shared" si="818"/>
        <v>0</v>
      </c>
      <c r="AH435" s="210">
        <f t="shared" si="818"/>
        <v>0</v>
      </c>
      <c r="AI435" s="180">
        <f t="shared" si="818"/>
        <v>0</v>
      </c>
      <c r="AJ435" s="180">
        <f t="shared" si="818"/>
        <v>0</v>
      </c>
      <c r="AK435" s="180">
        <f t="shared" si="818"/>
        <v>0</v>
      </c>
      <c r="AL435" s="180">
        <f t="shared" si="818"/>
        <v>0</v>
      </c>
      <c r="AM435" s="210">
        <f t="shared" ref="AM435:BB435" si="819">AM434*0.125</f>
        <v>0</v>
      </c>
      <c r="AN435" s="210">
        <f t="shared" si="819"/>
        <v>0</v>
      </c>
      <c r="AO435" s="180">
        <f t="shared" si="819"/>
        <v>0</v>
      </c>
      <c r="AP435" s="180">
        <f t="shared" si="819"/>
        <v>-32919.125</v>
      </c>
      <c r="AQ435" s="180">
        <f>AQ434*0.125</f>
        <v>-1187</v>
      </c>
      <c r="AR435" s="180">
        <f>AR434*0.125</f>
        <v>211939.125</v>
      </c>
      <c r="AS435" s="180">
        <f t="shared" ref="AS435:AY435" si="820">AS434*0.125</f>
        <v>6440.875</v>
      </c>
      <c r="AT435" s="180">
        <f t="shared" si="820"/>
        <v>-4145.375</v>
      </c>
      <c r="AU435" s="180">
        <f>AU434*0.125</f>
        <v>28317.25</v>
      </c>
      <c r="AV435" s="180">
        <f t="shared" si="820"/>
        <v>-17872.5</v>
      </c>
      <c r="AW435" s="180">
        <f t="shared" si="820"/>
        <v>5213.375</v>
      </c>
      <c r="AX435" s="180">
        <f t="shared" si="820"/>
        <v>114916.375</v>
      </c>
      <c r="AY435" s="180">
        <f t="shared" si="820"/>
        <v>29008.125</v>
      </c>
      <c r="AZ435" s="180">
        <f>AZ434*0.125</f>
        <v>0</v>
      </c>
      <c r="BA435" s="180">
        <f t="shared" si="819"/>
        <v>0</v>
      </c>
      <c r="BB435" s="180">
        <f t="shared" si="819"/>
        <v>0</v>
      </c>
      <c r="BC435" s="180">
        <f>BC434*0.125</f>
        <v>0</v>
      </c>
      <c r="BD435" s="180">
        <f>BD434*0.125</f>
        <v>0</v>
      </c>
      <c r="BE435" s="180">
        <f t="shared" ref="BE435:BG435" si="821">BE434*0.125</f>
        <v>0</v>
      </c>
      <c r="BF435" s="180">
        <f t="shared" si="821"/>
        <v>0</v>
      </c>
      <c r="BG435" s="180">
        <f t="shared" si="821"/>
        <v>0</v>
      </c>
      <c r="BH435" s="180">
        <f t="shared" ref="BH435:BL435" si="822">BH434*0.125</f>
        <v>707735.5</v>
      </c>
      <c r="BI435" s="180">
        <f t="shared" si="822"/>
        <v>-57291.625</v>
      </c>
      <c r="BJ435" s="180">
        <f t="shared" si="822"/>
        <v>0</v>
      </c>
      <c r="BK435" s="180">
        <f t="shared" si="822"/>
        <v>0</v>
      </c>
      <c r="BL435" s="180">
        <f t="shared" si="822"/>
        <v>0</v>
      </c>
    </row>
    <row r="436" spans="1:64" s="21" customFormat="1" ht="14.1" customHeight="1" thickTop="1">
      <c r="A436" s="379">
        <f t="shared" si="734"/>
        <v>429</v>
      </c>
      <c r="B436" s="129"/>
      <c r="C436" s="129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</row>
    <row r="437" spans="1:64" ht="14.1" customHeight="1">
      <c r="A437" s="379">
        <f t="shared" si="734"/>
        <v>430</v>
      </c>
      <c r="B437" s="13" t="s">
        <v>284</v>
      </c>
      <c r="C437" s="42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</row>
    <row r="438" spans="1:64" ht="14.1" customHeight="1">
      <c r="A438" s="379">
        <f t="shared" si="734"/>
        <v>431</v>
      </c>
      <c r="B438" s="22" t="s">
        <v>285</v>
      </c>
      <c r="C438" s="38">
        <f>SUM(D438:BI438)</f>
        <v>-5766062</v>
      </c>
      <c r="D438" s="10">
        <v>0</v>
      </c>
      <c r="E438" s="10">
        <v>0</v>
      </c>
      <c r="F438" s="10">
        <v>-9199006</v>
      </c>
      <c r="G438" s="10">
        <v>0</v>
      </c>
      <c r="H438" s="10">
        <v>457503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103143</v>
      </c>
      <c r="AC438" s="10">
        <v>0</v>
      </c>
      <c r="AD438" s="10">
        <v>0</v>
      </c>
      <c r="AE438" s="10">
        <v>0</v>
      </c>
      <c r="AF438" s="10">
        <f>1698814+1121850</f>
        <v>2820664</v>
      </c>
      <c r="AG438" s="10">
        <v>51634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0</v>
      </c>
      <c r="AP438" s="10">
        <v>0</v>
      </c>
      <c r="AQ438" s="10">
        <v>0</v>
      </c>
      <c r="AR438" s="10">
        <v>0</v>
      </c>
      <c r="AS438" s="10">
        <v>0</v>
      </c>
      <c r="AT438" s="10">
        <v>0</v>
      </c>
      <c r="AU438" s="10">
        <v>0</v>
      </c>
      <c r="AV438" s="10">
        <v>0</v>
      </c>
      <c r="AW438" s="10">
        <v>0</v>
      </c>
      <c r="AX438" s="10">
        <v>0</v>
      </c>
      <c r="AY438" s="10">
        <v>0</v>
      </c>
      <c r="AZ438" s="10">
        <v>0</v>
      </c>
      <c r="BA438" s="10">
        <v>0</v>
      </c>
      <c r="BB438" s="10">
        <v>0</v>
      </c>
      <c r="BC438" s="10">
        <v>0</v>
      </c>
      <c r="BD438" s="10">
        <v>0</v>
      </c>
      <c r="BE438" s="10">
        <v>0</v>
      </c>
      <c r="BF438" s="10">
        <v>0</v>
      </c>
      <c r="BG438" s="10">
        <v>0</v>
      </c>
      <c r="BH438" s="10">
        <v>0</v>
      </c>
      <c r="BI438" s="10">
        <v>0</v>
      </c>
      <c r="BJ438" s="10">
        <v>0</v>
      </c>
      <c r="BK438" s="10">
        <v>0</v>
      </c>
      <c r="BL438" s="10">
        <v>0</v>
      </c>
    </row>
    <row r="439" spans="1:64" s="22" customFormat="1" ht="14.1" customHeight="1">
      <c r="A439" s="379">
        <f t="shared" si="734"/>
        <v>432</v>
      </c>
      <c r="B439" s="22" t="s">
        <v>286</v>
      </c>
      <c r="C439" s="38">
        <f>SUM(D439:BI439)</f>
        <v>836657</v>
      </c>
      <c r="D439" s="43">
        <v>0</v>
      </c>
      <c r="E439" s="43">
        <v>0</v>
      </c>
      <c r="F439" s="43">
        <v>0</v>
      </c>
      <c r="G439" s="43">
        <v>0</v>
      </c>
      <c r="H439" s="43">
        <v>0</v>
      </c>
      <c r="I439" s="43">
        <v>0</v>
      </c>
      <c r="J439" s="43">
        <v>0</v>
      </c>
      <c r="K439" s="43">
        <v>0</v>
      </c>
      <c r="L439" s="43">
        <v>0</v>
      </c>
      <c r="M439" s="43">
        <v>0</v>
      </c>
      <c r="N439" s="43">
        <v>0</v>
      </c>
      <c r="O439" s="43">
        <v>0</v>
      </c>
      <c r="P439" s="43">
        <v>0</v>
      </c>
      <c r="Q439" s="43">
        <v>0</v>
      </c>
      <c r="R439" s="43">
        <v>0</v>
      </c>
      <c r="S439" s="43">
        <v>0</v>
      </c>
      <c r="T439" s="43">
        <v>0</v>
      </c>
      <c r="U439" s="43">
        <v>0</v>
      </c>
      <c r="V439" s="43">
        <v>0</v>
      </c>
      <c r="W439" s="43">
        <v>0</v>
      </c>
      <c r="X439" s="43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43">
        <v>0</v>
      </c>
      <c r="AF439" s="43">
        <v>836657</v>
      </c>
      <c r="AG439" s="43">
        <v>0</v>
      </c>
      <c r="AH439" s="43">
        <v>0</v>
      </c>
      <c r="AI439" s="43">
        <v>0</v>
      </c>
      <c r="AJ439" s="43">
        <v>0</v>
      </c>
      <c r="AK439" s="43">
        <v>0</v>
      </c>
      <c r="AL439" s="43">
        <v>0</v>
      </c>
      <c r="AM439" s="43">
        <v>0</v>
      </c>
      <c r="AN439" s="43">
        <v>0</v>
      </c>
      <c r="AO439" s="43">
        <v>0</v>
      </c>
      <c r="AP439" s="43">
        <v>0</v>
      </c>
      <c r="AQ439" s="43">
        <v>0</v>
      </c>
      <c r="AR439" s="43">
        <v>0</v>
      </c>
      <c r="AS439" s="43">
        <v>0</v>
      </c>
      <c r="AT439" s="43">
        <v>0</v>
      </c>
      <c r="AU439" s="43">
        <v>0</v>
      </c>
      <c r="AV439" s="43">
        <v>0</v>
      </c>
      <c r="AW439" s="43">
        <v>0</v>
      </c>
      <c r="AX439" s="43">
        <v>0</v>
      </c>
      <c r="AY439" s="43">
        <v>0</v>
      </c>
      <c r="AZ439" s="43">
        <v>0</v>
      </c>
      <c r="BA439" s="43">
        <v>0</v>
      </c>
      <c r="BB439" s="43">
        <v>0</v>
      </c>
      <c r="BC439" s="43">
        <v>0</v>
      </c>
      <c r="BD439" s="43">
        <v>0</v>
      </c>
      <c r="BE439" s="43">
        <v>0</v>
      </c>
      <c r="BF439" s="43">
        <v>0</v>
      </c>
      <c r="BG439" s="43">
        <v>0</v>
      </c>
      <c r="BH439" s="43">
        <v>0</v>
      </c>
      <c r="BI439" s="43">
        <v>0</v>
      </c>
      <c r="BJ439" s="43">
        <v>0</v>
      </c>
      <c r="BK439" s="43">
        <v>0</v>
      </c>
      <c r="BL439" s="43">
        <v>0</v>
      </c>
    </row>
    <row r="440" spans="1:64" s="22" customFormat="1" ht="13.5" customHeight="1">
      <c r="A440" s="379">
        <f t="shared" si="734"/>
        <v>433</v>
      </c>
      <c r="B440" s="22" t="s">
        <v>287</v>
      </c>
      <c r="C440" s="38">
        <f>SUM(D440:BI440)</f>
        <v>0</v>
      </c>
      <c r="D440" s="43">
        <v>0</v>
      </c>
      <c r="E440" s="43">
        <v>0</v>
      </c>
      <c r="F440" s="43">
        <v>0</v>
      </c>
      <c r="G440" s="43">
        <v>0</v>
      </c>
      <c r="H440" s="43">
        <v>0</v>
      </c>
      <c r="I440" s="43">
        <v>0</v>
      </c>
      <c r="J440" s="43">
        <v>0</v>
      </c>
      <c r="K440" s="43">
        <v>0</v>
      </c>
      <c r="L440" s="43">
        <v>0</v>
      </c>
      <c r="M440" s="43">
        <v>0</v>
      </c>
      <c r="N440" s="43">
        <v>0</v>
      </c>
      <c r="O440" s="43">
        <v>0</v>
      </c>
      <c r="P440" s="43">
        <v>0</v>
      </c>
      <c r="Q440" s="43">
        <v>0</v>
      </c>
      <c r="R440" s="43">
        <v>0</v>
      </c>
      <c r="S440" s="43">
        <v>0</v>
      </c>
      <c r="T440" s="43">
        <v>0</v>
      </c>
      <c r="U440" s="43">
        <v>0</v>
      </c>
      <c r="V440" s="43">
        <v>0</v>
      </c>
      <c r="W440" s="43">
        <v>0</v>
      </c>
      <c r="X440" s="43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43">
        <v>0</v>
      </c>
      <c r="AF440" s="43">
        <v>0</v>
      </c>
      <c r="AG440" s="43">
        <v>0</v>
      </c>
      <c r="AH440" s="43">
        <v>0</v>
      </c>
      <c r="AI440" s="43">
        <v>0</v>
      </c>
      <c r="AJ440" s="43">
        <v>0</v>
      </c>
      <c r="AK440" s="43">
        <v>0</v>
      </c>
      <c r="AL440" s="43">
        <v>0</v>
      </c>
      <c r="AM440" s="43">
        <v>0</v>
      </c>
      <c r="AN440" s="43">
        <v>0</v>
      </c>
      <c r="AO440" s="43">
        <v>0</v>
      </c>
      <c r="AP440" s="43">
        <v>0</v>
      </c>
      <c r="AQ440" s="43">
        <v>0</v>
      </c>
      <c r="AR440" s="43">
        <v>0</v>
      </c>
      <c r="AS440" s="43">
        <v>0</v>
      </c>
      <c r="AT440" s="43">
        <v>0</v>
      </c>
      <c r="AU440" s="43">
        <v>0</v>
      </c>
      <c r="AV440" s="43">
        <v>0</v>
      </c>
      <c r="AW440" s="43">
        <v>0</v>
      </c>
      <c r="AX440" s="43">
        <v>0</v>
      </c>
      <c r="AY440" s="43">
        <v>0</v>
      </c>
      <c r="AZ440" s="43">
        <v>0</v>
      </c>
      <c r="BA440" s="43">
        <v>0</v>
      </c>
      <c r="BB440" s="43">
        <v>0</v>
      </c>
      <c r="BC440" s="43">
        <v>0</v>
      </c>
      <c r="BD440" s="43">
        <v>0</v>
      </c>
      <c r="BE440" s="43">
        <v>0</v>
      </c>
      <c r="BF440" s="43">
        <v>0</v>
      </c>
      <c r="BG440" s="43">
        <v>0</v>
      </c>
      <c r="BH440" s="43">
        <v>0</v>
      </c>
      <c r="BI440" s="43">
        <v>0</v>
      </c>
      <c r="BJ440" s="43">
        <v>0</v>
      </c>
      <c r="BK440" s="43">
        <v>0</v>
      </c>
      <c r="BL440" s="43">
        <v>0</v>
      </c>
    </row>
    <row r="441" spans="1:64" s="22" customFormat="1" ht="14.1" customHeight="1">
      <c r="A441" s="379">
        <f t="shared" si="734"/>
        <v>434</v>
      </c>
      <c r="B441" s="22" t="s">
        <v>138</v>
      </c>
      <c r="C441" s="38">
        <f>SUM(D441:BI441)</f>
        <v>1390415</v>
      </c>
      <c r="D441" s="43">
        <v>0</v>
      </c>
      <c r="E441" s="43">
        <v>0</v>
      </c>
      <c r="F441" s="43">
        <v>0</v>
      </c>
      <c r="G441" s="43">
        <v>0</v>
      </c>
      <c r="H441" s="43">
        <v>0</v>
      </c>
      <c r="I441" s="43">
        <v>0</v>
      </c>
      <c r="J441" s="43">
        <v>0</v>
      </c>
      <c r="K441" s="43">
        <v>0</v>
      </c>
      <c r="L441" s="43">
        <v>0</v>
      </c>
      <c r="M441" s="43">
        <v>0</v>
      </c>
      <c r="N441" s="43">
        <v>0</v>
      </c>
      <c r="O441" s="43">
        <v>0</v>
      </c>
      <c r="P441" s="43">
        <v>0</v>
      </c>
      <c r="Q441" s="43">
        <v>0</v>
      </c>
      <c r="R441" s="43">
        <v>0</v>
      </c>
      <c r="S441" s="43">
        <v>0</v>
      </c>
      <c r="T441" s="43">
        <v>0</v>
      </c>
      <c r="U441" s="43">
        <v>0</v>
      </c>
      <c r="V441" s="43">
        <v>0</v>
      </c>
      <c r="W441" s="43">
        <v>0</v>
      </c>
      <c r="X441" s="43">
        <v>0</v>
      </c>
      <c r="Y441" s="43">
        <v>0</v>
      </c>
      <c r="Z441" s="43">
        <v>0</v>
      </c>
      <c r="AA441" s="43">
        <v>0</v>
      </c>
      <c r="AB441" s="43">
        <v>0</v>
      </c>
      <c r="AC441" s="43">
        <v>0</v>
      </c>
      <c r="AD441" s="43">
        <v>0</v>
      </c>
      <c r="AE441" s="43">
        <v>0</v>
      </c>
      <c r="AF441" s="43">
        <v>1390415</v>
      </c>
      <c r="AG441" s="43">
        <v>0</v>
      </c>
      <c r="AH441" s="43">
        <v>0</v>
      </c>
      <c r="AI441" s="43">
        <v>0</v>
      </c>
      <c r="AJ441" s="43">
        <v>0</v>
      </c>
      <c r="AK441" s="43">
        <v>0</v>
      </c>
      <c r="AL441" s="43">
        <v>0</v>
      </c>
      <c r="AM441" s="43">
        <v>0</v>
      </c>
      <c r="AN441" s="43">
        <v>0</v>
      </c>
      <c r="AO441" s="43">
        <v>0</v>
      </c>
      <c r="AP441" s="43">
        <v>0</v>
      </c>
      <c r="AQ441" s="43">
        <v>0</v>
      </c>
      <c r="AR441" s="43">
        <v>0</v>
      </c>
      <c r="AS441" s="43">
        <v>0</v>
      </c>
      <c r="AT441" s="43">
        <v>0</v>
      </c>
      <c r="AU441" s="43">
        <v>0</v>
      </c>
      <c r="AV441" s="43">
        <v>0</v>
      </c>
      <c r="AW441" s="43">
        <v>0</v>
      </c>
      <c r="AX441" s="43">
        <v>0</v>
      </c>
      <c r="AY441" s="43">
        <v>0</v>
      </c>
      <c r="AZ441" s="43">
        <v>0</v>
      </c>
      <c r="BA441" s="43">
        <v>0</v>
      </c>
      <c r="BB441" s="43">
        <v>0</v>
      </c>
      <c r="BC441" s="43">
        <v>0</v>
      </c>
      <c r="BD441" s="43">
        <v>0</v>
      </c>
      <c r="BE441" s="43">
        <v>0</v>
      </c>
      <c r="BF441" s="43">
        <v>0</v>
      </c>
      <c r="BG441" s="43">
        <v>0</v>
      </c>
      <c r="BH441" s="43">
        <v>0</v>
      </c>
      <c r="BI441" s="43">
        <v>0</v>
      </c>
      <c r="BJ441" s="43">
        <v>0</v>
      </c>
      <c r="BK441" s="43">
        <v>0</v>
      </c>
      <c r="BL441" s="43">
        <v>0</v>
      </c>
    </row>
    <row r="442" spans="1:64" s="129" customFormat="1" ht="14.1" customHeight="1">
      <c r="A442" s="379">
        <f t="shared" si="734"/>
        <v>435</v>
      </c>
      <c r="B442" s="56" t="s">
        <v>139</v>
      </c>
      <c r="C442" s="38">
        <f>SUM(D442:BI442)</f>
        <v>145029</v>
      </c>
      <c r="D442" s="64">
        <v>0</v>
      </c>
      <c r="E442" s="64">
        <v>0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64">
        <v>0</v>
      </c>
      <c r="V442" s="64">
        <v>0</v>
      </c>
      <c r="W442" s="64">
        <v>0</v>
      </c>
      <c r="X442" s="64">
        <v>0</v>
      </c>
      <c r="Y442" s="64">
        <v>0</v>
      </c>
      <c r="Z442" s="64">
        <v>0</v>
      </c>
      <c r="AA442" s="64">
        <v>0</v>
      </c>
      <c r="AB442" s="64">
        <v>0</v>
      </c>
      <c r="AC442" s="64">
        <v>0</v>
      </c>
      <c r="AD442" s="64">
        <v>0</v>
      </c>
      <c r="AE442" s="64">
        <v>0</v>
      </c>
      <c r="AF442" s="64">
        <v>145029</v>
      </c>
      <c r="AG442" s="64">
        <v>0</v>
      </c>
      <c r="AH442" s="64">
        <v>0</v>
      </c>
      <c r="AI442" s="64">
        <v>0</v>
      </c>
      <c r="AJ442" s="64">
        <v>0</v>
      </c>
      <c r="AK442" s="64">
        <v>0</v>
      </c>
      <c r="AL442" s="64">
        <v>0</v>
      </c>
      <c r="AM442" s="64">
        <v>0</v>
      </c>
      <c r="AN442" s="64">
        <v>0</v>
      </c>
      <c r="AO442" s="64">
        <v>0</v>
      </c>
      <c r="AP442" s="64">
        <v>0</v>
      </c>
      <c r="AQ442" s="64">
        <v>0</v>
      </c>
      <c r="AR442" s="64">
        <v>0</v>
      </c>
      <c r="AS442" s="64">
        <v>0</v>
      </c>
      <c r="AT442" s="64">
        <v>0</v>
      </c>
      <c r="AU442" s="64">
        <v>0</v>
      </c>
      <c r="AV442" s="64">
        <v>0</v>
      </c>
      <c r="AW442" s="64">
        <v>0</v>
      </c>
      <c r="AX442" s="64">
        <v>0</v>
      </c>
      <c r="AY442" s="64">
        <v>0</v>
      </c>
      <c r="AZ442" s="64">
        <v>0</v>
      </c>
      <c r="BA442" s="64">
        <v>0</v>
      </c>
      <c r="BB442" s="64">
        <v>0</v>
      </c>
      <c r="BC442" s="64">
        <v>0</v>
      </c>
      <c r="BD442" s="64">
        <v>0</v>
      </c>
      <c r="BE442" s="64">
        <v>0</v>
      </c>
      <c r="BF442" s="64">
        <v>0</v>
      </c>
      <c r="BG442" s="64">
        <v>0</v>
      </c>
      <c r="BH442" s="64">
        <v>0</v>
      </c>
      <c r="BI442" s="64">
        <v>0</v>
      </c>
      <c r="BJ442" s="64">
        <v>0</v>
      </c>
      <c r="BK442" s="64">
        <v>0</v>
      </c>
      <c r="BL442" s="64">
        <v>0</v>
      </c>
    </row>
    <row r="443" spans="1:64" ht="14.1" customHeight="1">
      <c r="A443" s="379">
        <f t="shared" si="734"/>
        <v>436</v>
      </c>
      <c r="B443" s="20" t="s">
        <v>515</v>
      </c>
      <c r="C443" s="16">
        <f t="shared" ref="C443:K443" si="823">SUM(C438:C442)</f>
        <v>-3393961</v>
      </c>
      <c r="D443" s="16">
        <f t="shared" si="823"/>
        <v>0</v>
      </c>
      <c r="E443" s="16">
        <f t="shared" si="823"/>
        <v>0</v>
      </c>
      <c r="F443" s="16">
        <f t="shared" si="823"/>
        <v>-9199006</v>
      </c>
      <c r="G443" s="16">
        <f t="shared" si="823"/>
        <v>0</v>
      </c>
      <c r="H443" s="16">
        <f t="shared" si="823"/>
        <v>457503</v>
      </c>
      <c r="I443" s="16">
        <f t="shared" si="823"/>
        <v>0</v>
      </c>
      <c r="J443" s="16">
        <f t="shared" si="823"/>
        <v>0</v>
      </c>
      <c r="K443" s="16">
        <f t="shared" si="823"/>
        <v>0</v>
      </c>
      <c r="L443" s="16">
        <f t="shared" ref="L443:Y443" si="824">SUM(L438:L442)</f>
        <v>0</v>
      </c>
      <c r="M443" s="16">
        <f t="shared" si="824"/>
        <v>0</v>
      </c>
      <c r="N443" s="16">
        <f t="shared" si="824"/>
        <v>0</v>
      </c>
      <c r="O443" s="16">
        <f t="shared" si="824"/>
        <v>0</v>
      </c>
      <c r="P443" s="16">
        <f t="shared" si="824"/>
        <v>0</v>
      </c>
      <c r="Q443" s="16">
        <f t="shared" si="824"/>
        <v>0</v>
      </c>
      <c r="R443" s="16">
        <f t="shared" si="824"/>
        <v>0</v>
      </c>
      <c r="S443" s="16">
        <f t="shared" si="824"/>
        <v>0</v>
      </c>
      <c r="T443" s="16">
        <f>SUM(T438:T442)</f>
        <v>0</v>
      </c>
      <c r="U443" s="16">
        <f t="shared" si="824"/>
        <v>0</v>
      </c>
      <c r="V443" s="16">
        <f t="shared" si="824"/>
        <v>0</v>
      </c>
      <c r="W443" s="16">
        <f t="shared" si="824"/>
        <v>0</v>
      </c>
      <c r="X443" s="16">
        <f t="shared" si="824"/>
        <v>0</v>
      </c>
      <c r="Y443" s="16">
        <f t="shared" si="824"/>
        <v>0</v>
      </c>
      <c r="Z443" s="16">
        <f t="shared" ref="Z443:AE443" si="825">SUM(Z438:Z442)</f>
        <v>0</v>
      </c>
      <c r="AA443" s="16">
        <f t="shared" si="825"/>
        <v>0</v>
      </c>
      <c r="AB443" s="16">
        <f t="shared" si="825"/>
        <v>103143</v>
      </c>
      <c r="AC443" s="16">
        <f t="shared" si="825"/>
        <v>0</v>
      </c>
      <c r="AD443" s="16">
        <f t="shared" si="825"/>
        <v>0</v>
      </c>
      <c r="AE443" s="16">
        <f t="shared" si="825"/>
        <v>0</v>
      </c>
      <c r="AF443" s="16">
        <f t="shared" ref="AF443:AL443" si="826">SUM(AF438:AF442)</f>
        <v>5192765</v>
      </c>
      <c r="AG443" s="16">
        <f t="shared" si="826"/>
        <v>51634</v>
      </c>
      <c r="AH443" s="16">
        <f t="shared" si="826"/>
        <v>0</v>
      </c>
      <c r="AI443" s="16">
        <f t="shared" si="826"/>
        <v>0</v>
      </c>
      <c r="AJ443" s="16">
        <f t="shared" si="826"/>
        <v>0</v>
      </c>
      <c r="AK443" s="16">
        <f t="shared" si="826"/>
        <v>0</v>
      </c>
      <c r="AL443" s="16">
        <f t="shared" si="826"/>
        <v>0</v>
      </c>
      <c r="AM443" s="16">
        <f t="shared" ref="AM443:BB443" si="827">SUM(AM438:AM442)</f>
        <v>0</v>
      </c>
      <c r="AN443" s="16">
        <f t="shared" si="827"/>
        <v>0</v>
      </c>
      <c r="AO443" s="16">
        <f t="shared" si="827"/>
        <v>0</v>
      </c>
      <c r="AP443" s="16">
        <f t="shared" si="827"/>
        <v>0</v>
      </c>
      <c r="AQ443" s="16">
        <f>SUM(AQ438:AQ442)</f>
        <v>0</v>
      </c>
      <c r="AR443" s="16">
        <f>SUM(AR438:AR442)</f>
        <v>0</v>
      </c>
      <c r="AS443" s="16">
        <f t="shared" ref="AS443:AY443" si="828">SUM(AS438:AS442)</f>
        <v>0</v>
      </c>
      <c r="AT443" s="16">
        <f t="shared" si="828"/>
        <v>0</v>
      </c>
      <c r="AU443" s="16">
        <f>SUM(AU438:AU442)</f>
        <v>0</v>
      </c>
      <c r="AV443" s="16">
        <f t="shared" si="828"/>
        <v>0</v>
      </c>
      <c r="AW443" s="16">
        <f t="shared" si="828"/>
        <v>0</v>
      </c>
      <c r="AX443" s="16">
        <f t="shared" si="828"/>
        <v>0</v>
      </c>
      <c r="AY443" s="16">
        <f t="shared" si="828"/>
        <v>0</v>
      </c>
      <c r="AZ443" s="16">
        <f>SUM(AZ438:AZ442)</f>
        <v>0</v>
      </c>
      <c r="BA443" s="16">
        <f t="shared" si="827"/>
        <v>0</v>
      </c>
      <c r="BB443" s="16">
        <f t="shared" si="827"/>
        <v>0</v>
      </c>
      <c r="BC443" s="16">
        <f>SUM(BC438:BC442)</f>
        <v>0</v>
      </c>
      <c r="BD443" s="16">
        <f>SUM(BD438:BD442)</f>
        <v>0</v>
      </c>
      <c r="BE443" s="16">
        <f t="shared" ref="BE443:BG443" si="829">SUM(BE438:BE442)</f>
        <v>0</v>
      </c>
      <c r="BF443" s="16">
        <f t="shared" si="829"/>
        <v>0</v>
      </c>
      <c r="BG443" s="16">
        <f t="shared" si="829"/>
        <v>0</v>
      </c>
      <c r="BH443" s="16">
        <f t="shared" ref="BH443:BL443" si="830">SUM(BH438:BH442)</f>
        <v>0</v>
      </c>
      <c r="BI443" s="16">
        <f t="shared" si="830"/>
        <v>0</v>
      </c>
      <c r="BJ443" s="16">
        <f t="shared" si="830"/>
        <v>0</v>
      </c>
      <c r="BK443" s="16">
        <f t="shared" si="830"/>
        <v>0</v>
      </c>
      <c r="BL443" s="16">
        <f t="shared" si="830"/>
        <v>0</v>
      </c>
    </row>
    <row r="444" spans="1:64" ht="14.1" customHeight="1">
      <c r="A444" s="379">
        <f t="shared" si="734"/>
        <v>437</v>
      </c>
      <c r="B444" s="129"/>
      <c r="C444" s="129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</row>
    <row r="445" spans="1:64" ht="14.1" customHeight="1">
      <c r="A445" s="379">
        <f t="shared" si="734"/>
        <v>438</v>
      </c>
      <c r="B445" s="13" t="s">
        <v>288</v>
      </c>
      <c r="C445" s="1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</row>
    <row r="446" spans="1:64" ht="14.1" customHeight="1">
      <c r="A446" s="379">
        <f t="shared" si="734"/>
        <v>439</v>
      </c>
      <c r="B446" s="22" t="s">
        <v>289</v>
      </c>
      <c r="C446" s="38">
        <f>SUM(D446:BI446)</f>
        <v>0</v>
      </c>
      <c r="D446" s="43">
        <v>0</v>
      </c>
      <c r="E446" s="43">
        <v>0</v>
      </c>
      <c r="F446" s="43">
        <v>0</v>
      </c>
      <c r="G446" s="43">
        <v>0</v>
      </c>
      <c r="H446" s="43">
        <v>0</v>
      </c>
      <c r="I446" s="43">
        <v>0</v>
      </c>
      <c r="J446" s="43">
        <v>0</v>
      </c>
      <c r="K446" s="43">
        <v>0</v>
      </c>
      <c r="L446" s="43">
        <v>0</v>
      </c>
      <c r="M446" s="43">
        <v>0</v>
      </c>
      <c r="N446" s="43">
        <v>0</v>
      </c>
      <c r="O446" s="43">
        <v>0</v>
      </c>
      <c r="P446" s="43">
        <v>0</v>
      </c>
      <c r="Q446" s="43">
        <v>0</v>
      </c>
      <c r="R446" s="43">
        <v>0</v>
      </c>
      <c r="S446" s="43">
        <v>0</v>
      </c>
      <c r="T446" s="43">
        <v>0</v>
      </c>
      <c r="U446" s="43">
        <v>0</v>
      </c>
      <c r="V446" s="43">
        <v>0</v>
      </c>
      <c r="W446" s="43">
        <v>0</v>
      </c>
      <c r="X446" s="43">
        <v>0</v>
      </c>
      <c r="Y446" s="43">
        <v>0</v>
      </c>
      <c r="Z446" s="43">
        <v>0</v>
      </c>
      <c r="AA446" s="43">
        <v>0</v>
      </c>
      <c r="AB446" s="43">
        <v>0</v>
      </c>
      <c r="AC446" s="43">
        <v>0</v>
      </c>
      <c r="AD446" s="43">
        <v>0</v>
      </c>
      <c r="AE446" s="43">
        <v>0</v>
      </c>
      <c r="AF446" s="43">
        <v>0</v>
      </c>
      <c r="AG446" s="43">
        <v>0</v>
      </c>
      <c r="AH446" s="43">
        <v>0</v>
      </c>
      <c r="AI446" s="43">
        <v>0</v>
      </c>
      <c r="AJ446" s="43">
        <v>0</v>
      </c>
      <c r="AK446" s="43">
        <v>0</v>
      </c>
      <c r="AL446" s="43">
        <v>0</v>
      </c>
      <c r="AM446" s="43">
        <v>0</v>
      </c>
      <c r="AN446" s="43">
        <v>0</v>
      </c>
      <c r="AO446" s="43">
        <v>0</v>
      </c>
      <c r="AP446" s="43">
        <v>0</v>
      </c>
      <c r="AQ446" s="43">
        <v>0</v>
      </c>
      <c r="AR446" s="43">
        <v>0</v>
      </c>
      <c r="AS446" s="43">
        <v>0</v>
      </c>
      <c r="AT446" s="43">
        <v>0</v>
      </c>
      <c r="AU446" s="43">
        <v>0</v>
      </c>
      <c r="AV446" s="43">
        <v>0</v>
      </c>
      <c r="AW446" s="43">
        <v>0</v>
      </c>
      <c r="AX446" s="43">
        <v>0</v>
      </c>
      <c r="AY446" s="43">
        <v>0</v>
      </c>
      <c r="AZ446" s="43">
        <v>0</v>
      </c>
      <c r="BA446" s="43">
        <v>0</v>
      </c>
      <c r="BB446" s="43">
        <v>0</v>
      </c>
      <c r="BC446" s="43">
        <v>0</v>
      </c>
      <c r="BD446" s="43">
        <v>0</v>
      </c>
      <c r="BE446" s="43">
        <v>0</v>
      </c>
      <c r="BF446" s="43">
        <v>0</v>
      </c>
      <c r="BG446" s="43">
        <v>0</v>
      </c>
      <c r="BH446" s="43">
        <v>0</v>
      </c>
      <c r="BI446" s="43">
        <v>0</v>
      </c>
      <c r="BJ446" s="43">
        <v>0</v>
      </c>
      <c r="BK446" s="43">
        <v>0</v>
      </c>
      <c r="BL446" s="43">
        <v>0</v>
      </c>
    </row>
    <row r="447" spans="1:64" s="22" customFormat="1" ht="14.1" customHeight="1">
      <c r="A447" s="379">
        <f t="shared" si="734"/>
        <v>440</v>
      </c>
      <c r="B447" s="22" t="s">
        <v>149</v>
      </c>
      <c r="C447" s="38">
        <f>SUM(D447:BI447)</f>
        <v>0</v>
      </c>
      <c r="D447" s="43">
        <v>0</v>
      </c>
      <c r="E447" s="43">
        <v>0</v>
      </c>
      <c r="F447" s="43">
        <v>0</v>
      </c>
      <c r="G447" s="43">
        <v>0</v>
      </c>
      <c r="H447" s="43">
        <v>0</v>
      </c>
      <c r="I447" s="43">
        <v>0</v>
      </c>
      <c r="J447" s="43">
        <v>0</v>
      </c>
      <c r="K447" s="43">
        <v>0</v>
      </c>
      <c r="L447" s="43">
        <v>0</v>
      </c>
      <c r="M447" s="43">
        <v>0</v>
      </c>
      <c r="N447" s="43">
        <v>0</v>
      </c>
      <c r="O447" s="43">
        <v>0</v>
      </c>
      <c r="P447" s="43">
        <v>0</v>
      </c>
      <c r="Q447" s="43">
        <v>0</v>
      </c>
      <c r="R447" s="43">
        <v>0</v>
      </c>
      <c r="S447" s="43">
        <v>0</v>
      </c>
      <c r="T447" s="43">
        <v>0</v>
      </c>
      <c r="U447" s="43">
        <v>0</v>
      </c>
      <c r="V447" s="43">
        <v>0</v>
      </c>
      <c r="W447" s="43">
        <v>0</v>
      </c>
      <c r="X447" s="43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43">
        <v>0</v>
      </c>
      <c r="AF447" s="43">
        <v>0</v>
      </c>
      <c r="AG447" s="43">
        <v>0</v>
      </c>
      <c r="AH447" s="43">
        <v>0</v>
      </c>
      <c r="AI447" s="43">
        <v>0</v>
      </c>
      <c r="AJ447" s="43">
        <v>0</v>
      </c>
      <c r="AK447" s="43">
        <v>0</v>
      </c>
      <c r="AL447" s="43">
        <v>0</v>
      </c>
      <c r="AM447" s="43">
        <v>0</v>
      </c>
      <c r="AN447" s="43">
        <v>0</v>
      </c>
      <c r="AO447" s="43">
        <v>0</v>
      </c>
      <c r="AP447" s="43">
        <v>0</v>
      </c>
      <c r="AQ447" s="43">
        <v>0</v>
      </c>
      <c r="AR447" s="43">
        <v>0</v>
      </c>
      <c r="AS447" s="43">
        <v>0</v>
      </c>
      <c r="AT447" s="43">
        <v>0</v>
      </c>
      <c r="AU447" s="43">
        <v>0</v>
      </c>
      <c r="AV447" s="43">
        <v>0</v>
      </c>
      <c r="AW447" s="43">
        <v>0</v>
      </c>
      <c r="AX447" s="43">
        <v>0</v>
      </c>
      <c r="AY447" s="43">
        <v>0</v>
      </c>
      <c r="AZ447" s="43">
        <v>0</v>
      </c>
      <c r="BA447" s="43">
        <v>0</v>
      </c>
      <c r="BB447" s="43">
        <v>0</v>
      </c>
      <c r="BC447" s="43">
        <v>0</v>
      </c>
      <c r="BD447" s="43">
        <v>0</v>
      </c>
      <c r="BE447" s="43">
        <v>0</v>
      </c>
      <c r="BF447" s="43">
        <v>0</v>
      </c>
      <c r="BG447" s="43">
        <v>0</v>
      </c>
      <c r="BH447" s="43">
        <v>0</v>
      </c>
      <c r="BI447" s="43">
        <v>0</v>
      </c>
      <c r="BJ447" s="43">
        <v>0</v>
      </c>
      <c r="BK447" s="43">
        <v>0</v>
      </c>
      <c r="BL447" s="43">
        <v>0</v>
      </c>
    </row>
    <row r="448" spans="1:64" s="22" customFormat="1" ht="14.1" customHeight="1">
      <c r="A448" s="379">
        <f t="shared" si="734"/>
        <v>441</v>
      </c>
      <c r="B448" s="22" t="s">
        <v>137</v>
      </c>
      <c r="C448" s="38">
        <f>SUM(D448:BI448)</f>
        <v>0</v>
      </c>
      <c r="D448" s="43">
        <v>0</v>
      </c>
      <c r="E448" s="43">
        <v>0</v>
      </c>
      <c r="F448" s="43">
        <v>0</v>
      </c>
      <c r="G448" s="43">
        <v>0</v>
      </c>
      <c r="H448" s="43">
        <v>0</v>
      </c>
      <c r="I448" s="43">
        <v>0</v>
      </c>
      <c r="J448" s="43">
        <v>0</v>
      </c>
      <c r="K448" s="43">
        <v>0</v>
      </c>
      <c r="L448" s="43">
        <v>0</v>
      </c>
      <c r="M448" s="43">
        <v>0</v>
      </c>
      <c r="N448" s="43">
        <v>0</v>
      </c>
      <c r="O448" s="43">
        <v>0</v>
      </c>
      <c r="P448" s="43">
        <v>0</v>
      </c>
      <c r="Q448" s="43">
        <v>0</v>
      </c>
      <c r="R448" s="43">
        <v>0</v>
      </c>
      <c r="S448" s="43">
        <v>0</v>
      </c>
      <c r="T448" s="43">
        <v>0</v>
      </c>
      <c r="U448" s="43">
        <v>0</v>
      </c>
      <c r="V448" s="43">
        <v>0</v>
      </c>
      <c r="W448" s="43">
        <v>0</v>
      </c>
      <c r="X448" s="43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43">
        <v>0</v>
      </c>
      <c r="AF448" s="43">
        <v>0</v>
      </c>
      <c r="AG448" s="43">
        <v>0</v>
      </c>
      <c r="AH448" s="43">
        <v>0</v>
      </c>
      <c r="AI448" s="43">
        <v>0</v>
      </c>
      <c r="AJ448" s="43">
        <v>0</v>
      </c>
      <c r="AK448" s="43">
        <v>0</v>
      </c>
      <c r="AL448" s="43">
        <v>0</v>
      </c>
      <c r="AM448" s="43">
        <v>0</v>
      </c>
      <c r="AN448" s="43">
        <v>0</v>
      </c>
      <c r="AO448" s="43">
        <v>0</v>
      </c>
      <c r="AP448" s="43">
        <v>0</v>
      </c>
      <c r="AQ448" s="43">
        <v>0</v>
      </c>
      <c r="AR448" s="43">
        <v>0</v>
      </c>
      <c r="AS448" s="43">
        <v>0</v>
      </c>
      <c r="AT448" s="43">
        <v>0</v>
      </c>
      <c r="AU448" s="43">
        <v>0</v>
      </c>
      <c r="AV448" s="43">
        <v>0</v>
      </c>
      <c r="AW448" s="43">
        <v>0</v>
      </c>
      <c r="AX448" s="43">
        <v>0</v>
      </c>
      <c r="AY448" s="43">
        <v>0</v>
      </c>
      <c r="AZ448" s="43">
        <v>0</v>
      </c>
      <c r="BA448" s="43">
        <v>0</v>
      </c>
      <c r="BB448" s="43">
        <v>0</v>
      </c>
      <c r="BC448" s="43">
        <v>0</v>
      </c>
      <c r="BD448" s="43">
        <v>0</v>
      </c>
      <c r="BE448" s="43">
        <v>0</v>
      </c>
      <c r="BF448" s="43">
        <v>0</v>
      </c>
      <c r="BG448" s="43">
        <v>0</v>
      </c>
      <c r="BH448" s="43">
        <v>0</v>
      </c>
      <c r="BI448" s="43">
        <v>0</v>
      </c>
      <c r="BJ448" s="43">
        <v>0</v>
      </c>
      <c r="BK448" s="43">
        <v>0</v>
      </c>
      <c r="BL448" s="43">
        <v>0</v>
      </c>
    </row>
    <row r="449" spans="1:64" s="22" customFormat="1" ht="14.1" customHeight="1">
      <c r="A449" s="379">
        <f t="shared" si="734"/>
        <v>442</v>
      </c>
      <c r="B449" s="22" t="s">
        <v>150</v>
      </c>
      <c r="C449" s="38">
        <f>SUM(D449:BI449)</f>
        <v>0</v>
      </c>
      <c r="D449" s="43">
        <v>0</v>
      </c>
      <c r="E449" s="43">
        <v>0</v>
      </c>
      <c r="F449" s="43">
        <v>0</v>
      </c>
      <c r="G449" s="43">
        <v>0</v>
      </c>
      <c r="H449" s="43">
        <v>0</v>
      </c>
      <c r="I449" s="43">
        <v>0</v>
      </c>
      <c r="J449" s="43">
        <v>0</v>
      </c>
      <c r="K449" s="43">
        <v>0</v>
      </c>
      <c r="L449" s="43">
        <v>0</v>
      </c>
      <c r="M449" s="43">
        <v>0</v>
      </c>
      <c r="N449" s="43">
        <v>0</v>
      </c>
      <c r="O449" s="43">
        <v>0</v>
      </c>
      <c r="P449" s="43">
        <v>0</v>
      </c>
      <c r="Q449" s="43">
        <v>0</v>
      </c>
      <c r="R449" s="43">
        <v>0</v>
      </c>
      <c r="S449" s="43">
        <v>0</v>
      </c>
      <c r="T449" s="43">
        <v>0</v>
      </c>
      <c r="U449" s="43">
        <v>0</v>
      </c>
      <c r="V449" s="43">
        <v>0</v>
      </c>
      <c r="W449" s="43">
        <v>0</v>
      </c>
      <c r="X449" s="43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43">
        <v>0</v>
      </c>
      <c r="AF449" s="43">
        <v>0</v>
      </c>
      <c r="AG449" s="43">
        <v>0</v>
      </c>
      <c r="AH449" s="43">
        <v>0</v>
      </c>
      <c r="AI449" s="43">
        <v>0</v>
      </c>
      <c r="AJ449" s="43">
        <v>0</v>
      </c>
      <c r="AK449" s="43">
        <v>0</v>
      </c>
      <c r="AL449" s="43">
        <v>0</v>
      </c>
      <c r="AM449" s="43">
        <v>0</v>
      </c>
      <c r="AN449" s="43">
        <v>0</v>
      </c>
      <c r="AO449" s="43">
        <v>0</v>
      </c>
      <c r="AP449" s="43">
        <v>0</v>
      </c>
      <c r="AQ449" s="43">
        <v>0</v>
      </c>
      <c r="AR449" s="43">
        <v>0</v>
      </c>
      <c r="AS449" s="43">
        <v>0</v>
      </c>
      <c r="AT449" s="43">
        <v>0</v>
      </c>
      <c r="AU449" s="43">
        <v>0</v>
      </c>
      <c r="AV449" s="43">
        <v>0</v>
      </c>
      <c r="AW449" s="43">
        <v>0</v>
      </c>
      <c r="AX449" s="43">
        <v>0</v>
      </c>
      <c r="AY449" s="43">
        <v>0</v>
      </c>
      <c r="AZ449" s="43">
        <v>0</v>
      </c>
      <c r="BA449" s="43">
        <v>0</v>
      </c>
      <c r="BB449" s="43">
        <v>0</v>
      </c>
      <c r="BC449" s="43">
        <v>0</v>
      </c>
      <c r="BD449" s="43">
        <v>0</v>
      </c>
      <c r="BE449" s="43">
        <v>0</v>
      </c>
      <c r="BF449" s="43">
        <v>0</v>
      </c>
      <c r="BG449" s="43">
        <v>0</v>
      </c>
      <c r="BH449" s="43">
        <v>0</v>
      </c>
      <c r="BI449" s="43">
        <v>0</v>
      </c>
      <c r="BJ449" s="43">
        <v>0</v>
      </c>
      <c r="BK449" s="43">
        <v>0</v>
      </c>
      <c r="BL449" s="43">
        <v>0</v>
      </c>
    </row>
    <row r="450" spans="1:64" s="22" customFormat="1" ht="14.1" customHeight="1">
      <c r="A450" s="379">
        <f t="shared" si="734"/>
        <v>443</v>
      </c>
      <c r="B450" s="56" t="s">
        <v>151</v>
      </c>
      <c r="C450" s="38">
        <f>SUM(D450:BI450)</f>
        <v>0</v>
      </c>
      <c r="D450" s="64">
        <v>0</v>
      </c>
      <c r="E450" s="64">
        <v>0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64">
        <v>0</v>
      </c>
      <c r="V450" s="64">
        <v>0</v>
      </c>
      <c r="W450" s="64">
        <v>0</v>
      </c>
      <c r="X450" s="64">
        <v>0</v>
      </c>
      <c r="Y450" s="64">
        <v>0</v>
      </c>
      <c r="Z450" s="64">
        <v>0</v>
      </c>
      <c r="AA450" s="64">
        <v>0</v>
      </c>
      <c r="AB450" s="64">
        <v>0</v>
      </c>
      <c r="AC450" s="64">
        <v>0</v>
      </c>
      <c r="AD450" s="64">
        <v>0</v>
      </c>
      <c r="AE450" s="64">
        <v>0</v>
      </c>
      <c r="AF450" s="64">
        <v>0</v>
      </c>
      <c r="AG450" s="64">
        <v>0</v>
      </c>
      <c r="AH450" s="64">
        <v>0</v>
      </c>
      <c r="AI450" s="64">
        <v>0</v>
      </c>
      <c r="AJ450" s="64">
        <v>0</v>
      </c>
      <c r="AK450" s="64">
        <v>0</v>
      </c>
      <c r="AL450" s="64">
        <v>0</v>
      </c>
      <c r="AM450" s="64">
        <v>0</v>
      </c>
      <c r="AN450" s="64">
        <v>0</v>
      </c>
      <c r="AO450" s="64">
        <v>0</v>
      </c>
      <c r="AP450" s="64">
        <v>0</v>
      </c>
      <c r="AQ450" s="64">
        <v>0</v>
      </c>
      <c r="AR450" s="64">
        <v>0</v>
      </c>
      <c r="AS450" s="64">
        <v>0</v>
      </c>
      <c r="AT450" s="64">
        <v>0</v>
      </c>
      <c r="AU450" s="64">
        <v>0</v>
      </c>
      <c r="AV450" s="64">
        <v>0</v>
      </c>
      <c r="AW450" s="64">
        <v>0</v>
      </c>
      <c r="AX450" s="64">
        <v>0</v>
      </c>
      <c r="AY450" s="64">
        <v>0</v>
      </c>
      <c r="AZ450" s="64">
        <v>0</v>
      </c>
      <c r="BA450" s="64">
        <v>0</v>
      </c>
      <c r="BB450" s="64">
        <v>0</v>
      </c>
      <c r="BC450" s="64">
        <v>0</v>
      </c>
      <c r="BD450" s="64">
        <v>0</v>
      </c>
      <c r="BE450" s="64">
        <v>0</v>
      </c>
      <c r="BF450" s="64">
        <v>0</v>
      </c>
      <c r="BG450" s="64">
        <v>0</v>
      </c>
      <c r="BH450" s="64">
        <v>0</v>
      </c>
      <c r="BI450" s="64">
        <v>0</v>
      </c>
      <c r="BJ450" s="64">
        <v>0</v>
      </c>
      <c r="BK450" s="64">
        <v>0</v>
      </c>
      <c r="BL450" s="64">
        <v>0</v>
      </c>
    </row>
    <row r="451" spans="1:64" s="22" customFormat="1" ht="14.1" customHeight="1">
      <c r="A451" s="379">
        <f t="shared" si="734"/>
        <v>444</v>
      </c>
      <c r="B451" s="20" t="s">
        <v>516</v>
      </c>
      <c r="C451" s="16">
        <f t="shared" ref="C451:K451" si="831">SUM(C446:C450)</f>
        <v>0</v>
      </c>
      <c r="D451" s="16">
        <f t="shared" si="831"/>
        <v>0</v>
      </c>
      <c r="E451" s="16">
        <f t="shared" si="831"/>
        <v>0</v>
      </c>
      <c r="F451" s="16">
        <f t="shared" si="831"/>
        <v>0</v>
      </c>
      <c r="G451" s="16">
        <f t="shared" si="831"/>
        <v>0</v>
      </c>
      <c r="H451" s="16">
        <f t="shared" si="831"/>
        <v>0</v>
      </c>
      <c r="I451" s="16">
        <f t="shared" si="831"/>
        <v>0</v>
      </c>
      <c r="J451" s="16">
        <f t="shared" si="831"/>
        <v>0</v>
      </c>
      <c r="K451" s="16">
        <f t="shared" si="831"/>
        <v>0</v>
      </c>
      <c r="L451" s="16">
        <f t="shared" ref="L451:Y451" si="832">SUM(L446:L450)</f>
        <v>0</v>
      </c>
      <c r="M451" s="16">
        <f t="shared" si="832"/>
        <v>0</v>
      </c>
      <c r="N451" s="16">
        <f t="shared" si="832"/>
        <v>0</v>
      </c>
      <c r="O451" s="16">
        <f t="shared" si="832"/>
        <v>0</v>
      </c>
      <c r="P451" s="16">
        <f t="shared" si="832"/>
        <v>0</v>
      </c>
      <c r="Q451" s="16">
        <f t="shared" si="832"/>
        <v>0</v>
      </c>
      <c r="R451" s="16">
        <f t="shared" si="832"/>
        <v>0</v>
      </c>
      <c r="S451" s="16">
        <f t="shared" si="832"/>
        <v>0</v>
      </c>
      <c r="T451" s="16">
        <f>SUM(T446:T450)</f>
        <v>0</v>
      </c>
      <c r="U451" s="16">
        <f t="shared" si="832"/>
        <v>0</v>
      </c>
      <c r="V451" s="16">
        <f t="shared" si="832"/>
        <v>0</v>
      </c>
      <c r="W451" s="16">
        <f t="shared" si="832"/>
        <v>0</v>
      </c>
      <c r="X451" s="16">
        <f t="shared" si="832"/>
        <v>0</v>
      </c>
      <c r="Y451" s="16">
        <f t="shared" si="832"/>
        <v>0</v>
      </c>
      <c r="Z451" s="16">
        <f t="shared" ref="Z451:AE451" si="833">SUM(Z446:Z450)</f>
        <v>0</v>
      </c>
      <c r="AA451" s="16">
        <f t="shared" si="833"/>
        <v>0</v>
      </c>
      <c r="AB451" s="16">
        <f t="shared" si="833"/>
        <v>0</v>
      </c>
      <c r="AC451" s="16">
        <f t="shared" si="833"/>
        <v>0</v>
      </c>
      <c r="AD451" s="16">
        <f t="shared" si="833"/>
        <v>0</v>
      </c>
      <c r="AE451" s="16">
        <f t="shared" si="833"/>
        <v>0</v>
      </c>
      <c r="AF451" s="16">
        <f t="shared" ref="AF451:AL451" si="834">SUM(AF446:AF450)</f>
        <v>0</v>
      </c>
      <c r="AG451" s="16">
        <f t="shared" si="834"/>
        <v>0</v>
      </c>
      <c r="AH451" s="16">
        <f t="shared" si="834"/>
        <v>0</v>
      </c>
      <c r="AI451" s="16">
        <f t="shared" si="834"/>
        <v>0</v>
      </c>
      <c r="AJ451" s="16">
        <f t="shared" si="834"/>
        <v>0</v>
      </c>
      <c r="AK451" s="16">
        <f t="shared" si="834"/>
        <v>0</v>
      </c>
      <c r="AL451" s="16">
        <f t="shared" si="834"/>
        <v>0</v>
      </c>
      <c r="AM451" s="16">
        <f t="shared" ref="AM451:BB451" si="835">SUM(AM446:AM450)</f>
        <v>0</v>
      </c>
      <c r="AN451" s="16">
        <f t="shared" si="835"/>
        <v>0</v>
      </c>
      <c r="AO451" s="16">
        <f t="shared" si="835"/>
        <v>0</v>
      </c>
      <c r="AP451" s="16">
        <f t="shared" si="835"/>
        <v>0</v>
      </c>
      <c r="AQ451" s="16">
        <f>SUM(AQ446:AQ450)</f>
        <v>0</v>
      </c>
      <c r="AR451" s="16">
        <f>SUM(AR446:AR450)</f>
        <v>0</v>
      </c>
      <c r="AS451" s="16">
        <f t="shared" ref="AS451:AY451" si="836">SUM(AS446:AS450)</f>
        <v>0</v>
      </c>
      <c r="AT451" s="16">
        <f t="shared" si="836"/>
        <v>0</v>
      </c>
      <c r="AU451" s="16">
        <f>SUM(AU446:AU450)</f>
        <v>0</v>
      </c>
      <c r="AV451" s="16">
        <f t="shared" si="836"/>
        <v>0</v>
      </c>
      <c r="AW451" s="16">
        <f t="shared" si="836"/>
        <v>0</v>
      </c>
      <c r="AX451" s="16">
        <f t="shared" si="836"/>
        <v>0</v>
      </c>
      <c r="AY451" s="16">
        <f t="shared" si="836"/>
        <v>0</v>
      </c>
      <c r="AZ451" s="16">
        <f>SUM(AZ446:AZ450)</f>
        <v>0</v>
      </c>
      <c r="BA451" s="16">
        <f t="shared" si="835"/>
        <v>0</v>
      </c>
      <c r="BB451" s="16">
        <f t="shared" si="835"/>
        <v>0</v>
      </c>
      <c r="BC451" s="16">
        <f>SUM(BC446:BC450)</f>
        <v>0</v>
      </c>
      <c r="BD451" s="16">
        <f>SUM(BD446:BD450)</f>
        <v>0</v>
      </c>
      <c r="BE451" s="16">
        <f t="shared" ref="BE451:BG451" si="837">SUM(BE446:BE450)</f>
        <v>0</v>
      </c>
      <c r="BF451" s="16">
        <f t="shared" si="837"/>
        <v>0</v>
      </c>
      <c r="BG451" s="16">
        <f t="shared" si="837"/>
        <v>0</v>
      </c>
      <c r="BH451" s="16">
        <f t="shared" ref="BH451:BL451" si="838">SUM(BH446:BH450)</f>
        <v>0</v>
      </c>
      <c r="BI451" s="16">
        <f t="shared" si="838"/>
        <v>0</v>
      </c>
      <c r="BJ451" s="16">
        <f t="shared" si="838"/>
        <v>0</v>
      </c>
      <c r="BK451" s="16">
        <f t="shared" si="838"/>
        <v>0</v>
      </c>
      <c r="BL451" s="16">
        <f t="shared" si="838"/>
        <v>0</v>
      </c>
    </row>
    <row r="452" spans="1:64" s="22" customFormat="1" ht="14.1" customHeight="1">
      <c r="A452" s="379">
        <f t="shared" si="734"/>
        <v>445</v>
      </c>
      <c r="B452" s="163"/>
      <c r="C452" s="163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</row>
    <row r="453" spans="1:64" s="22" customFormat="1" ht="14.1" customHeight="1">
      <c r="A453" s="379">
        <f t="shared" si="734"/>
        <v>446</v>
      </c>
      <c r="B453" s="20" t="s">
        <v>290</v>
      </c>
      <c r="C453" s="20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</row>
    <row r="454" spans="1:64" s="22" customFormat="1" ht="14.1" customHeight="1">
      <c r="A454" s="379">
        <f t="shared" si="734"/>
        <v>447</v>
      </c>
      <c r="B454" s="57" t="s">
        <v>324</v>
      </c>
      <c r="C454" s="38">
        <f>SUM(D454:BI454)</f>
        <v>-6002692</v>
      </c>
      <c r="D454" s="64">
        <v>0</v>
      </c>
      <c r="E454" s="64">
        <v>-6002692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64">
        <v>0</v>
      </c>
      <c r="V454" s="64">
        <v>0</v>
      </c>
      <c r="W454" s="64">
        <v>0</v>
      </c>
      <c r="X454" s="64">
        <v>0</v>
      </c>
      <c r="Y454" s="64">
        <v>0</v>
      </c>
      <c r="Z454" s="64">
        <v>0</v>
      </c>
      <c r="AA454" s="64">
        <v>0</v>
      </c>
      <c r="AB454" s="64">
        <v>0</v>
      </c>
      <c r="AC454" s="64">
        <v>0</v>
      </c>
      <c r="AD454" s="64">
        <v>0</v>
      </c>
      <c r="AE454" s="64">
        <v>0</v>
      </c>
      <c r="AF454" s="64">
        <v>0</v>
      </c>
      <c r="AG454" s="64">
        <v>0</v>
      </c>
      <c r="AH454" s="64">
        <v>0</v>
      </c>
      <c r="AI454" s="64">
        <v>0</v>
      </c>
      <c r="AJ454" s="64">
        <v>0</v>
      </c>
      <c r="AK454" s="64">
        <v>0</v>
      </c>
      <c r="AL454" s="64">
        <v>0</v>
      </c>
      <c r="AM454" s="64">
        <v>0</v>
      </c>
      <c r="AN454" s="64">
        <v>0</v>
      </c>
      <c r="AO454" s="64">
        <v>0</v>
      </c>
      <c r="AP454" s="64">
        <v>0</v>
      </c>
      <c r="AQ454" s="64">
        <v>0</v>
      </c>
      <c r="AR454" s="64">
        <v>0</v>
      </c>
      <c r="AS454" s="64">
        <v>0</v>
      </c>
      <c r="AT454" s="64">
        <v>0</v>
      </c>
      <c r="AU454" s="64">
        <v>0</v>
      </c>
      <c r="AV454" s="64">
        <v>0</v>
      </c>
      <c r="AW454" s="64">
        <v>0</v>
      </c>
      <c r="AX454" s="64">
        <v>0</v>
      </c>
      <c r="AY454" s="64">
        <v>0</v>
      </c>
      <c r="AZ454" s="64">
        <v>0</v>
      </c>
      <c r="BA454" s="64">
        <v>0</v>
      </c>
      <c r="BB454" s="64">
        <v>0</v>
      </c>
      <c r="BC454" s="64">
        <v>0</v>
      </c>
      <c r="BD454" s="64">
        <v>0</v>
      </c>
      <c r="BE454" s="64">
        <v>0</v>
      </c>
      <c r="BF454" s="64">
        <v>0</v>
      </c>
      <c r="BG454" s="64">
        <v>0</v>
      </c>
      <c r="BH454" s="64">
        <v>0</v>
      </c>
      <c r="BI454" s="64">
        <v>0</v>
      </c>
      <c r="BJ454" s="64">
        <v>0</v>
      </c>
      <c r="BK454" s="64">
        <v>0</v>
      </c>
      <c r="BL454" s="64">
        <v>0</v>
      </c>
    </row>
    <row r="455" spans="1:64" s="22" customFormat="1" ht="14.1" customHeight="1">
      <c r="A455" s="379">
        <f t="shared" si="734"/>
        <v>448</v>
      </c>
      <c r="B455" s="20" t="s">
        <v>517</v>
      </c>
      <c r="C455" s="43">
        <f t="shared" ref="C455:K455" si="839">SUM(C454:C454)</f>
        <v>-6002692</v>
      </c>
      <c r="D455" s="43">
        <f t="shared" si="839"/>
        <v>0</v>
      </c>
      <c r="E455" s="43">
        <f t="shared" si="839"/>
        <v>-6002692</v>
      </c>
      <c r="F455" s="43">
        <f t="shared" si="839"/>
        <v>0</v>
      </c>
      <c r="G455" s="43">
        <f t="shared" si="839"/>
        <v>0</v>
      </c>
      <c r="H455" s="43">
        <f t="shared" si="839"/>
        <v>0</v>
      </c>
      <c r="I455" s="43">
        <f t="shared" si="839"/>
        <v>0</v>
      </c>
      <c r="J455" s="43">
        <f t="shared" si="839"/>
        <v>0</v>
      </c>
      <c r="K455" s="43">
        <f t="shared" si="839"/>
        <v>0</v>
      </c>
      <c r="L455" s="43">
        <f t="shared" ref="L455:Y455" si="840">SUM(L454:L454)</f>
        <v>0</v>
      </c>
      <c r="M455" s="43">
        <f t="shared" si="840"/>
        <v>0</v>
      </c>
      <c r="N455" s="43">
        <f t="shared" si="840"/>
        <v>0</v>
      </c>
      <c r="O455" s="43">
        <f t="shared" si="840"/>
        <v>0</v>
      </c>
      <c r="P455" s="43">
        <f t="shared" si="840"/>
        <v>0</v>
      </c>
      <c r="Q455" s="43">
        <f t="shared" si="840"/>
        <v>0</v>
      </c>
      <c r="R455" s="43">
        <f t="shared" si="840"/>
        <v>0</v>
      </c>
      <c r="S455" s="43">
        <f t="shared" si="840"/>
        <v>0</v>
      </c>
      <c r="T455" s="43">
        <f>SUM(T454:T454)</f>
        <v>0</v>
      </c>
      <c r="U455" s="43">
        <f t="shared" si="840"/>
        <v>0</v>
      </c>
      <c r="V455" s="43">
        <f t="shared" si="840"/>
        <v>0</v>
      </c>
      <c r="W455" s="43">
        <f t="shared" si="840"/>
        <v>0</v>
      </c>
      <c r="X455" s="43">
        <f t="shared" si="840"/>
        <v>0</v>
      </c>
      <c r="Y455" s="43">
        <f t="shared" si="840"/>
        <v>0</v>
      </c>
      <c r="Z455" s="43">
        <f t="shared" ref="Z455:AE455" si="841">SUM(Z454:Z454)</f>
        <v>0</v>
      </c>
      <c r="AA455" s="43">
        <f t="shared" si="841"/>
        <v>0</v>
      </c>
      <c r="AB455" s="43">
        <f t="shared" si="841"/>
        <v>0</v>
      </c>
      <c r="AC455" s="43">
        <f t="shared" si="841"/>
        <v>0</v>
      </c>
      <c r="AD455" s="43">
        <f t="shared" si="841"/>
        <v>0</v>
      </c>
      <c r="AE455" s="43">
        <f t="shared" si="841"/>
        <v>0</v>
      </c>
      <c r="AF455" s="43">
        <f t="shared" ref="AF455:AL455" si="842">SUM(AF454:AF454)</f>
        <v>0</v>
      </c>
      <c r="AG455" s="43">
        <f t="shared" si="842"/>
        <v>0</v>
      </c>
      <c r="AH455" s="43">
        <f t="shared" si="842"/>
        <v>0</v>
      </c>
      <c r="AI455" s="43">
        <f t="shared" si="842"/>
        <v>0</v>
      </c>
      <c r="AJ455" s="43">
        <f t="shared" si="842"/>
        <v>0</v>
      </c>
      <c r="AK455" s="43">
        <f t="shared" si="842"/>
        <v>0</v>
      </c>
      <c r="AL455" s="43">
        <f t="shared" si="842"/>
        <v>0</v>
      </c>
      <c r="AM455" s="43">
        <f t="shared" ref="AM455:BB455" si="843">SUM(AM454:AM454)</f>
        <v>0</v>
      </c>
      <c r="AN455" s="43">
        <f t="shared" si="843"/>
        <v>0</v>
      </c>
      <c r="AO455" s="43">
        <f t="shared" si="843"/>
        <v>0</v>
      </c>
      <c r="AP455" s="43">
        <f t="shared" si="843"/>
        <v>0</v>
      </c>
      <c r="AQ455" s="43">
        <f>SUM(AQ454:AQ454)</f>
        <v>0</v>
      </c>
      <c r="AR455" s="43">
        <f>SUM(AR454:AR454)</f>
        <v>0</v>
      </c>
      <c r="AS455" s="43">
        <f t="shared" ref="AS455:AY455" si="844">SUM(AS454:AS454)</f>
        <v>0</v>
      </c>
      <c r="AT455" s="43">
        <f t="shared" si="844"/>
        <v>0</v>
      </c>
      <c r="AU455" s="43">
        <f>SUM(AU454:AU454)</f>
        <v>0</v>
      </c>
      <c r="AV455" s="43">
        <f t="shared" si="844"/>
        <v>0</v>
      </c>
      <c r="AW455" s="43">
        <f t="shared" si="844"/>
        <v>0</v>
      </c>
      <c r="AX455" s="43">
        <f t="shared" si="844"/>
        <v>0</v>
      </c>
      <c r="AY455" s="43">
        <f t="shared" si="844"/>
        <v>0</v>
      </c>
      <c r="AZ455" s="43">
        <f>SUM(AZ454:AZ454)</f>
        <v>0</v>
      </c>
      <c r="BA455" s="43">
        <f t="shared" si="843"/>
        <v>0</v>
      </c>
      <c r="BB455" s="43">
        <f t="shared" si="843"/>
        <v>0</v>
      </c>
      <c r="BC455" s="43">
        <f>SUM(BC454:BC454)</f>
        <v>0</v>
      </c>
      <c r="BD455" s="43">
        <f>SUM(BD454:BD454)</f>
        <v>0</v>
      </c>
      <c r="BE455" s="43">
        <f t="shared" ref="BE455:BG455" si="845">SUM(BE454:BE454)</f>
        <v>0</v>
      </c>
      <c r="BF455" s="43">
        <f t="shared" si="845"/>
        <v>0</v>
      </c>
      <c r="BG455" s="43">
        <f t="shared" si="845"/>
        <v>0</v>
      </c>
      <c r="BH455" s="43">
        <f t="shared" ref="BH455:BL455" si="846">SUM(BH454:BH454)</f>
        <v>0</v>
      </c>
      <c r="BI455" s="43">
        <f t="shared" si="846"/>
        <v>0</v>
      </c>
      <c r="BJ455" s="43">
        <f t="shared" si="846"/>
        <v>0</v>
      </c>
      <c r="BK455" s="43">
        <f t="shared" si="846"/>
        <v>0</v>
      </c>
      <c r="BL455" s="43">
        <f t="shared" si="846"/>
        <v>0</v>
      </c>
    </row>
    <row r="456" spans="1:64" s="22" customFormat="1" ht="14.1" customHeight="1">
      <c r="A456" s="379">
        <f t="shared" si="734"/>
        <v>449</v>
      </c>
      <c r="B456" s="57"/>
      <c r="C456" s="57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</row>
    <row r="457" spans="1:64" s="22" customFormat="1" ht="14.1" customHeight="1" thickBot="1">
      <c r="A457" s="379">
        <f t="shared" si="734"/>
        <v>450</v>
      </c>
      <c r="B457" s="59" t="s">
        <v>518</v>
      </c>
      <c r="C457" s="92">
        <f t="shared" ref="C457:K457" si="847">C443+C451+C455</f>
        <v>-9396653</v>
      </c>
      <c r="D457" s="92">
        <f t="shared" si="847"/>
        <v>0</v>
      </c>
      <c r="E457" s="92">
        <f t="shared" si="847"/>
        <v>-6002692</v>
      </c>
      <c r="F457" s="92">
        <f t="shared" si="847"/>
        <v>-9199006</v>
      </c>
      <c r="G457" s="92">
        <f t="shared" si="847"/>
        <v>0</v>
      </c>
      <c r="H457" s="92">
        <f t="shared" si="847"/>
        <v>457503</v>
      </c>
      <c r="I457" s="92">
        <f t="shared" si="847"/>
        <v>0</v>
      </c>
      <c r="J457" s="92">
        <f t="shared" si="847"/>
        <v>0</v>
      </c>
      <c r="K457" s="92">
        <f t="shared" si="847"/>
        <v>0</v>
      </c>
      <c r="L457" s="92">
        <f t="shared" ref="L457:Y457" si="848">L443+L451+L455</f>
        <v>0</v>
      </c>
      <c r="M457" s="92">
        <f t="shared" si="848"/>
        <v>0</v>
      </c>
      <c r="N457" s="92">
        <f t="shared" si="848"/>
        <v>0</v>
      </c>
      <c r="O457" s="92">
        <f t="shared" si="848"/>
        <v>0</v>
      </c>
      <c r="P457" s="92">
        <f t="shared" si="848"/>
        <v>0</v>
      </c>
      <c r="Q457" s="92">
        <f t="shared" si="848"/>
        <v>0</v>
      </c>
      <c r="R457" s="92">
        <f t="shared" si="848"/>
        <v>0</v>
      </c>
      <c r="S457" s="92">
        <f t="shared" si="848"/>
        <v>0</v>
      </c>
      <c r="T457" s="92">
        <f>T443+T451+T455</f>
        <v>0</v>
      </c>
      <c r="U457" s="92">
        <f t="shared" si="848"/>
        <v>0</v>
      </c>
      <c r="V457" s="92">
        <f t="shared" si="848"/>
        <v>0</v>
      </c>
      <c r="W457" s="92">
        <f t="shared" si="848"/>
        <v>0</v>
      </c>
      <c r="X457" s="92">
        <f t="shared" si="848"/>
        <v>0</v>
      </c>
      <c r="Y457" s="92">
        <f t="shared" si="848"/>
        <v>0</v>
      </c>
      <c r="Z457" s="92">
        <f t="shared" ref="Z457:AE457" si="849">Z443+Z451+Z455</f>
        <v>0</v>
      </c>
      <c r="AA457" s="92">
        <f t="shared" si="849"/>
        <v>0</v>
      </c>
      <c r="AB457" s="92">
        <f t="shared" si="849"/>
        <v>103143</v>
      </c>
      <c r="AC457" s="92">
        <f t="shared" si="849"/>
        <v>0</v>
      </c>
      <c r="AD457" s="92">
        <f t="shared" si="849"/>
        <v>0</v>
      </c>
      <c r="AE457" s="92">
        <f t="shared" si="849"/>
        <v>0</v>
      </c>
      <c r="AF457" s="92">
        <f t="shared" ref="AF457:AL457" si="850">AF443+AF451+AF455</f>
        <v>5192765</v>
      </c>
      <c r="AG457" s="92">
        <f t="shared" si="850"/>
        <v>51634</v>
      </c>
      <c r="AH457" s="92">
        <f t="shared" si="850"/>
        <v>0</v>
      </c>
      <c r="AI457" s="92">
        <f t="shared" si="850"/>
        <v>0</v>
      </c>
      <c r="AJ457" s="92">
        <f t="shared" si="850"/>
        <v>0</v>
      </c>
      <c r="AK457" s="92">
        <f t="shared" si="850"/>
        <v>0</v>
      </c>
      <c r="AL457" s="92">
        <f t="shared" si="850"/>
        <v>0</v>
      </c>
      <c r="AM457" s="92">
        <f t="shared" ref="AM457:BB457" si="851">AM443+AM451+AM455</f>
        <v>0</v>
      </c>
      <c r="AN457" s="92">
        <f t="shared" si="851"/>
        <v>0</v>
      </c>
      <c r="AO457" s="92">
        <f t="shared" si="851"/>
        <v>0</v>
      </c>
      <c r="AP457" s="92">
        <f t="shared" si="851"/>
        <v>0</v>
      </c>
      <c r="AQ457" s="92">
        <f>AQ443+AQ451+AQ455</f>
        <v>0</v>
      </c>
      <c r="AR457" s="92">
        <f>AR443+AR451+AR455</f>
        <v>0</v>
      </c>
      <c r="AS457" s="92">
        <f t="shared" ref="AS457:AY457" si="852">AS443+AS451+AS455</f>
        <v>0</v>
      </c>
      <c r="AT457" s="92">
        <f t="shared" si="852"/>
        <v>0</v>
      </c>
      <c r="AU457" s="92">
        <f>AU443+AU451+AU455</f>
        <v>0</v>
      </c>
      <c r="AV457" s="92">
        <f t="shared" si="852"/>
        <v>0</v>
      </c>
      <c r="AW457" s="92">
        <f t="shared" si="852"/>
        <v>0</v>
      </c>
      <c r="AX457" s="92">
        <f t="shared" si="852"/>
        <v>0</v>
      </c>
      <c r="AY457" s="92">
        <f t="shared" si="852"/>
        <v>0</v>
      </c>
      <c r="AZ457" s="92">
        <f>AZ443+AZ451+AZ455</f>
        <v>0</v>
      </c>
      <c r="BA457" s="92">
        <f t="shared" si="851"/>
        <v>0</v>
      </c>
      <c r="BB457" s="92">
        <f t="shared" si="851"/>
        <v>0</v>
      </c>
      <c r="BC457" s="92">
        <f>BC443+BC451+BC455</f>
        <v>0</v>
      </c>
      <c r="BD457" s="92">
        <f>BD443+BD451+BD455</f>
        <v>0</v>
      </c>
      <c r="BE457" s="92">
        <f t="shared" ref="BE457:BG457" si="853">BE443+BE451+BE455</f>
        <v>0</v>
      </c>
      <c r="BF457" s="92">
        <f t="shared" si="853"/>
        <v>0</v>
      </c>
      <c r="BG457" s="92">
        <f t="shared" si="853"/>
        <v>0</v>
      </c>
      <c r="BH457" s="92">
        <f t="shared" ref="BH457:BL457" si="854">BH443+BH451+BH455</f>
        <v>0</v>
      </c>
      <c r="BI457" s="92">
        <f t="shared" si="854"/>
        <v>0</v>
      </c>
      <c r="BJ457" s="92">
        <f t="shared" si="854"/>
        <v>0</v>
      </c>
      <c r="BK457" s="92">
        <f t="shared" si="854"/>
        <v>0</v>
      </c>
      <c r="BL457" s="92">
        <f t="shared" si="854"/>
        <v>0</v>
      </c>
    </row>
    <row r="458" spans="1:64" ht="14.1" customHeight="1" thickTop="1">
      <c r="A458" s="379">
        <f t="shared" si="734"/>
        <v>451</v>
      </c>
      <c r="B458" s="129"/>
      <c r="C458" s="129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</row>
    <row r="459" spans="1:64" ht="14.1" customHeight="1">
      <c r="A459" s="379">
        <f t="shared" si="734"/>
        <v>452</v>
      </c>
      <c r="B459" s="20" t="s">
        <v>291</v>
      </c>
      <c r="C459" s="20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</row>
    <row r="460" spans="1:64" ht="14.1" customHeight="1">
      <c r="A460" s="379">
        <f t="shared" si="734"/>
        <v>453</v>
      </c>
      <c r="B460" s="13" t="s">
        <v>292</v>
      </c>
      <c r="C460" s="1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</row>
    <row r="461" spans="1:64" ht="14.1" customHeight="1">
      <c r="A461" s="379">
        <f t="shared" si="734"/>
        <v>454</v>
      </c>
      <c r="B461" s="22" t="s">
        <v>293</v>
      </c>
      <c r="C461" s="38">
        <f>SUM(D461:BI461)</f>
        <v>-96919</v>
      </c>
      <c r="D461" s="43">
        <v>0</v>
      </c>
      <c r="E461" s="43">
        <v>0</v>
      </c>
      <c r="F461" s="43">
        <v>0</v>
      </c>
      <c r="G461" s="43">
        <v>0</v>
      </c>
      <c r="H461" s="43">
        <v>0</v>
      </c>
      <c r="I461" s="43">
        <v>0</v>
      </c>
      <c r="J461" s="43">
        <v>0</v>
      </c>
      <c r="K461" s="43">
        <v>0</v>
      </c>
      <c r="L461" s="43">
        <v>0</v>
      </c>
      <c r="M461" s="43">
        <v>0</v>
      </c>
      <c r="N461" s="43">
        <v>0</v>
      </c>
      <c r="O461" s="43">
        <v>0</v>
      </c>
      <c r="P461" s="43">
        <v>0</v>
      </c>
      <c r="Q461" s="43">
        <v>0</v>
      </c>
      <c r="R461" s="43">
        <v>0</v>
      </c>
      <c r="S461" s="43">
        <v>0</v>
      </c>
      <c r="T461" s="43">
        <v>0</v>
      </c>
      <c r="U461" s="43">
        <v>0</v>
      </c>
      <c r="V461" s="43">
        <v>0</v>
      </c>
      <c r="W461" s="43">
        <v>0</v>
      </c>
      <c r="X461" s="43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f>-20833-86118+10032</f>
        <v>-96919</v>
      </c>
      <c r="AE461" s="43">
        <v>0</v>
      </c>
      <c r="AF461" s="43">
        <v>0</v>
      </c>
      <c r="AG461" s="43">
        <v>0</v>
      </c>
      <c r="AH461" s="43">
        <v>0</v>
      </c>
      <c r="AI461" s="43">
        <v>0</v>
      </c>
      <c r="AJ461" s="43">
        <v>0</v>
      </c>
      <c r="AK461" s="43">
        <v>0</v>
      </c>
      <c r="AL461" s="43">
        <v>0</v>
      </c>
      <c r="AM461" s="43">
        <v>0</v>
      </c>
      <c r="AN461" s="43">
        <v>0</v>
      </c>
      <c r="AO461" s="43">
        <v>0</v>
      </c>
      <c r="AP461" s="43">
        <v>0</v>
      </c>
      <c r="AQ461" s="43">
        <v>0</v>
      </c>
      <c r="AR461" s="43">
        <v>0</v>
      </c>
      <c r="AS461" s="43">
        <v>0</v>
      </c>
      <c r="AT461" s="43">
        <v>0</v>
      </c>
      <c r="AU461" s="43">
        <v>0</v>
      </c>
      <c r="AV461" s="43">
        <v>0</v>
      </c>
      <c r="AW461" s="43">
        <v>0</v>
      </c>
      <c r="AX461" s="43">
        <v>0</v>
      </c>
      <c r="AY461" s="43">
        <v>0</v>
      </c>
      <c r="AZ461" s="43">
        <v>0</v>
      </c>
      <c r="BA461" s="43">
        <v>0</v>
      </c>
      <c r="BB461" s="43">
        <v>0</v>
      </c>
      <c r="BC461" s="43">
        <v>0</v>
      </c>
      <c r="BD461" s="43">
        <v>0</v>
      </c>
      <c r="BE461" s="43">
        <v>0</v>
      </c>
      <c r="BF461" s="43">
        <v>0</v>
      </c>
      <c r="BG461" s="43">
        <v>0</v>
      </c>
      <c r="BH461" s="43">
        <v>0</v>
      </c>
      <c r="BI461" s="43">
        <v>0</v>
      </c>
      <c r="BJ461" s="43">
        <v>0</v>
      </c>
      <c r="BK461" s="43">
        <v>0</v>
      </c>
      <c r="BL461" s="43">
        <v>0</v>
      </c>
    </row>
    <row r="462" spans="1:64" ht="14.1" customHeight="1">
      <c r="A462" s="379">
        <f t="shared" ref="A462:A502" si="855">+A461+1</f>
        <v>455</v>
      </c>
      <c r="B462" s="22" t="s">
        <v>294</v>
      </c>
      <c r="C462" s="38">
        <f>SUM(D462:BI462)</f>
        <v>0</v>
      </c>
      <c r="D462" s="43">
        <v>0</v>
      </c>
      <c r="E462" s="43">
        <v>0</v>
      </c>
      <c r="F462" s="43">
        <v>0</v>
      </c>
      <c r="G462" s="43">
        <v>0</v>
      </c>
      <c r="H462" s="43">
        <v>0</v>
      </c>
      <c r="I462" s="43">
        <v>0</v>
      </c>
      <c r="J462" s="43">
        <v>0</v>
      </c>
      <c r="K462" s="43">
        <v>0</v>
      </c>
      <c r="L462" s="43">
        <v>0</v>
      </c>
      <c r="M462" s="43">
        <v>0</v>
      </c>
      <c r="N462" s="43">
        <v>0</v>
      </c>
      <c r="O462" s="43">
        <v>0</v>
      </c>
      <c r="P462" s="43">
        <v>0</v>
      </c>
      <c r="Q462" s="43">
        <v>0</v>
      </c>
      <c r="R462" s="43">
        <v>0</v>
      </c>
      <c r="S462" s="43">
        <v>0</v>
      </c>
      <c r="T462" s="43">
        <v>0</v>
      </c>
      <c r="U462" s="43">
        <v>0</v>
      </c>
      <c r="V462" s="43">
        <v>0</v>
      </c>
      <c r="W462" s="43">
        <v>0</v>
      </c>
      <c r="X462" s="43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43">
        <v>0</v>
      </c>
      <c r="AF462" s="43">
        <v>0</v>
      </c>
      <c r="AG462" s="43">
        <v>0</v>
      </c>
      <c r="AH462" s="43">
        <v>0</v>
      </c>
      <c r="AI462" s="43">
        <v>0</v>
      </c>
      <c r="AJ462" s="43">
        <v>0</v>
      </c>
      <c r="AK462" s="43">
        <v>0</v>
      </c>
      <c r="AL462" s="43">
        <v>0</v>
      </c>
      <c r="AM462" s="43">
        <v>0</v>
      </c>
      <c r="AN462" s="43">
        <v>0</v>
      </c>
      <c r="AO462" s="43">
        <v>0</v>
      </c>
      <c r="AP462" s="43">
        <v>0</v>
      </c>
      <c r="AQ462" s="43">
        <v>0</v>
      </c>
      <c r="AR462" s="43">
        <v>0</v>
      </c>
      <c r="AS462" s="43">
        <v>0</v>
      </c>
      <c r="AT462" s="43">
        <v>0</v>
      </c>
      <c r="AU462" s="43">
        <v>0</v>
      </c>
      <c r="AV462" s="43">
        <v>0</v>
      </c>
      <c r="AW462" s="43">
        <v>0</v>
      </c>
      <c r="AX462" s="43">
        <v>0</v>
      </c>
      <c r="AY462" s="43">
        <v>0</v>
      </c>
      <c r="AZ462" s="43">
        <v>0</v>
      </c>
      <c r="BA462" s="43">
        <v>0</v>
      </c>
      <c r="BB462" s="43">
        <v>0</v>
      </c>
      <c r="BC462" s="43">
        <v>0</v>
      </c>
      <c r="BD462" s="43">
        <v>0</v>
      </c>
      <c r="BE462" s="43">
        <v>0</v>
      </c>
      <c r="BF462" s="43">
        <v>0</v>
      </c>
      <c r="BG462" s="43">
        <v>0</v>
      </c>
      <c r="BH462" s="43">
        <v>0</v>
      </c>
      <c r="BI462" s="43">
        <v>0</v>
      </c>
      <c r="BJ462" s="43">
        <v>0</v>
      </c>
      <c r="BK462" s="43">
        <v>0</v>
      </c>
      <c r="BL462" s="43">
        <v>0</v>
      </c>
    </row>
    <row r="463" spans="1:64" ht="14.1" customHeight="1">
      <c r="A463" s="379">
        <f t="shared" si="855"/>
        <v>456</v>
      </c>
      <c r="B463" s="56" t="s">
        <v>295</v>
      </c>
      <c r="C463" s="38">
        <f>SUM(D463:BI463)</f>
        <v>0</v>
      </c>
      <c r="D463" s="43">
        <v>0</v>
      </c>
      <c r="E463" s="43">
        <v>0</v>
      </c>
      <c r="F463" s="43">
        <v>0</v>
      </c>
      <c r="G463" s="43">
        <v>0</v>
      </c>
      <c r="H463" s="43">
        <v>0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43">
        <v>0</v>
      </c>
      <c r="Q463" s="43">
        <v>0</v>
      </c>
      <c r="R463" s="43">
        <v>0</v>
      </c>
      <c r="S463" s="43">
        <v>0</v>
      </c>
      <c r="T463" s="43">
        <v>0</v>
      </c>
      <c r="U463" s="43">
        <v>0</v>
      </c>
      <c r="V463" s="43">
        <v>0</v>
      </c>
      <c r="W463" s="43">
        <v>0</v>
      </c>
      <c r="X463" s="43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43">
        <v>0</v>
      </c>
      <c r="AF463" s="43">
        <v>0</v>
      </c>
      <c r="AG463" s="43">
        <v>0</v>
      </c>
      <c r="AH463" s="43">
        <v>0</v>
      </c>
      <c r="AI463" s="43">
        <v>0</v>
      </c>
      <c r="AJ463" s="43">
        <v>0</v>
      </c>
      <c r="AK463" s="43">
        <v>0</v>
      </c>
      <c r="AL463" s="43">
        <v>0</v>
      </c>
      <c r="AM463" s="43">
        <v>0</v>
      </c>
      <c r="AN463" s="43">
        <v>0</v>
      </c>
      <c r="AO463" s="43">
        <v>0</v>
      </c>
      <c r="AP463" s="43">
        <v>0</v>
      </c>
      <c r="AQ463" s="43">
        <v>0</v>
      </c>
      <c r="AR463" s="43">
        <v>0</v>
      </c>
      <c r="AS463" s="43">
        <v>0</v>
      </c>
      <c r="AT463" s="43">
        <v>0</v>
      </c>
      <c r="AU463" s="43">
        <v>0</v>
      </c>
      <c r="AV463" s="43">
        <v>0</v>
      </c>
      <c r="AW463" s="43">
        <v>0</v>
      </c>
      <c r="AX463" s="43">
        <v>0</v>
      </c>
      <c r="AY463" s="43">
        <v>0</v>
      </c>
      <c r="AZ463" s="43">
        <v>0</v>
      </c>
      <c r="BA463" s="43">
        <v>0</v>
      </c>
      <c r="BB463" s="43">
        <v>0</v>
      </c>
      <c r="BC463" s="43">
        <v>0</v>
      </c>
      <c r="BD463" s="43">
        <v>0</v>
      </c>
      <c r="BE463" s="43">
        <v>0</v>
      </c>
      <c r="BF463" s="43">
        <v>0</v>
      </c>
      <c r="BG463" s="43">
        <v>0</v>
      </c>
      <c r="BH463" s="43">
        <v>0</v>
      </c>
      <c r="BI463" s="43">
        <v>0</v>
      </c>
      <c r="BJ463" s="43">
        <v>0</v>
      </c>
      <c r="BK463" s="43">
        <v>0</v>
      </c>
      <c r="BL463" s="43">
        <v>0</v>
      </c>
    </row>
    <row r="464" spans="1:64" ht="14.1" customHeight="1">
      <c r="A464" s="379">
        <f t="shared" si="855"/>
        <v>457</v>
      </c>
      <c r="B464" s="20" t="s">
        <v>519</v>
      </c>
      <c r="C464" s="85">
        <f t="shared" ref="C464:K464" si="856">SUM(C461:C463)</f>
        <v>-96919</v>
      </c>
      <c r="D464" s="85">
        <f t="shared" si="856"/>
        <v>0</v>
      </c>
      <c r="E464" s="85">
        <f t="shared" si="856"/>
        <v>0</v>
      </c>
      <c r="F464" s="85">
        <f t="shared" si="856"/>
        <v>0</v>
      </c>
      <c r="G464" s="85">
        <f t="shared" si="856"/>
        <v>0</v>
      </c>
      <c r="H464" s="85">
        <f t="shared" si="856"/>
        <v>0</v>
      </c>
      <c r="I464" s="85">
        <f t="shared" si="856"/>
        <v>0</v>
      </c>
      <c r="J464" s="85">
        <f t="shared" si="856"/>
        <v>0</v>
      </c>
      <c r="K464" s="85">
        <f t="shared" si="856"/>
        <v>0</v>
      </c>
      <c r="L464" s="85">
        <f t="shared" ref="L464:Y464" si="857">SUM(L461:L463)</f>
        <v>0</v>
      </c>
      <c r="M464" s="85">
        <f t="shared" si="857"/>
        <v>0</v>
      </c>
      <c r="N464" s="85">
        <f t="shared" si="857"/>
        <v>0</v>
      </c>
      <c r="O464" s="85">
        <f t="shared" si="857"/>
        <v>0</v>
      </c>
      <c r="P464" s="85">
        <f t="shared" si="857"/>
        <v>0</v>
      </c>
      <c r="Q464" s="85">
        <f t="shared" si="857"/>
        <v>0</v>
      </c>
      <c r="R464" s="85">
        <f t="shared" si="857"/>
        <v>0</v>
      </c>
      <c r="S464" s="85">
        <f t="shared" si="857"/>
        <v>0</v>
      </c>
      <c r="T464" s="85">
        <f>SUM(T461:T463)</f>
        <v>0</v>
      </c>
      <c r="U464" s="85">
        <f t="shared" si="857"/>
        <v>0</v>
      </c>
      <c r="V464" s="85">
        <f t="shared" si="857"/>
        <v>0</v>
      </c>
      <c r="W464" s="85">
        <f t="shared" si="857"/>
        <v>0</v>
      </c>
      <c r="X464" s="85">
        <f t="shared" si="857"/>
        <v>0</v>
      </c>
      <c r="Y464" s="85">
        <f t="shared" si="857"/>
        <v>0</v>
      </c>
      <c r="Z464" s="85">
        <f t="shared" ref="Z464:AE464" si="858">SUM(Z461:Z463)</f>
        <v>0</v>
      </c>
      <c r="AA464" s="85">
        <f t="shared" si="858"/>
        <v>0</v>
      </c>
      <c r="AB464" s="85">
        <f t="shared" si="858"/>
        <v>0</v>
      </c>
      <c r="AC464" s="85">
        <f t="shared" si="858"/>
        <v>0</v>
      </c>
      <c r="AD464" s="85">
        <f t="shared" si="858"/>
        <v>-96919</v>
      </c>
      <c r="AE464" s="85">
        <f t="shared" si="858"/>
        <v>0</v>
      </c>
      <c r="AF464" s="85">
        <f t="shared" ref="AF464:AL464" si="859">SUM(AF461:AF463)</f>
        <v>0</v>
      </c>
      <c r="AG464" s="85">
        <f t="shared" si="859"/>
        <v>0</v>
      </c>
      <c r="AH464" s="85">
        <f t="shared" si="859"/>
        <v>0</v>
      </c>
      <c r="AI464" s="85">
        <f t="shared" si="859"/>
        <v>0</v>
      </c>
      <c r="AJ464" s="85">
        <f t="shared" si="859"/>
        <v>0</v>
      </c>
      <c r="AK464" s="85">
        <f t="shared" si="859"/>
        <v>0</v>
      </c>
      <c r="AL464" s="85">
        <f t="shared" si="859"/>
        <v>0</v>
      </c>
      <c r="AM464" s="85">
        <f t="shared" ref="AM464:BB464" si="860">SUM(AM461:AM463)</f>
        <v>0</v>
      </c>
      <c r="AN464" s="85">
        <f t="shared" si="860"/>
        <v>0</v>
      </c>
      <c r="AO464" s="85">
        <f t="shared" si="860"/>
        <v>0</v>
      </c>
      <c r="AP464" s="85">
        <f t="shared" si="860"/>
        <v>0</v>
      </c>
      <c r="AQ464" s="85">
        <f>SUM(AQ461:AQ463)</f>
        <v>0</v>
      </c>
      <c r="AR464" s="85">
        <f>SUM(AR461:AR463)</f>
        <v>0</v>
      </c>
      <c r="AS464" s="85">
        <f t="shared" ref="AS464:AY464" si="861">SUM(AS461:AS463)</f>
        <v>0</v>
      </c>
      <c r="AT464" s="85">
        <f t="shared" si="861"/>
        <v>0</v>
      </c>
      <c r="AU464" s="85">
        <f>SUM(AU461:AU463)</f>
        <v>0</v>
      </c>
      <c r="AV464" s="85">
        <f t="shared" si="861"/>
        <v>0</v>
      </c>
      <c r="AW464" s="85">
        <f t="shared" si="861"/>
        <v>0</v>
      </c>
      <c r="AX464" s="85">
        <f t="shared" si="861"/>
        <v>0</v>
      </c>
      <c r="AY464" s="85">
        <f t="shared" si="861"/>
        <v>0</v>
      </c>
      <c r="AZ464" s="85">
        <f>SUM(AZ461:AZ463)</f>
        <v>0</v>
      </c>
      <c r="BA464" s="85">
        <f t="shared" si="860"/>
        <v>0</v>
      </c>
      <c r="BB464" s="85">
        <f t="shared" si="860"/>
        <v>0</v>
      </c>
      <c r="BC464" s="85">
        <f>SUM(BC461:BC463)</f>
        <v>0</v>
      </c>
      <c r="BD464" s="85">
        <f>SUM(BD461:BD463)</f>
        <v>0</v>
      </c>
      <c r="BE464" s="85">
        <f t="shared" ref="BE464:BG464" si="862">SUM(BE461:BE463)</f>
        <v>0</v>
      </c>
      <c r="BF464" s="85">
        <f t="shared" si="862"/>
        <v>0</v>
      </c>
      <c r="BG464" s="85">
        <f t="shared" si="862"/>
        <v>0</v>
      </c>
      <c r="BH464" s="85">
        <f t="shared" ref="BH464:BL464" si="863">SUM(BH461:BH463)</f>
        <v>0</v>
      </c>
      <c r="BI464" s="85">
        <f t="shared" si="863"/>
        <v>0</v>
      </c>
      <c r="BJ464" s="85">
        <f t="shared" si="863"/>
        <v>0</v>
      </c>
      <c r="BK464" s="85">
        <f t="shared" si="863"/>
        <v>0</v>
      </c>
      <c r="BL464" s="85">
        <f t="shared" si="863"/>
        <v>0</v>
      </c>
    </row>
    <row r="465" spans="1:64" ht="14.1" customHeight="1">
      <c r="A465" s="379">
        <f t="shared" si="855"/>
        <v>458</v>
      </c>
      <c r="B465" s="129"/>
      <c r="C465" s="129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</row>
    <row r="466" spans="1:64" ht="14.1" customHeight="1">
      <c r="A466" s="379">
        <f t="shared" si="855"/>
        <v>459</v>
      </c>
      <c r="B466" s="22" t="s">
        <v>530</v>
      </c>
      <c r="C466" s="38">
        <f t="shared" ref="C466:C475" si="864">SUM(D466:BI466)</f>
        <v>1338237</v>
      </c>
      <c r="D466" s="43">
        <v>0</v>
      </c>
      <c r="E466" s="43">
        <v>0</v>
      </c>
      <c r="F466" s="43">
        <v>-189598</v>
      </c>
      <c r="G466" s="43">
        <v>0</v>
      </c>
      <c r="H466" s="43">
        <v>0</v>
      </c>
      <c r="I466" s="43">
        <v>0</v>
      </c>
      <c r="J466" s="43">
        <v>0</v>
      </c>
      <c r="K466" s="43">
        <v>0</v>
      </c>
      <c r="L466" s="43">
        <v>0</v>
      </c>
      <c r="M466" s="43">
        <v>0</v>
      </c>
      <c r="N466" s="43">
        <v>0</v>
      </c>
      <c r="O466" s="43">
        <v>0</v>
      </c>
      <c r="P466" s="43">
        <v>0</v>
      </c>
      <c r="Q466" s="43">
        <v>0</v>
      </c>
      <c r="R466" s="43">
        <v>0</v>
      </c>
      <c r="S466" s="43">
        <v>0</v>
      </c>
      <c r="T466" s="43">
        <v>0</v>
      </c>
      <c r="U466" s="43">
        <v>0</v>
      </c>
      <c r="V466" s="43">
        <v>0</v>
      </c>
      <c r="W466" s="43">
        <v>0</v>
      </c>
      <c r="X466" s="43">
        <v>0</v>
      </c>
      <c r="Y466" s="43">
        <v>0</v>
      </c>
      <c r="Z466" s="43">
        <v>0</v>
      </c>
      <c r="AA466" s="43">
        <v>0</v>
      </c>
      <c r="AB466" s="43">
        <v>0</v>
      </c>
      <c r="AC466" s="43">
        <v>0</v>
      </c>
      <c r="AD466" s="43">
        <v>0</v>
      </c>
      <c r="AE466" s="43">
        <v>0</v>
      </c>
      <c r="AF466" s="43">
        <v>0</v>
      </c>
      <c r="AG466" s="43">
        <v>0</v>
      </c>
      <c r="AH466" s="43">
        <v>0</v>
      </c>
      <c r="AI466" s="43">
        <v>0</v>
      </c>
      <c r="AJ466" s="43">
        <v>0</v>
      </c>
      <c r="AK466" s="43">
        <v>0</v>
      </c>
      <c r="AL466" s="43">
        <v>0</v>
      </c>
      <c r="AM466" s="43">
        <v>0</v>
      </c>
      <c r="AN466" s="43">
        <v>0</v>
      </c>
      <c r="AO466" s="43">
        <v>0</v>
      </c>
      <c r="AP466" s="43">
        <v>0</v>
      </c>
      <c r="AQ466" s="43">
        <v>0</v>
      </c>
      <c r="AR466" s="43">
        <v>0</v>
      </c>
      <c r="AS466" s="43">
        <v>0</v>
      </c>
      <c r="AT466" s="43">
        <v>0</v>
      </c>
      <c r="AU466" s="43">
        <v>0</v>
      </c>
      <c r="AV466" s="43">
        <v>0</v>
      </c>
      <c r="AW466" s="43">
        <v>0</v>
      </c>
      <c r="AX466" s="43">
        <v>0</v>
      </c>
      <c r="AY466" s="43">
        <v>0</v>
      </c>
      <c r="AZ466" s="43">
        <v>1527835</v>
      </c>
      <c r="BA466" s="43">
        <v>0</v>
      </c>
      <c r="BB466" s="43">
        <v>0</v>
      </c>
      <c r="BC466" s="43">
        <v>0</v>
      </c>
      <c r="BD466" s="43">
        <v>0</v>
      </c>
      <c r="BE466" s="43">
        <v>0</v>
      </c>
      <c r="BF466" s="43">
        <v>0</v>
      </c>
      <c r="BG466" s="43">
        <v>0</v>
      </c>
      <c r="BH466" s="43">
        <v>0</v>
      </c>
      <c r="BI466" s="43">
        <v>0</v>
      </c>
      <c r="BJ466" s="43">
        <v>0</v>
      </c>
      <c r="BK466" s="43">
        <v>0</v>
      </c>
      <c r="BL466" s="43">
        <v>0</v>
      </c>
    </row>
    <row r="467" spans="1:64" ht="14.1" customHeight="1">
      <c r="A467" s="379">
        <f t="shared" si="855"/>
        <v>460</v>
      </c>
      <c r="B467" s="22" t="s">
        <v>325</v>
      </c>
      <c r="C467" s="38">
        <f t="shared" si="864"/>
        <v>0</v>
      </c>
      <c r="D467" s="43">
        <v>0</v>
      </c>
      <c r="E467" s="43">
        <v>0</v>
      </c>
      <c r="F467" s="43">
        <v>0</v>
      </c>
      <c r="G467" s="43">
        <v>0</v>
      </c>
      <c r="H467" s="43">
        <v>0</v>
      </c>
      <c r="I467" s="43">
        <v>0</v>
      </c>
      <c r="J467" s="43">
        <v>0</v>
      </c>
      <c r="K467" s="43">
        <v>0</v>
      </c>
      <c r="L467" s="43">
        <v>0</v>
      </c>
      <c r="M467" s="43">
        <v>0</v>
      </c>
      <c r="N467" s="43">
        <v>0</v>
      </c>
      <c r="O467" s="43">
        <v>0</v>
      </c>
      <c r="P467" s="43">
        <v>0</v>
      </c>
      <c r="Q467" s="43">
        <v>0</v>
      </c>
      <c r="R467" s="43">
        <v>0</v>
      </c>
      <c r="S467" s="43">
        <v>0</v>
      </c>
      <c r="T467" s="43">
        <v>0</v>
      </c>
      <c r="U467" s="43">
        <v>0</v>
      </c>
      <c r="V467" s="43">
        <v>0</v>
      </c>
      <c r="W467" s="43">
        <v>0</v>
      </c>
      <c r="X467" s="43">
        <v>0</v>
      </c>
      <c r="Y467" s="43">
        <v>0</v>
      </c>
      <c r="Z467" s="43">
        <v>0</v>
      </c>
      <c r="AA467" s="43">
        <v>0</v>
      </c>
      <c r="AB467" s="43">
        <v>0</v>
      </c>
      <c r="AC467" s="43">
        <v>0</v>
      </c>
      <c r="AD467" s="43">
        <v>0</v>
      </c>
      <c r="AE467" s="43">
        <v>0</v>
      </c>
      <c r="AF467" s="43">
        <v>0</v>
      </c>
      <c r="AG467" s="43">
        <v>0</v>
      </c>
      <c r="AH467" s="43">
        <v>0</v>
      </c>
      <c r="AI467" s="43">
        <v>0</v>
      </c>
      <c r="AJ467" s="43">
        <v>0</v>
      </c>
      <c r="AK467" s="43">
        <v>0</v>
      </c>
      <c r="AL467" s="43">
        <v>0</v>
      </c>
      <c r="AM467" s="43">
        <v>0</v>
      </c>
      <c r="AN467" s="43">
        <v>0</v>
      </c>
      <c r="AO467" s="43">
        <v>0</v>
      </c>
      <c r="AP467" s="43">
        <v>0</v>
      </c>
      <c r="AQ467" s="43">
        <v>0</v>
      </c>
      <c r="AR467" s="43">
        <v>0</v>
      </c>
      <c r="AS467" s="43">
        <v>0</v>
      </c>
      <c r="AT467" s="43">
        <v>0</v>
      </c>
      <c r="AU467" s="43">
        <v>0</v>
      </c>
      <c r="AV467" s="43">
        <v>0</v>
      </c>
      <c r="AW467" s="43">
        <v>0</v>
      </c>
      <c r="AX467" s="43">
        <v>0</v>
      </c>
      <c r="AY467" s="43">
        <v>0</v>
      </c>
      <c r="AZ467" s="43">
        <v>0</v>
      </c>
      <c r="BA467" s="43">
        <v>0</v>
      </c>
      <c r="BB467" s="43">
        <v>0</v>
      </c>
      <c r="BC467" s="43">
        <v>0</v>
      </c>
      <c r="BD467" s="43">
        <v>0</v>
      </c>
      <c r="BE467" s="43">
        <v>0</v>
      </c>
      <c r="BF467" s="43">
        <v>0</v>
      </c>
      <c r="BG467" s="43">
        <v>0</v>
      </c>
      <c r="BH467" s="43">
        <v>0</v>
      </c>
      <c r="BI467" s="43">
        <v>0</v>
      </c>
      <c r="BJ467" s="43">
        <v>0</v>
      </c>
      <c r="BK467" s="43">
        <v>0</v>
      </c>
      <c r="BL467" s="43">
        <v>0</v>
      </c>
    </row>
    <row r="468" spans="1:64" ht="14.1" customHeight="1">
      <c r="A468" s="379">
        <f t="shared" si="855"/>
        <v>461</v>
      </c>
      <c r="B468" s="22" t="s">
        <v>326</v>
      </c>
      <c r="C468" s="38">
        <f t="shared" si="864"/>
        <v>5435</v>
      </c>
      <c r="D468" s="43">
        <v>0</v>
      </c>
      <c r="E468" s="43">
        <v>0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0</v>
      </c>
      <c r="N468" s="43">
        <v>0</v>
      </c>
      <c r="O468" s="43">
        <v>0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  <c r="Z468" s="43">
        <v>0</v>
      </c>
      <c r="AA468" s="43">
        <v>0</v>
      </c>
      <c r="AB468" s="43">
        <v>0</v>
      </c>
      <c r="AC468" s="43">
        <v>0</v>
      </c>
      <c r="AD468" s="43">
        <v>0</v>
      </c>
      <c r="AE468" s="43">
        <v>0</v>
      </c>
      <c r="AF468" s="43">
        <v>0</v>
      </c>
      <c r="AG468" s="43">
        <v>0</v>
      </c>
      <c r="AH468" s="43">
        <v>0</v>
      </c>
      <c r="AI468" s="43">
        <v>5435</v>
      </c>
      <c r="AJ468" s="43">
        <v>0</v>
      </c>
      <c r="AK468" s="43">
        <v>0</v>
      </c>
      <c r="AL468" s="43">
        <v>0</v>
      </c>
      <c r="AM468" s="43">
        <v>0</v>
      </c>
      <c r="AN468" s="43">
        <v>0</v>
      </c>
      <c r="AO468" s="43">
        <v>0</v>
      </c>
      <c r="AP468" s="43">
        <v>0</v>
      </c>
      <c r="AQ468" s="43">
        <v>0</v>
      </c>
      <c r="AR468" s="43">
        <v>0</v>
      </c>
      <c r="AS468" s="43">
        <v>0</v>
      </c>
      <c r="AT468" s="43">
        <v>0</v>
      </c>
      <c r="AU468" s="43">
        <v>0</v>
      </c>
      <c r="AV468" s="43">
        <v>0</v>
      </c>
      <c r="AW468" s="43">
        <v>0</v>
      </c>
      <c r="AX468" s="43">
        <v>0</v>
      </c>
      <c r="AY468" s="43">
        <v>0</v>
      </c>
      <c r="AZ468" s="43">
        <v>0</v>
      </c>
      <c r="BA468" s="43">
        <v>0</v>
      </c>
      <c r="BB468" s="43">
        <v>0</v>
      </c>
      <c r="BC468" s="43">
        <v>0</v>
      </c>
      <c r="BD468" s="43">
        <v>0</v>
      </c>
      <c r="BE468" s="43">
        <v>0</v>
      </c>
      <c r="BF468" s="43">
        <v>0</v>
      </c>
      <c r="BG468" s="43">
        <v>0</v>
      </c>
      <c r="BH468" s="43">
        <v>0</v>
      </c>
      <c r="BI468" s="43">
        <v>0</v>
      </c>
      <c r="BJ468" s="43">
        <v>0</v>
      </c>
      <c r="BK468" s="43">
        <v>0</v>
      </c>
      <c r="BL468" s="43">
        <v>0</v>
      </c>
    </row>
    <row r="469" spans="1:64" ht="14.1" customHeight="1">
      <c r="A469" s="379">
        <f t="shared" si="855"/>
        <v>462</v>
      </c>
      <c r="B469" s="22" t="s">
        <v>298</v>
      </c>
      <c r="C469" s="38">
        <f t="shared" si="864"/>
        <v>-407790</v>
      </c>
      <c r="D469" s="43">
        <v>0</v>
      </c>
      <c r="E469" s="43">
        <v>0</v>
      </c>
      <c r="F469" s="43">
        <v>0</v>
      </c>
      <c r="G469" s="43">
        <v>0</v>
      </c>
      <c r="H469" s="43">
        <v>0</v>
      </c>
      <c r="I469" s="43">
        <v>0</v>
      </c>
      <c r="J469" s="43">
        <v>0</v>
      </c>
      <c r="K469" s="43">
        <v>0</v>
      </c>
      <c r="L469" s="43">
        <v>0</v>
      </c>
      <c r="M469" s="43">
        <v>0</v>
      </c>
      <c r="N469" s="43">
        <v>0</v>
      </c>
      <c r="O469" s="43">
        <v>0</v>
      </c>
      <c r="P469" s="43">
        <v>0</v>
      </c>
      <c r="Q469" s="43">
        <v>0</v>
      </c>
      <c r="R469" s="43">
        <v>0</v>
      </c>
      <c r="S469" s="43">
        <v>0</v>
      </c>
      <c r="T469" s="43">
        <v>0</v>
      </c>
      <c r="U469" s="43">
        <v>0</v>
      </c>
      <c r="V469" s="43">
        <v>0</v>
      </c>
      <c r="W469" s="43">
        <v>0</v>
      </c>
      <c r="X469" s="43">
        <v>0</v>
      </c>
      <c r="Y469" s="43">
        <v>0</v>
      </c>
      <c r="Z469" s="43">
        <v>0</v>
      </c>
      <c r="AA469" s="43">
        <v>0</v>
      </c>
      <c r="AB469" s="43">
        <v>0</v>
      </c>
      <c r="AC469" s="43">
        <v>0</v>
      </c>
      <c r="AD469" s="43">
        <v>0</v>
      </c>
      <c r="AE469" s="43">
        <v>0</v>
      </c>
      <c r="AF469" s="43">
        <v>0</v>
      </c>
      <c r="AG469" s="43">
        <v>0</v>
      </c>
      <c r="AH469" s="43">
        <v>0</v>
      </c>
      <c r="AI469" s="43">
        <v>0</v>
      </c>
      <c r="AJ469" s="43">
        <v>0</v>
      </c>
      <c r="AK469" s="43">
        <v>0</v>
      </c>
      <c r="AL469" s="43">
        <v>0</v>
      </c>
      <c r="AM469" s="43">
        <v>0</v>
      </c>
      <c r="AN469" s="43">
        <v>0</v>
      </c>
      <c r="AO469" s="43">
        <v>0</v>
      </c>
      <c r="AP469" s="43">
        <v>0</v>
      </c>
      <c r="AQ469" s="43">
        <v>0</v>
      </c>
      <c r="AR469" s="43">
        <v>0</v>
      </c>
      <c r="AS469" s="43">
        <v>0</v>
      </c>
      <c r="AT469" s="43">
        <v>0</v>
      </c>
      <c r="AU469" s="43">
        <v>0</v>
      </c>
      <c r="AV469" s="43">
        <v>0</v>
      </c>
      <c r="AW469" s="43">
        <v>0</v>
      </c>
      <c r="AX469" s="43">
        <v>0</v>
      </c>
      <c r="AY469" s="43">
        <v>0</v>
      </c>
      <c r="AZ469" s="43">
        <v>0</v>
      </c>
      <c r="BA469" s="43">
        <v>-407790</v>
      </c>
      <c r="BB469" s="43">
        <v>0</v>
      </c>
      <c r="BC469" s="43">
        <v>0</v>
      </c>
      <c r="BD469" s="43">
        <v>0</v>
      </c>
      <c r="BE469" s="43">
        <v>0</v>
      </c>
      <c r="BF469" s="43">
        <v>0</v>
      </c>
      <c r="BG469" s="43">
        <v>0</v>
      </c>
      <c r="BH469" s="43">
        <v>0</v>
      </c>
      <c r="BI469" s="43">
        <v>0</v>
      </c>
      <c r="BJ469" s="43">
        <v>0</v>
      </c>
      <c r="BK469" s="43">
        <v>0</v>
      </c>
      <c r="BL469" s="43">
        <v>0</v>
      </c>
    </row>
    <row r="470" spans="1:64" ht="14.1" customHeight="1">
      <c r="A470" s="379">
        <f t="shared" si="855"/>
        <v>463</v>
      </c>
      <c r="B470" s="22" t="s">
        <v>299</v>
      </c>
      <c r="C470" s="38">
        <f t="shared" si="864"/>
        <v>0</v>
      </c>
      <c r="D470" s="43">
        <v>0</v>
      </c>
      <c r="E470" s="43">
        <v>0</v>
      </c>
      <c r="F470" s="43">
        <v>0</v>
      </c>
      <c r="G470" s="43">
        <v>0</v>
      </c>
      <c r="H470" s="43">
        <v>0</v>
      </c>
      <c r="I470" s="43">
        <v>0</v>
      </c>
      <c r="J470" s="43">
        <v>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0</v>
      </c>
      <c r="Q470" s="43">
        <v>0</v>
      </c>
      <c r="R470" s="43">
        <v>0</v>
      </c>
      <c r="S470" s="43">
        <v>0</v>
      </c>
      <c r="T470" s="43">
        <v>0</v>
      </c>
      <c r="U470" s="43">
        <v>0</v>
      </c>
      <c r="V470" s="43">
        <v>0</v>
      </c>
      <c r="W470" s="43">
        <v>0</v>
      </c>
      <c r="X470" s="43">
        <v>0</v>
      </c>
      <c r="Y470" s="43">
        <v>0</v>
      </c>
      <c r="Z470" s="43">
        <v>0</v>
      </c>
      <c r="AA470" s="43">
        <v>0</v>
      </c>
      <c r="AB470" s="43">
        <v>0</v>
      </c>
      <c r="AC470" s="43">
        <v>0</v>
      </c>
      <c r="AD470" s="43">
        <v>0</v>
      </c>
      <c r="AE470" s="43">
        <v>0</v>
      </c>
      <c r="AF470" s="43">
        <v>0</v>
      </c>
      <c r="AG470" s="43">
        <v>0</v>
      </c>
      <c r="AH470" s="43">
        <v>0</v>
      </c>
      <c r="AI470" s="43">
        <v>0</v>
      </c>
      <c r="AJ470" s="43">
        <v>0</v>
      </c>
      <c r="AK470" s="43">
        <v>0</v>
      </c>
      <c r="AL470" s="43">
        <v>0</v>
      </c>
      <c r="AM470" s="43">
        <v>0</v>
      </c>
      <c r="AN470" s="43">
        <v>0</v>
      </c>
      <c r="AO470" s="43">
        <v>0</v>
      </c>
      <c r="AP470" s="43">
        <v>0</v>
      </c>
      <c r="AQ470" s="43">
        <v>0</v>
      </c>
      <c r="AR470" s="43">
        <v>0</v>
      </c>
      <c r="AS470" s="43">
        <v>0</v>
      </c>
      <c r="AT470" s="43">
        <v>0</v>
      </c>
      <c r="AU470" s="43">
        <v>0</v>
      </c>
      <c r="AV470" s="43">
        <v>0</v>
      </c>
      <c r="AW470" s="43">
        <v>0</v>
      </c>
      <c r="AX470" s="43">
        <v>0</v>
      </c>
      <c r="AY470" s="43">
        <v>0</v>
      </c>
      <c r="AZ470" s="43">
        <v>0</v>
      </c>
      <c r="BA470" s="43">
        <v>0</v>
      </c>
      <c r="BB470" s="43">
        <v>0</v>
      </c>
      <c r="BC470" s="43">
        <v>0</v>
      </c>
      <c r="BD470" s="43">
        <v>0</v>
      </c>
      <c r="BE470" s="43">
        <v>0</v>
      </c>
      <c r="BF470" s="43">
        <v>0</v>
      </c>
      <c r="BG470" s="43">
        <v>0</v>
      </c>
      <c r="BH470" s="43">
        <v>0</v>
      </c>
      <c r="BI470" s="43">
        <v>0</v>
      </c>
      <c r="BJ470" s="43">
        <v>0</v>
      </c>
      <c r="BK470" s="43">
        <v>0</v>
      </c>
      <c r="BL470" s="43">
        <v>0</v>
      </c>
    </row>
    <row r="471" spans="1:64" ht="14.1" customHeight="1">
      <c r="A471" s="379">
        <f t="shared" si="855"/>
        <v>464</v>
      </c>
      <c r="B471" s="22" t="s">
        <v>787</v>
      </c>
      <c r="C471" s="38">
        <f t="shared" si="864"/>
        <v>-39197</v>
      </c>
      <c r="D471" s="43">
        <v>0</v>
      </c>
      <c r="E471" s="43">
        <v>0</v>
      </c>
      <c r="F471" s="43">
        <v>0</v>
      </c>
      <c r="G471" s="43">
        <v>0</v>
      </c>
      <c r="H471" s="43">
        <v>0</v>
      </c>
      <c r="I471" s="43">
        <v>0</v>
      </c>
      <c r="J471" s="43">
        <v>0</v>
      </c>
      <c r="K471" s="43">
        <v>0</v>
      </c>
      <c r="L471" s="43">
        <v>0</v>
      </c>
      <c r="M471" s="43">
        <v>0</v>
      </c>
      <c r="N471" s="43">
        <v>0</v>
      </c>
      <c r="O471" s="43">
        <v>0</v>
      </c>
      <c r="P471" s="43">
        <v>0</v>
      </c>
      <c r="Q471" s="43">
        <v>0</v>
      </c>
      <c r="R471" s="43">
        <v>0</v>
      </c>
      <c r="S471" s="43">
        <v>0</v>
      </c>
      <c r="T471" s="43">
        <v>0</v>
      </c>
      <c r="U471" s="43">
        <v>0</v>
      </c>
      <c r="V471" s="43">
        <v>0</v>
      </c>
      <c r="W471" s="43">
        <v>0</v>
      </c>
      <c r="X471" s="43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43">
        <v>0</v>
      </c>
      <c r="AF471" s="43">
        <v>0</v>
      </c>
      <c r="AG471" s="43">
        <v>0</v>
      </c>
      <c r="AH471" s="43">
        <v>0</v>
      </c>
      <c r="AI471" s="43">
        <v>0</v>
      </c>
      <c r="AJ471" s="43">
        <v>0</v>
      </c>
      <c r="AK471" s="43">
        <v>0</v>
      </c>
      <c r="AL471" s="43">
        <v>0</v>
      </c>
      <c r="AM471" s="43">
        <v>0</v>
      </c>
      <c r="AN471" s="43">
        <v>0</v>
      </c>
      <c r="AO471" s="43">
        <v>0</v>
      </c>
      <c r="AP471" s="43">
        <v>0</v>
      </c>
      <c r="AQ471" s="43">
        <v>0</v>
      </c>
      <c r="AR471" s="43">
        <v>0</v>
      </c>
      <c r="AS471" s="43">
        <v>0</v>
      </c>
      <c r="AT471" s="43">
        <v>0</v>
      </c>
      <c r="AU471" s="43">
        <v>0</v>
      </c>
      <c r="AV471" s="43">
        <v>0</v>
      </c>
      <c r="AW471" s="43">
        <v>0</v>
      </c>
      <c r="AX471" s="43">
        <v>0</v>
      </c>
      <c r="AY471" s="43">
        <v>0</v>
      </c>
      <c r="AZ471" s="43">
        <v>0</v>
      </c>
      <c r="BA471" s="43">
        <v>0</v>
      </c>
      <c r="BB471" s="43">
        <v>-39197</v>
      </c>
      <c r="BC471" s="43">
        <v>0</v>
      </c>
      <c r="BD471" s="43">
        <v>0</v>
      </c>
      <c r="BE471" s="43">
        <v>0</v>
      </c>
      <c r="BF471" s="43">
        <v>0</v>
      </c>
      <c r="BG471" s="43">
        <v>0</v>
      </c>
      <c r="BH471" s="43">
        <v>0</v>
      </c>
      <c r="BI471" s="43">
        <v>0</v>
      </c>
      <c r="BJ471" s="43">
        <v>0</v>
      </c>
      <c r="BK471" s="43">
        <v>0</v>
      </c>
      <c r="BL471" s="43">
        <v>0</v>
      </c>
    </row>
    <row r="472" spans="1:64" ht="13.5" customHeight="1">
      <c r="A472" s="379">
        <f t="shared" si="855"/>
        <v>465</v>
      </c>
      <c r="B472" s="22" t="s">
        <v>327</v>
      </c>
      <c r="C472" s="38">
        <f t="shared" si="864"/>
        <v>0</v>
      </c>
      <c r="D472" s="43">
        <v>0</v>
      </c>
      <c r="E472" s="43">
        <v>0</v>
      </c>
      <c r="F472" s="43"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43">
        <v>0</v>
      </c>
      <c r="Q472" s="43">
        <v>0</v>
      </c>
      <c r="R472" s="43">
        <v>0</v>
      </c>
      <c r="S472" s="43">
        <v>0</v>
      </c>
      <c r="T472" s="43">
        <v>0</v>
      </c>
      <c r="U472" s="43">
        <v>0</v>
      </c>
      <c r="V472" s="43">
        <v>0</v>
      </c>
      <c r="W472" s="43">
        <v>0</v>
      </c>
      <c r="X472" s="43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0</v>
      </c>
      <c r="AJ472" s="43">
        <v>0</v>
      </c>
      <c r="AK472" s="43">
        <v>0</v>
      </c>
      <c r="AL472" s="43">
        <v>0</v>
      </c>
      <c r="AM472" s="43">
        <v>0</v>
      </c>
      <c r="AN472" s="43">
        <v>0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  <c r="AU472" s="43">
        <v>0</v>
      </c>
      <c r="AV472" s="43">
        <v>0</v>
      </c>
      <c r="AW472" s="43">
        <v>0</v>
      </c>
      <c r="AX472" s="43">
        <v>0</v>
      </c>
      <c r="AY472" s="43">
        <v>0</v>
      </c>
      <c r="AZ472" s="43">
        <v>0</v>
      </c>
      <c r="BA472" s="43">
        <v>0</v>
      </c>
      <c r="BB472" s="43">
        <v>0</v>
      </c>
      <c r="BC472" s="43">
        <v>0</v>
      </c>
      <c r="BD472" s="43">
        <v>0</v>
      </c>
      <c r="BE472" s="43">
        <v>0</v>
      </c>
      <c r="BF472" s="43">
        <v>0</v>
      </c>
      <c r="BG472" s="43">
        <v>0</v>
      </c>
      <c r="BH472" s="43">
        <v>0</v>
      </c>
      <c r="BI472" s="43">
        <v>0</v>
      </c>
      <c r="BJ472" s="43">
        <v>0</v>
      </c>
      <c r="BK472" s="43">
        <v>0</v>
      </c>
      <c r="BL472" s="43">
        <v>0</v>
      </c>
    </row>
    <row r="473" spans="1:64" ht="13.5" customHeight="1">
      <c r="A473" s="379">
        <f t="shared" si="855"/>
        <v>466</v>
      </c>
      <c r="B473" s="22" t="s">
        <v>300</v>
      </c>
      <c r="C473" s="38">
        <f t="shared" si="864"/>
        <v>0</v>
      </c>
      <c r="D473" s="43">
        <v>0</v>
      </c>
      <c r="E473" s="43">
        <v>0</v>
      </c>
      <c r="F473" s="43">
        <v>0</v>
      </c>
      <c r="G473" s="43">
        <v>0</v>
      </c>
      <c r="H473" s="43">
        <v>0</v>
      </c>
      <c r="I473" s="43">
        <v>0</v>
      </c>
      <c r="J473" s="43">
        <v>0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  <c r="R473" s="43">
        <v>0</v>
      </c>
      <c r="S473" s="43">
        <v>0</v>
      </c>
      <c r="T473" s="43">
        <v>0</v>
      </c>
      <c r="U473" s="43">
        <v>0</v>
      </c>
      <c r="V473" s="43">
        <v>0</v>
      </c>
      <c r="W473" s="43">
        <v>0</v>
      </c>
      <c r="X473" s="43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43">
        <v>0</v>
      </c>
      <c r="AF473" s="43">
        <v>0</v>
      </c>
      <c r="AG473" s="43">
        <v>0</v>
      </c>
      <c r="AH473" s="43">
        <v>0</v>
      </c>
      <c r="AI473" s="43">
        <v>0</v>
      </c>
      <c r="AJ473" s="43">
        <v>0</v>
      </c>
      <c r="AK473" s="43">
        <v>0</v>
      </c>
      <c r="AL473" s="43">
        <v>0</v>
      </c>
      <c r="AM473" s="43">
        <v>0</v>
      </c>
      <c r="AN473" s="43">
        <v>0</v>
      </c>
      <c r="AO473" s="43">
        <v>0</v>
      </c>
      <c r="AP473" s="43">
        <v>0</v>
      </c>
      <c r="AQ473" s="43">
        <v>0</v>
      </c>
      <c r="AR473" s="43">
        <v>0</v>
      </c>
      <c r="AS473" s="43">
        <v>0</v>
      </c>
      <c r="AT473" s="43">
        <v>0</v>
      </c>
      <c r="AU473" s="43">
        <v>0</v>
      </c>
      <c r="AV473" s="43">
        <v>0</v>
      </c>
      <c r="AW473" s="43">
        <v>0</v>
      </c>
      <c r="AX473" s="43">
        <v>0</v>
      </c>
      <c r="AY473" s="43">
        <v>0</v>
      </c>
      <c r="AZ473" s="43">
        <v>0</v>
      </c>
      <c r="BA473" s="43">
        <v>0</v>
      </c>
      <c r="BB473" s="43">
        <v>0</v>
      </c>
      <c r="BC473" s="43">
        <v>0</v>
      </c>
      <c r="BD473" s="43">
        <v>0</v>
      </c>
      <c r="BE473" s="43">
        <v>0</v>
      </c>
      <c r="BF473" s="43">
        <v>0</v>
      </c>
      <c r="BG473" s="43">
        <v>0</v>
      </c>
      <c r="BH473" s="43">
        <v>0</v>
      </c>
      <c r="BI473" s="43">
        <v>0</v>
      </c>
      <c r="BJ473" s="43">
        <v>0</v>
      </c>
      <c r="BK473" s="43">
        <v>0</v>
      </c>
      <c r="BL473" s="43">
        <v>0</v>
      </c>
    </row>
    <row r="474" spans="1:64" ht="14.1" customHeight="1">
      <c r="A474" s="379">
        <f t="shared" si="855"/>
        <v>467</v>
      </c>
      <c r="B474" s="22" t="s">
        <v>301</v>
      </c>
      <c r="C474" s="38">
        <f t="shared" si="864"/>
        <v>0</v>
      </c>
      <c r="D474" s="43">
        <v>0</v>
      </c>
      <c r="E474" s="43">
        <v>0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  <c r="R474" s="43">
        <v>0</v>
      </c>
      <c r="S474" s="43">
        <v>0</v>
      </c>
      <c r="T474" s="43">
        <v>0</v>
      </c>
      <c r="U474" s="43">
        <v>0</v>
      </c>
      <c r="V474" s="43">
        <v>0</v>
      </c>
      <c r="W474" s="43">
        <v>0</v>
      </c>
      <c r="X474" s="43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43">
        <v>0</v>
      </c>
      <c r="AF474" s="43">
        <v>0</v>
      </c>
      <c r="AG474" s="43">
        <v>0</v>
      </c>
      <c r="AH474" s="43">
        <v>0</v>
      </c>
      <c r="AI474" s="43">
        <v>0</v>
      </c>
      <c r="AJ474" s="43">
        <v>0</v>
      </c>
      <c r="AK474" s="43">
        <v>0</v>
      </c>
      <c r="AL474" s="43">
        <v>0</v>
      </c>
      <c r="AM474" s="43">
        <v>0</v>
      </c>
      <c r="AN474" s="43">
        <v>0</v>
      </c>
      <c r="AO474" s="43">
        <v>0</v>
      </c>
      <c r="AP474" s="43">
        <v>0</v>
      </c>
      <c r="AQ474" s="43">
        <v>0</v>
      </c>
      <c r="AR474" s="43">
        <v>0</v>
      </c>
      <c r="AS474" s="43">
        <v>0</v>
      </c>
      <c r="AT474" s="43">
        <v>0</v>
      </c>
      <c r="AU474" s="43">
        <v>0</v>
      </c>
      <c r="AV474" s="43">
        <v>0</v>
      </c>
      <c r="AW474" s="43">
        <v>0</v>
      </c>
      <c r="AX474" s="43">
        <v>0</v>
      </c>
      <c r="AY474" s="43">
        <v>0</v>
      </c>
      <c r="AZ474" s="43">
        <v>0</v>
      </c>
      <c r="BA474" s="43">
        <v>0</v>
      </c>
      <c r="BB474" s="43">
        <v>0</v>
      </c>
      <c r="BC474" s="43">
        <v>0</v>
      </c>
      <c r="BD474" s="43">
        <v>0</v>
      </c>
      <c r="BE474" s="43">
        <v>0</v>
      </c>
      <c r="BF474" s="43">
        <v>0</v>
      </c>
      <c r="BG474" s="43">
        <v>0</v>
      </c>
      <c r="BH474" s="43">
        <v>0</v>
      </c>
      <c r="BI474" s="43">
        <v>0</v>
      </c>
      <c r="BJ474" s="43">
        <v>0</v>
      </c>
      <c r="BK474" s="43">
        <v>0</v>
      </c>
      <c r="BL474" s="43">
        <v>0</v>
      </c>
    </row>
    <row r="475" spans="1:64" ht="14.1" customHeight="1">
      <c r="A475" s="379">
        <f t="shared" si="855"/>
        <v>468</v>
      </c>
      <c r="B475" s="56" t="s">
        <v>302</v>
      </c>
      <c r="C475" s="38">
        <f t="shared" si="864"/>
        <v>0</v>
      </c>
      <c r="D475" s="43">
        <v>0</v>
      </c>
      <c r="E475" s="43">
        <v>0</v>
      </c>
      <c r="F475" s="43">
        <v>0</v>
      </c>
      <c r="G475" s="43">
        <v>0</v>
      </c>
      <c r="H475" s="43">
        <v>0</v>
      </c>
      <c r="I475" s="43">
        <v>0</v>
      </c>
      <c r="J475" s="43">
        <v>0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43">
        <v>0</v>
      </c>
      <c r="Q475" s="43">
        <v>0</v>
      </c>
      <c r="R475" s="43">
        <v>0</v>
      </c>
      <c r="S475" s="43">
        <v>0</v>
      </c>
      <c r="T475" s="43">
        <v>0</v>
      </c>
      <c r="U475" s="43">
        <v>0</v>
      </c>
      <c r="V475" s="43">
        <v>0</v>
      </c>
      <c r="W475" s="43">
        <v>0</v>
      </c>
      <c r="X475" s="43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43">
        <v>0</v>
      </c>
      <c r="AF475" s="43">
        <v>0</v>
      </c>
      <c r="AG475" s="43">
        <v>0</v>
      </c>
      <c r="AH475" s="43">
        <v>0</v>
      </c>
      <c r="AI475" s="43">
        <v>0</v>
      </c>
      <c r="AJ475" s="43">
        <v>0</v>
      </c>
      <c r="AK475" s="43">
        <v>0</v>
      </c>
      <c r="AL475" s="43">
        <v>0</v>
      </c>
      <c r="AM475" s="43">
        <v>0</v>
      </c>
      <c r="AN475" s="43">
        <v>0</v>
      </c>
      <c r="AO475" s="43">
        <v>0</v>
      </c>
      <c r="AP475" s="43">
        <v>0</v>
      </c>
      <c r="AQ475" s="43">
        <v>0</v>
      </c>
      <c r="AR475" s="43">
        <v>0</v>
      </c>
      <c r="AS475" s="43">
        <v>0</v>
      </c>
      <c r="AT475" s="43">
        <v>0</v>
      </c>
      <c r="AU475" s="43">
        <v>0</v>
      </c>
      <c r="AV475" s="43">
        <v>0</v>
      </c>
      <c r="AW475" s="43">
        <v>0</v>
      </c>
      <c r="AX475" s="43">
        <v>0</v>
      </c>
      <c r="AY475" s="43">
        <v>0</v>
      </c>
      <c r="AZ475" s="43">
        <v>0</v>
      </c>
      <c r="BA475" s="43">
        <v>0</v>
      </c>
      <c r="BB475" s="43">
        <v>0</v>
      </c>
      <c r="BC475" s="43">
        <v>0</v>
      </c>
      <c r="BD475" s="43">
        <v>0</v>
      </c>
      <c r="BE475" s="43">
        <v>0</v>
      </c>
      <c r="BF475" s="43">
        <v>0</v>
      </c>
      <c r="BG475" s="43">
        <v>0</v>
      </c>
      <c r="BH475" s="43">
        <v>0</v>
      </c>
      <c r="BI475" s="43">
        <v>0</v>
      </c>
      <c r="BJ475" s="43">
        <v>0</v>
      </c>
      <c r="BK475" s="43">
        <v>0</v>
      </c>
      <c r="BL475" s="43">
        <v>0</v>
      </c>
    </row>
    <row r="476" spans="1:64" ht="14.1" customHeight="1">
      <c r="A476" s="379">
        <f t="shared" si="855"/>
        <v>469</v>
      </c>
      <c r="B476" s="20" t="s">
        <v>520</v>
      </c>
      <c r="C476" s="85">
        <f t="shared" ref="C476:K476" si="865">SUM(C464:C475)</f>
        <v>799766</v>
      </c>
      <c r="D476" s="85">
        <f t="shared" si="865"/>
        <v>0</v>
      </c>
      <c r="E476" s="85">
        <f t="shared" si="865"/>
        <v>0</v>
      </c>
      <c r="F476" s="85">
        <f t="shared" si="865"/>
        <v>-189598</v>
      </c>
      <c r="G476" s="85">
        <f t="shared" si="865"/>
        <v>0</v>
      </c>
      <c r="H476" s="85">
        <f t="shared" si="865"/>
        <v>0</v>
      </c>
      <c r="I476" s="85">
        <f t="shared" si="865"/>
        <v>0</v>
      </c>
      <c r="J476" s="85">
        <f t="shared" si="865"/>
        <v>0</v>
      </c>
      <c r="K476" s="85">
        <f t="shared" si="865"/>
        <v>0</v>
      </c>
      <c r="L476" s="85">
        <f t="shared" ref="L476:Y476" si="866">SUM(L464:L475)</f>
        <v>0</v>
      </c>
      <c r="M476" s="85">
        <f t="shared" si="866"/>
        <v>0</v>
      </c>
      <c r="N476" s="85">
        <f t="shared" si="866"/>
        <v>0</v>
      </c>
      <c r="O476" s="85">
        <f t="shared" si="866"/>
        <v>0</v>
      </c>
      <c r="P476" s="85">
        <f t="shared" si="866"/>
        <v>0</v>
      </c>
      <c r="Q476" s="85">
        <f t="shared" si="866"/>
        <v>0</v>
      </c>
      <c r="R476" s="85">
        <f t="shared" si="866"/>
        <v>0</v>
      </c>
      <c r="S476" s="85">
        <f t="shared" si="866"/>
        <v>0</v>
      </c>
      <c r="T476" s="85">
        <f>SUM(T464:T475)</f>
        <v>0</v>
      </c>
      <c r="U476" s="85">
        <f t="shared" si="866"/>
        <v>0</v>
      </c>
      <c r="V476" s="85">
        <f t="shared" si="866"/>
        <v>0</v>
      </c>
      <c r="W476" s="85">
        <f t="shared" si="866"/>
        <v>0</v>
      </c>
      <c r="X476" s="85">
        <f t="shared" si="866"/>
        <v>0</v>
      </c>
      <c r="Y476" s="85">
        <f t="shared" si="866"/>
        <v>0</v>
      </c>
      <c r="Z476" s="85">
        <f t="shared" ref="Z476:AE476" si="867">SUM(Z464:Z475)</f>
        <v>0</v>
      </c>
      <c r="AA476" s="85">
        <f t="shared" si="867"/>
        <v>0</v>
      </c>
      <c r="AB476" s="85">
        <f t="shared" si="867"/>
        <v>0</v>
      </c>
      <c r="AC476" s="85">
        <f t="shared" si="867"/>
        <v>0</v>
      </c>
      <c r="AD476" s="85">
        <f t="shared" si="867"/>
        <v>-96919</v>
      </c>
      <c r="AE476" s="85">
        <f t="shared" si="867"/>
        <v>0</v>
      </c>
      <c r="AF476" s="85">
        <f t="shared" ref="AF476:AL476" si="868">SUM(AF464:AF475)</f>
        <v>0</v>
      </c>
      <c r="AG476" s="85">
        <f t="shared" si="868"/>
        <v>0</v>
      </c>
      <c r="AH476" s="85">
        <f t="shared" si="868"/>
        <v>0</v>
      </c>
      <c r="AI476" s="85">
        <f t="shared" si="868"/>
        <v>5435</v>
      </c>
      <c r="AJ476" s="85">
        <f t="shared" si="868"/>
        <v>0</v>
      </c>
      <c r="AK476" s="85">
        <f t="shared" si="868"/>
        <v>0</v>
      </c>
      <c r="AL476" s="85">
        <f t="shared" si="868"/>
        <v>0</v>
      </c>
      <c r="AM476" s="85">
        <f t="shared" ref="AM476:BB476" si="869">SUM(AM464:AM475)</f>
        <v>0</v>
      </c>
      <c r="AN476" s="85">
        <f t="shared" si="869"/>
        <v>0</v>
      </c>
      <c r="AO476" s="85">
        <f t="shared" si="869"/>
        <v>0</v>
      </c>
      <c r="AP476" s="85">
        <f t="shared" si="869"/>
        <v>0</v>
      </c>
      <c r="AQ476" s="85">
        <f>SUM(AQ464:AQ475)</f>
        <v>0</v>
      </c>
      <c r="AR476" s="85">
        <f>SUM(AR464:AR475)</f>
        <v>0</v>
      </c>
      <c r="AS476" s="85">
        <f t="shared" ref="AS476:AY476" si="870">SUM(AS464:AS475)</f>
        <v>0</v>
      </c>
      <c r="AT476" s="85">
        <f t="shared" si="870"/>
        <v>0</v>
      </c>
      <c r="AU476" s="85">
        <f>SUM(AU464:AU475)</f>
        <v>0</v>
      </c>
      <c r="AV476" s="85">
        <f t="shared" si="870"/>
        <v>0</v>
      </c>
      <c r="AW476" s="85">
        <f t="shared" si="870"/>
        <v>0</v>
      </c>
      <c r="AX476" s="85">
        <f t="shared" si="870"/>
        <v>0</v>
      </c>
      <c r="AY476" s="85">
        <f t="shared" si="870"/>
        <v>0</v>
      </c>
      <c r="AZ476" s="85">
        <f>SUM(AZ464:AZ475)</f>
        <v>1527835</v>
      </c>
      <c r="BA476" s="85">
        <f t="shared" si="869"/>
        <v>-407790</v>
      </c>
      <c r="BB476" s="85">
        <f t="shared" si="869"/>
        <v>-39197</v>
      </c>
      <c r="BC476" s="85">
        <f>SUM(BC464:BC475)</f>
        <v>0</v>
      </c>
      <c r="BD476" s="85">
        <f>SUM(BD464:BD475)</f>
        <v>0</v>
      </c>
      <c r="BE476" s="85">
        <f t="shared" ref="BE476:BG476" si="871">SUM(BE464:BE475)</f>
        <v>0</v>
      </c>
      <c r="BF476" s="85">
        <f t="shared" si="871"/>
        <v>0</v>
      </c>
      <c r="BG476" s="85">
        <f t="shared" si="871"/>
        <v>0</v>
      </c>
      <c r="BH476" s="85">
        <f t="shared" ref="BH476:BL476" si="872">SUM(BH464:BH475)</f>
        <v>0</v>
      </c>
      <c r="BI476" s="85">
        <f t="shared" si="872"/>
        <v>0</v>
      </c>
      <c r="BJ476" s="85">
        <f t="shared" si="872"/>
        <v>0</v>
      </c>
      <c r="BK476" s="85">
        <f t="shared" si="872"/>
        <v>0</v>
      </c>
      <c r="BL476" s="85">
        <f t="shared" si="872"/>
        <v>0</v>
      </c>
    </row>
    <row r="477" spans="1:64" ht="14.1" customHeight="1">
      <c r="A477" s="379">
        <f t="shared" si="855"/>
        <v>470</v>
      </c>
      <c r="B477" s="20"/>
      <c r="C477" s="20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</row>
    <row r="478" spans="1:64" ht="13.5" customHeight="1">
      <c r="A478" s="379">
        <f t="shared" si="855"/>
        <v>471</v>
      </c>
      <c r="B478" s="22" t="s">
        <v>811</v>
      </c>
      <c r="C478" s="38">
        <f t="shared" ref="C478:C483" si="873">SUM(D478:BI478)</f>
        <v>-3091136</v>
      </c>
      <c r="D478" s="43">
        <v>0</v>
      </c>
      <c r="E478" s="43">
        <v>0</v>
      </c>
      <c r="F478" s="43">
        <v>0</v>
      </c>
      <c r="G478" s="43">
        <v>0</v>
      </c>
      <c r="H478" s="43">
        <v>0</v>
      </c>
      <c r="I478" s="43">
        <v>0</v>
      </c>
      <c r="J478" s="43">
        <v>0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43">
        <v>0</v>
      </c>
      <c r="Q478" s="43">
        <v>0</v>
      </c>
      <c r="R478" s="43">
        <v>0</v>
      </c>
      <c r="S478" s="43">
        <v>0</v>
      </c>
      <c r="T478" s="43">
        <v>0</v>
      </c>
      <c r="U478" s="43">
        <v>0</v>
      </c>
      <c r="V478" s="43">
        <v>0</v>
      </c>
      <c r="W478" s="43">
        <v>0</v>
      </c>
      <c r="X478" s="43">
        <v>0</v>
      </c>
      <c r="Y478" s="43">
        <v>0</v>
      </c>
      <c r="Z478" s="43">
        <v>0</v>
      </c>
      <c r="AA478" s="43">
        <v>0</v>
      </c>
      <c r="AB478" s="43">
        <v>0</v>
      </c>
      <c r="AC478" s="43">
        <v>0</v>
      </c>
      <c r="AD478" s="43">
        <v>0</v>
      </c>
      <c r="AE478" s="43">
        <v>0</v>
      </c>
      <c r="AF478" s="43">
        <v>0</v>
      </c>
      <c r="AG478" s="43">
        <v>0</v>
      </c>
      <c r="AH478" s="43">
        <v>0</v>
      </c>
      <c r="AI478" s="43">
        <v>0</v>
      </c>
      <c r="AJ478" s="43">
        <v>0</v>
      </c>
      <c r="AK478" s="43">
        <v>-3091136</v>
      </c>
      <c r="AL478" s="43">
        <v>0</v>
      </c>
      <c r="AM478" s="43">
        <v>0</v>
      </c>
      <c r="AN478" s="43">
        <v>0</v>
      </c>
      <c r="AO478" s="43">
        <v>0</v>
      </c>
      <c r="AP478" s="43">
        <v>0</v>
      </c>
      <c r="AQ478" s="43">
        <v>0</v>
      </c>
      <c r="AR478" s="43">
        <v>0</v>
      </c>
      <c r="AS478" s="43">
        <v>0</v>
      </c>
      <c r="AT478" s="43">
        <v>0</v>
      </c>
      <c r="AU478" s="43">
        <v>0</v>
      </c>
      <c r="AV478" s="43">
        <v>0</v>
      </c>
      <c r="AW478" s="43">
        <v>0</v>
      </c>
      <c r="AX478" s="43">
        <v>0</v>
      </c>
      <c r="AY478" s="43">
        <v>0</v>
      </c>
      <c r="AZ478" s="43">
        <v>0</v>
      </c>
      <c r="BA478" s="43">
        <v>0</v>
      </c>
      <c r="BB478" s="43">
        <v>0</v>
      </c>
      <c r="BC478" s="43">
        <v>0</v>
      </c>
      <c r="BD478" s="43">
        <v>0</v>
      </c>
      <c r="BE478" s="43">
        <v>0</v>
      </c>
      <c r="BF478" s="43">
        <v>0</v>
      </c>
      <c r="BG478" s="43">
        <v>0</v>
      </c>
      <c r="BH478" s="43">
        <v>0</v>
      </c>
      <c r="BI478" s="43">
        <v>0</v>
      </c>
      <c r="BJ478" s="43">
        <v>0</v>
      </c>
      <c r="BK478" s="43">
        <v>0</v>
      </c>
      <c r="BL478" s="43">
        <v>0</v>
      </c>
    </row>
    <row r="479" spans="1:64" ht="13.5" customHeight="1">
      <c r="A479" s="379">
        <f t="shared" si="855"/>
        <v>472</v>
      </c>
      <c r="B479" s="22" t="s">
        <v>812</v>
      </c>
      <c r="C479" s="38">
        <f t="shared" si="873"/>
        <v>0</v>
      </c>
      <c r="D479" s="43">
        <v>0</v>
      </c>
      <c r="E479" s="43">
        <v>0</v>
      </c>
      <c r="F479" s="43">
        <v>0</v>
      </c>
      <c r="G479" s="43">
        <v>0</v>
      </c>
      <c r="H479" s="43">
        <v>0</v>
      </c>
      <c r="I479" s="43">
        <v>0</v>
      </c>
      <c r="J479" s="43">
        <v>0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43">
        <v>0</v>
      </c>
      <c r="Q479" s="43">
        <v>0</v>
      </c>
      <c r="R479" s="43">
        <v>0</v>
      </c>
      <c r="S479" s="43">
        <v>0</v>
      </c>
      <c r="T479" s="43">
        <v>0</v>
      </c>
      <c r="U479" s="43">
        <v>0</v>
      </c>
      <c r="V479" s="43">
        <v>0</v>
      </c>
      <c r="W479" s="43">
        <v>0</v>
      </c>
      <c r="X479" s="43">
        <v>0</v>
      </c>
      <c r="Y479" s="43">
        <v>0</v>
      </c>
      <c r="Z479" s="43">
        <v>0</v>
      </c>
      <c r="AA479" s="43">
        <v>0</v>
      </c>
      <c r="AB479" s="43">
        <v>0</v>
      </c>
      <c r="AC479" s="43">
        <v>0</v>
      </c>
      <c r="AD479" s="43">
        <v>0</v>
      </c>
      <c r="AE479" s="43">
        <v>0</v>
      </c>
      <c r="AF479" s="43">
        <v>0</v>
      </c>
      <c r="AG479" s="43">
        <v>0</v>
      </c>
      <c r="AH479" s="43">
        <v>0</v>
      </c>
      <c r="AI479" s="43">
        <v>0</v>
      </c>
      <c r="AJ479" s="43">
        <v>0</v>
      </c>
      <c r="AK479" s="43">
        <v>0</v>
      </c>
      <c r="AL479" s="43">
        <v>0</v>
      </c>
      <c r="AM479" s="43">
        <v>0</v>
      </c>
      <c r="AN479" s="43">
        <v>0</v>
      </c>
      <c r="AO479" s="43">
        <v>0</v>
      </c>
      <c r="AP479" s="43">
        <v>0</v>
      </c>
      <c r="AQ479" s="43">
        <v>0</v>
      </c>
      <c r="AR479" s="43">
        <v>0</v>
      </c>
      <c r="AS479" s="43">
        <v>0</v>
      </c>
      <c r="AT479" s="43">
        <v>0</v>
      </c>
      <c r="AU479" s="43">
        <v>0</v>
      </c>
      <c r="AV479" s="43">
        <v>0</v>
      </c>
      <c r="AW479" s="43">
        <v>0</v>
      </c>
      <c r="AX479" s="43">
        <v>0</v>
      </c>
      <c r="AY479" s="43">
        <v>0</v>
      </c>
      <c r="AZ479" s="43">
        <v>0</v>
      </c>
      <c r="BA479" s="43">
        <v>0</v>
      </c>
      <c r="BB479" s="43">
        <v>0</v>
      </c>
      <c r="BC479" s="43">
        <v>0</v>
      </c>
      <c r="BD479" s="43">
        <v>0</v>
      </c>
      <c r="BE479" s="43">
        <v>0</v>
      </c>
      <c r="BF479" s="43">
        <v>0</v>
      </c>
      <c r="BG479" s="43">
        <v>0</v>
      </c>
      <c r="BH479" s="43">
        <v>0</v>
      </c>
      <c r="BI479" s="43">
        <v>0</v>
      </c>
      <c r="BJ479" s="43">
        <v>0</v>
      </c>
      <c r="BK479" s="43">
        <v>0</v>
      </c>
      <c r="BL479" s="43">
        <v>0</v>
      </c>
    </row>
    <row r="480" spans="1:64" ht="13.5" customHeight="1">
      <c r="A480" s="379">
        <f t="shared" si="855"/>
        <v>473</v>
      </c>
      <c r="B480" s="22" t="s">
        <v>813</v>
      </c>
      <c r="C480" s="38">
        <f t="shared" si="873"/>
        <v>0</v>
      </c>
      <c r="D480" s="43">
        <v>0</v>
      </c>
      <c r="E480" s="43">
        <v>0</v>
      </c>
      <c r="F480" s="43">
        <v>0</v>
      </c>
      <c r="G480" s="43">
        <v>0</v>
      </c>
      <c r="H480" s="43">
        <v>0</v>
      </c>
      <c r="I480" s="43">
        <v>0</v>
      </c>
      <c r="J480" s="43">
        <v>0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43">
        <v>0</v>
      </c>
      <c r="Q480" s="43">
        <v>0</v>
      </c>
      <c r="R480" s="43">
        <v>0</v>
      </c>
      <c r="S480" s="43">
        <v>0</v>
      </c>
      <c r="T480" s="43">
        <v>0</v>
      </c>
      <c r="U480" s="43">
        <v>0</v>
      </c>
      <c r="V480" s="43">
        <v>0</v>
      </c>
      <c r="W480" s="43">
        <v>0</v>
      </c>
      <c r="X480" s="43">
        <v>0</v>
      </c>
      <c r="Y480" s="43">
        <v>0</v>
      </c>
      <c r="Z480" s="43">
        <v>0</v>
      </c>
      <c r="AA480" s="43">
        <v>0</v>
      </c>
      <c r="AB480" s="43">
        <v>0</v>
      </c>
      <c r="AC480" s="43">
        <v>0</v>
      </c>
      <c r="AD480" s="43">
        <v>0</v>
      </c>
      <c r="AE480" s="43">
        <v>0</v>
      </c>
      <c r="AF480" s="43">
        <v>0</v>
      </c>
      <c r="AG480" s="43">
        <v>0</v>
      </c>
      <c r="AH480" s="43">
        <v>0</v>
      </c>
      <c r="AI480" s="43">
        <v>0</v>
      </c>
      <c r="AJ480" s="43">
        <v>0</v>
      </c>
      <c r="AK480" s="43">
        <v>0</v>
      </c>
      <c r="AL480" s="43">
        <v>0</v>
      </c>
      <c r="AM480" s="43">
        <v>0</v>
      </c>
      <c r="AN480" s="43">
        <v>0</v>
      </c>
      <c r="AO480" s="43">
        <v>0</v>
      </c>
      <c r="AP480" s="43">
        <v>0</v>
      </c>
      <c r="AQ480" s="43">
        <v>0</v>
      </c>
      <c r="AR480" s="43">
        <v>0</v>
      </c>
      <c r="AS480" s="43">
        <v>0</v>
      </c>
      <c r="AT480" s="43">
        <v>0</v>
      </c>
      <c r="AU480" s="43">
        <v>0</v>
      </c>
      <c r="AV480" s="43">
        <v>0</v>
      </c>
      <c r="AW480" s="43">
        <v>0</v>
      </c>
      <c r="AX480" s="43">
        <v>0</v>
      </c>
      <c r="AY480" s="43">
        <v>0</v>
      </c>
      <c r="AZ480" s="43">
        <v>0</v>
      </c>
      <c r="BA480" s="43">
        <v>0</v>
      </c>
      <c r="BB480" s="43">
        <v>0</v>
      </c>
      <c r="BC480" s="43">
        <v>0</v>
      </c>
      <c r="BD480" s="43">
        <v>0</v>
      </c>
      <c r="BE480" s="43">
        <v>0</v>
      </c>
      <c r="BF480" s="43">
        <v>0</v>
      </c>
      <c r="BG480" s="43">
        <v>0</v>
      </c>
      <c r="BH480" s="43">
        <v>0</v>
      </c>
      <c r="BI480" s="43">
        <v>0</v>
      </c>
      <c r="BJ480" s="43">
        <v>0</v>
      </c>
      <c r="BK480" s="43">
        <v>0</v>
      </c>
      <c r="BL480" s="43">
        <v>0</v>
      </c>
    </row>
    <row r="481" spans="1:64" ht="13.5" customHeight="1">
      <c r="A481" s="379">
        <f t="shared" si="855"/>
        <v>474</v>
      </c>
      <c r="B481" s="22" t="s">
        <v>814</v>
      </c>
      <c r="C481" s="38">
        <f t="shared" si="873"/>
        <v>0</v>
      </c>
      <c r="D481" s="43">
        <v>0</v>
      </c>
      <c r="E481" s="43">
        <v>0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  <c r="R481" s="43">
        <v>0</v>
      </c>
      <c r="S481" s="43">
        <v>0</v>
      </c>
      <c r="T481" s="43">
        <v>0</v>
      </c>
      <c r="U481" s="43">
        <v>0</v>
      </c>
      <c r="V481" s="43">
        <v>0</v>
      </c>
      <c r="W481" s="43">
        <v>0</v>
      </c>
      <c r="X481" s="43">
        <v>0</v>
      </c>
      <c r="Y481" s="43">
        <v>0</v>
      </c>
      <c r="Z481" s="43">
        <v>0</v>
      </c>
      <c r="AA481" s="43">
        <v>0</v>
      </c>
      <c r="AB481" s="43">
        <v>0</v>
      </c>
      <c r="AC481" s="43">
        <v>0</v>
      </c>
      <c r="AD481" s="43">
        <v>0</v>
      </c>
      <c r="AE481" s="43">
        <v>0</v>
      </c>
      <c r="AF481" s="43">
        <v>0</v>
      </c>
      <c r="AG481" s="43">
        <v>0</v>
      </c>
      <c r="AH481" s="43">
        <v>0</v>
      </c>
      <c r="AI481" s="43">
        <v>0</v>
      </c>
      <c r="AJ481" s="43">
        <v>0</v>
      </c>
      <c r="AK481" s="43">
        <v>0</v>
      </c>
      <c r="AL481" s="43">
        <v>0</v>
      </c>
      <c r="AM481" s="43">
        <v>0</v>
      </c>
      <c r="AN481" s="43">
        <v>0</v>
      </c>
      <c r="AO481" s="43">
        <v>0</v>
      </c>
      <c r="AP481" s="43">
        <v>0</v>
      </c>
      <c r="AQ481" s="43">
        <v>0</v>
      </c>
      <c r="AR481" s="43">
        <v>0</v>
      </c>
      <c r="AS481" s="43">
        <v>0</v>
      </c>
      <c r="AT481" s="43">
        <v>0</v>
      </c>
      <c r="AU481" s="43">
        <v>0</v>
      </c>
      <c r="AV481" s="43">
        <v>0</v>
      </c>
      <c r="AW481" s="43">
        <v>0</v>
      </c>
      <c r="AX481" s="43">
        <v>0</v>
      </c>
      <c r="AY481" s="43">
        <v>0</v>
      </c>
      <c r="AZ481" s="43">
        <v>0</v>
      </c>
      <c r="BA481" s="43">
        <v>0</v>
      </c>
      <c r="BB481" s="43">
        <v>0</v>
      </c>
      <c r="BC481" s="43">
        <v>0</v>
      </c>
      <c r="BD481" s="43">
        <v>0</v>
      </c>
      <c r="BE481" s="43">
        <v>0</v>
      </c>
      <c r="BF481" s="43">
        <v>0</v>
      </c>
      <c r="BG481" s="43">
        <v>0</v>
      </c>
      <c r="BH481" s="43">
        <v>0</v>
      </c>
      <c r="BI481" s="43">
        <v>0</v>
      </c>
      <c r="BJ481" s="43">
        <v>0</v>
      </c>
      <c r="BK481" s="43">
        <v>0</v>
      </c>
      <c r="BL481" s="43">
        <v>0</v>
      </c>
    </row>
    <row r="482" spans="1:64" ht="13.5" customHeight="1">
      <c r="A482" s="379">
        <f t="shared" si="855"/>
        <v>475</v>
      </c>
      <c r="B482" s="22" t="s">
        <v>1002</v>
      </c>
      <c r="C482" s="38">
        <f t="shared" si="873"/>
        <v>0</v>
      </c>
      <c r="D482" s="43">
        <v>0</v>
      </c>
      <c r="E482" s="43">
        <v>0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  <c r="R482" s="43">
        <v>0</v>
      </c>
      <c r="S482" s="43">
        <v>0</v>
      </c>
      <c r="T482" s="43">
        <v>0</v>
      </c>
      <c r="U482" s="43">
        <v>0</v>
      </c>
      <c r="V482" s="43">
        <v>0</v>
      </c>
      <c r="W482" s="43">
        <v>0</v>
      </c>
      <c r="X482" s="43">
        <v>0</v>
      </c>
      <c r="Y482" s="43">
        <v>0</v>
      </c>
      <c r="Z482" s="43">
        <v>0</v>
      </c>
      <c r="AA482" s="43">
        <v>0</v>
      </c>
      <c r="AB482" s="43">
        <v>0</v>
      </c>
      <c r="AC482" s="43">
        <v>0</v>
      </c>
      <c r="AD482" s="43">
        <v>0</v>
      </c>
      <c r="AE482" s="43">
        <v>0</v>
      </c>
      <c r="AF482" s="43">
        <v>0</v>
      </c>
      <c r="AG482" s="43">
        <v>0</v>
      </c>
      <c r="AH482" s="43">
        <v>0</v>
      </c>
      <c r="AI482" s="43">
        <v>0</v>
      </c>
      <c r="AJ482" s="43">
        <v>0</v>
      </c>
      <c r="AK482" s="43">
        <v>0</v>
      </c>
      <c r="AL482" s="43">
        <v>0</v>
      </c>
      <c r="AM482" s="43">
        <v>0</v>
      </c>
      <c r="AN482" s="43">
        <v>0</v>
      </c>
      <c r="AO482" s="43">
        <v>0</v>
      </c>
      <c r="AP482" s="43">
        <v>0</v>
      </c>
      <c r="AQ482" s="43">
        <v>0</v>
      </c>
      <c r="AR482" s="43">
        <v>0</v>
      </c>
      <c r="AS482" s="43">
        <v>0</v>
      </c>
      <c r="AT482" s="43">
        <v>0</v>
      </c>
      <c r="AU482" s="43">
        <v>0</v>
      </c>
      <c r="AV482" s="43">
        <v>0</v>
      </c>
      <c r="AW482" s="43">
        <v>0</v>
      </c>
      <c r="AX482" s="43">
        <v>0</v>
      </c>
      <c r="AY482" s="43">
        <v>0</v>
      </c>
      <c r="AZ482" s="43">
        <v>0</v>
      </c>
      <c r="BA482" s="43">
        <v>0</v>
      </c>
      <c r="BB482" s="43">
        <v>0</v>
      </c>
      <c r="BC482" s="43">
        <v>0</v>
      </c>
      <c r="BD482" s="43">
        <v>0</v>
      </c>
      <c r="BE482" s="43">
        <v>0</v>
      </c>
      <c r="BF482" s="43">
        <v>0</v>
      </c>
      <c r="BG482" s="43">
        <v>0</v>
      </c>
      <c r="BH482" s="43">
        <v>0</v>
      </c>
      <c r="BI482" s="43">
        <v>0</v>
      </c>
      <c r="BJ482" s="43">
        <v>0</v>
      </c>
      <c r="BK482" s="43">
        <v>0</v>
      </c>
      <c r="BL482" s="43">
        <v>0</v>
      </c>
    </row>
    <row r="483" spans="1:64" ht="14.1" customHeight="1">
      <c r="A483" s="379">
        <f t="shared" si="855"/>
        <v>476</v>
      </c>
      <c r="B483" s="22" t="s">
        <v>303</v>
      </c>
      <c r="C483" s="38">
        <f t="shared" si="873"/>
        <v>-220699</v>
      </c>
      <c r="D483" s="43">
        <v>0</v>
      </c>
      <c r="E483" s="43">
        <v>0</v>
      </c>
      <c r="F483" s="43">
        <v>0</v>
      </c>
      <c r="G483" s="43">
        <v>0</v>
      </c>
      <c r="H483" s="43">
        <v>0</v>
      </c>
      <c r="I483" s="43">
        <v>0</v>
      </c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  <c r="R483" s="43">
        <v>-220699</v>
      </c>
      <c r="S483" s="43">
        <v>0</v>
      </c>
      <c r="T483" s="43">
        <v>0</v>
      </c>
      <c r="U483" s="43">
        <v>0</v>
      </c>
      <c r="V483" s="43">
        <v>0</v>
      </c>
      <c r="W483" s="43">
        <v>0</v>
      </c>
      <c r="X483" s="43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43">
        <v>0</v>
      </c>
      <c r="AF483" s="43">
        <v>0</v>
      </c>
      <c r="AG483" s="43">
        <v>0</v>
      </c>
      <c r="AH483" s="43">
        <v>0</v>
      </c>
      <c r="AI483" s="43">
        <v>0</v>
      </c>
      <c r="AJ483" s="43">
        <v>0</v>
      </c>
      <c r="AK483" s="43">
        <v>0</v>
      </c>
      <c r="AL483" s="43">
        <v>0</v>
      </c>
      <c r="AM483" s="43">
        <v>0</v>
      </c>
      <c r="AN483" s="43">
        <v>0</v>
      </c>
      <c r="AO483" s="43">
        <v>0</v>
      </c>
      <c r="AP483" s="43">
        <v>0</v>
      </c>
      <c r="AQ483" s="43">
        <v>0</v>
      </c>
      <c r="AR483" s="43">
        <v>0</v>
      </c>
      <c r="AS483" s="43">
        <v>0</v>
      </c>
      <c r="AT483" s="43">
        <v>0</v>
      </c>
      <c r="AU483" s="43">
        <v>0</v>
      </c>
      <c r="AV483" s="43">
        <v>0</v>
      </c>
      <c r="AW483" s="43">
        <v>0</v>
      </c>
      <c r="AX483" s="43">
        <v>0</v>
      </c>
      <c r="AY483" s="43">
        <v>0</v>
      </c>
      <c r="AZ483" s="43">
        <v>0</v>
      </c>
      <c r="BA483" s="43">
        <v>0</v>
      </c>
      <c r="BB483" s="43">
        <v>0</v>
      </c>
      <c r="BC483" s="43">
        <v>0</v>
      </c>
      <c r="BD483" s="43">
        <v>0</v>
      </c>
      <c r="BE483" s="43">
        <v>0</v>
      </c>
      <c r="BF483" s="43">
        <v>0</v>
      </c>
      <c r="BG483" s="43">
        <v>0</v>
      </c>
      <c r="BH483" s="43">
        <v>0</v>
      </c>
      <c r="BI483" s="43">
        <v>0</v>
      </c>
      <c r="BJ483" s="43">
        <v>0</v>
      </c>
      <c r="BK483" s="43">
        <v>0</v>
      </c>
      <c r="BL483" s="43">
        <v>0</v>
      </c>
    </row>
    <row r="484" spans="1:64" ht="14.1" customHeight="1">
      <c r="A484" s="379">
        <f t="shared" si="855"/>
        <v>477</v>
      </c>
      <c r="B484" s="22"/>
      <c r="C484" s="65">
        <f>SUM(D484:AR484)</f>
        <v>0</v>
      </c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</row>
    <row r="485" spans="1:64" ht="14.1" customHeight="1">
      <c r="A485" s="379">
        <f t="shared" si="855"/>
        <v>478</v>
      </c>
      <c r="B485" s="3" t="s">
        <v>304</v>
      </c>
      <c r="C485" s="38">
        <f t="shared" ref="C485:C493" si="874">SUM(D485:BI485)</f>
        <v>0</v>
      </c>
      <c r="D485" s="43"/>
      <c r="E485" s="43"/>
      <c r="F485" s="43"/>
      <c r="G485" s="43"/>
      <c r="H485" s="43"/>
      <c r="I485" s="43"/>
      <c r="J485" s="43"/>
      <c r="K485" s="43"/>
      <c r="L485" s="43"/>
      <c r="M485" s="43">
        <v>0</v>
      </c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</row>
    <row r="486" spans="1:64" ht="13.5" customHeight="1">
      <c r="A486" s="379">
        <f t="shared" si="855"/>
        <v>479</v>
      </c>
      <c r="B486" s="22" t="s">
        <v>305</v>
      </c>
      <c r="C486" s="38">
        <f t="shared" si="874"/>
        <v>0</v>
      </c>
      <c r="D486" s="43">
        <v>0</v>
      </c>
      <c r="E486" s="43">
        <v>0</v>
      </c>
      <c r="F486" s="43">
        <v>0</v>
      </c>
      <c r="G486" s="43">
        <v>0</v>
      </c>
      <c r="H486" s="43">
        <v>0</v>
      </c>
      <c r="I486" s="43">
        <v>0</v>
      </c>
      <c r="J486" s="43">
        <v>0</v>
      </c>
      <c r="K486" s="43">
        <v>0</v>
      </c>
      <c r="L486" s="43">
        <v>0</v>
      </c>
      <c r="M486" s="43">
        <v>0</v>
      </c>
      <c r="N486" s="43">
        <v>0</v>
      </c>
      <c r="O486" s="43">
        <v>0</v>
      </c>
      <c r="P486" s="43">
        <v>0</v>
      </c>
      <c r="Q486" s="43">
        <v>0</v>
      </c>
      <c r="R486" s="43">
        <v>0</v>
      </c>
      <c r="S486" s="43">
        <v>0</v>
      </c>
      <c r="T486" s="43">
        <v>0</v>
      </c>
      <c r="U486" s="43">
        <v>0</v>
      </c>
      <c r="V486" s="43">
        <v>0</v>
      </c>
      <c r="W486" s="43">
        <v>0</v>
      </c>
      <c r="X486" s="43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43">
        <v>0</v>
      </c>
      <c r="AF486" s="43">
        <v>0</v>
      </c>
      <c r="AG486" s="43">
        <v>0</v>
      </c>
      <c r="AH486" s="43">
        <v>0</v>
      </c>
      <c r="AI486" s="43">
        <v>0</v>
      </c>
      <c r="AJ486" s="43">
        <v>0</v>
      </c>
      <c r="AK486" s="43">
        <v>0</v>
      </c>
      <c r="AL486" s="43">
        <v>0</v>
      </c>
      <c r="AM486" s="43">
        <v>0</v>
      </c>
      <c r="AN486" s="43">
        <v>0</v>
      </c>
      <c r="AO486" s="43">
        <v>0</v>
      </c>
      <c r="AP486" s="43">
        <v>0</v>
      </c>
      <c r="AQ486" s="43">
        <v>0</v>
      </c>
      <c r="AR486" s="43">
        <v>0</v>
      </c>
      <c r="AS486" s="43">
        <v>0</v>
      </c>
      <c r="AT486" s="43">
        <v>0</v>
      </c>
      <c r="AU486" s="43">
        <v>0</v>
      </c>
      <c r="AV486" s="43">
        <v>0</v>
      </c>
      <c r="AW486" s="43">
        <v>0</v>
      </c>
      <c r="AX486" s="43">
        <v>0</v>
      </c>
      <c r="AY486" s="43">
        <v>0</v>
      </c>
      <c r="AZ486" s="43">
        <v>0</v>
      </c>
      <c r="BA486" s="43">
        <v>0</v>
      </c>
      <c r="BB486" s="43">
        <v>0</v>
      </c>
      <c r="BC486" s="43">
        <v>0</v>
      </c>
      <c r="BD486" s="43">
        <v>0</v>
      </c>
      <c r="BE486" s="43">
        <v>0</v>
      </c>
      <c r="BF486" s="43">
        <v>0</v>
      </c>
      <c r="BG486" s="43">
        <v>0</v>
      </c>
      <c r="BH486" s="43">
        <v>0</v>
      </c>
      <c r="BI486" s="43">
        <v>0</v>
      </c>
      <c r="BJ486" s="43">
        <v>0</v>
      </c>
      <c r="BK486" s="43">
        <v>0</v>
      </c>
      <c r="BL486" s="43">
        <v>0</v>
      </c>
    </row>
    <row r="487" spans="1:64" ht="13.5" customHeight="1">
      <c r="A487" s="379">
        <f t="shared" si="855"/>
        <v>480</v>
      </c>
      <c r="B487" s="22" t="s">
        <v>306</v>
      </c>
      <c r="C487" s="38">
        <f t="shared" si="874"/>
        <v>0</v>
      </c>
      <c r="D487" s="43">
        <v>0</v>
      </c>
      <c r="E487" s="43">
        <v>0</v>
      </c>
      <c r="F487" s="43">
        <v>0</v>
      </c>
      <c r="G487" s="43">
        <v>0</v>
      </c>
      <c r="H487" s="43">
        <v>0</v>
      </c>
      <c r="I487" s="43">
        <v>0</v>
      </c>
      <c r="J487" s="43">
        <v>0</v>
      </c>
      <c r="K487" s="43">
        <v>0</v>
      </c>
      <c r="L487" s="43">
        <v>0</v>
      </c>
      <c r="M487" s="43">
        <v>0</v>
      </c>
      <c r="N487" s="43">
        <v>0</v>
      </c>
      <c r="O487" s="43">
        <v>0</v>
      </c>
      <c r="P487" s="43">
        <v>0</v>
      </c>
      <c r="Q487" s="43">
        <v>0</v>
      </c>
      <c r="R487" s="43">
        <v>0</v>
      </c>
      <c r="S487" s="43">
        <v>0</v>
      </c>
      <c r="T487" s="43">
        <v>0</v>
      </c>
      <c r="U487" s="43">
        <v>0</v>
      </c>
      <c r="V487" s="43">
        <v>0</v>
      </c>
      <c r="W487" s="43">
        <v>0</v>
      </c>
      <c r="X487" s="43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  <c r="AM487" s="43">
        <v>0</v>
      </c>
      <c r="AN487" s="43">
        <v>0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  <c r="AU487" s="43">
        <v>0</v>
      </c>
      <c r="AV487" s="43">
        <v>0</v>
      </c>
      <c r="AW487" s="43">
        <v>0</v>
      </c>
      <c r="AX487" s="43">
        <v>0</v>
      </c>
      <c r="AY487" s="43">
        <v>0</v>
      </c>
      <c r="AZ487" s="43">
        <v>0</v>
      </c>
      <c r="BA487" s="43">
        <v>0</v>
      </c>
      <c r="BB487" s="43">
        <v>0</v>
      </c>
      <c r="BC487" s="43">
        <v>0</v>
      </c>
      <c r="BD487" s="43">
        <v>0</v>
      </c>
      <c r="BE487" s="43">
        <v>0</v>
      </c>
      <c r="BF487" s="43">
        <v>0</v>
      </c>
      <c r="BG487" s="43">
        <v>0</v>
      </c>
      <c r="BH487" s="43">
        <v>0</v>
      </c>
      <c r="BI487" s="43">
        <v>0</v>
      </c>
      <c r="BJ487" s="43">
        <v>0</v>
      </c>
      <c r="BK487" s="43">
        <v>0</v>
      </c>
      <c r="BL487" s="43">
        <v>0</v>
      </c>
    </row>
    <row r="488" spans="1:64" ht="13.5" customHeight="1">
      <c r="A488" s="379">
        <f t="shared" si="855"/>
        <v>481</v>
      </c>
      <c r="B488" s="22" t="s">
        <v>788</v>
      </c>
      <c r="C488" s="38">
        <f t="shared" si="874"/>
        <v>0</v>
      </c>
      <c r="D488" s="43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</v>
      </c>
      <c r="J488" s="43">
        <v>0</v>
      </c>
      <c r="K488" s="43">
        <v>0</v>
      </c>
      <c r="L488" s="43">
        <v>0</v>
      </c>
      <c r="M488" s="43">
        <v>0</v>
      </c>
      <c r="N488" s="43">
        <v>0</v>
      </c>
      <c r="O488" s="43">
        <v>0</v>
      </c>
      <c r="P488" s="43">
        <v>0</v>
      </c>
      <c r="Q488" s="43">
        <v>0</v>
      </c>
      <c r="R488" s="43">
        <v>0</v>
      </c>
      <c r="S488" s="43">
        <v>0</v>
      </c>
      <c r="T488" s="43">
        <v>0</v>
      </c>
      <c r="U488" s="43">
        <v>0</v>
      </c>
      <c r="V488" s="43">
        <v>0</v>
      </c>
      <c r="W488" s="43">
        <v>0</v>
      </c>
      <c r="X488" s="43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43">
        <v>0</v>
      </c>
      <c r="AF488" s="43">
        <v>0</v>
      </c>
      <c r="AG488" s="43">
        <v>0</v>
      </c>
      <c r="AH488" s="43">
        <v>0</v>
      </c>
      <c r="AI488" s="43">
        <v>0</v>
      </c>
      <c r="AJ488" s="43">
        <v>0</v>
      </c>
      <c r="AK488" s="43">
        <v>0</v>
      </c>
      <c r="AL488" s="43">
        <v>0</v>
      </c>
      <c r="AM488" s="43">
        <v>0</v>
      </c>
      <c r="AN488" s="43">
        <v>0</v>
      </c>
      <c r="AO488" s="43">
        <v>0</v>
      </c>
      <c r="AP488" s="43">
        <v>0</v>
      </c>
      <c r="AQ488" s="43">
        <v>0</v>
      </c>
      <c r="AR488" s="43">
        <v>0</v>
      </c>
      <c r="AS488" s="43">
        <v>0</v>
      </c>
      <c r="AT488" s="43">
        <v>0</v>
      </c>
      <c r="AU488" s="43">
        <v>0</v>
      </c>
      <c r="AV488" s="43">
        <v>0</v>
      </c>
      <c r="AW488" s="43">
        <v>0</v>
      </c>
      <c r="AX488" s="43">
        <v>0</v>
      </c>
      <c r="AY488" s="43">
        <v>0</v>
      </c>
      <c r="AZ488" s="43">
        <v>0</v>
      </c>
      <c r="BA488" s="43">
        <v>0</v>
      </c>
      <c r="BB488" s="43">
        <v>0</v>
      </c>
      <c r="BC488" s="43">
        <v>0</v>
      </c>
      <c r="BD488" s="43">
        <v>0</v>
      </c>
      <c r="BE488" s="43">
        <v>0</v>
      </c>
      <c r="BF488" s="43">
        <v>0</v>
      </c>
      <c r="BG488" s="43">
        <v>0</v>
      </c>
      <c r="BH488" s="43">
        <v>0</v>
      </c>
      <c r="BI488" s="43">
        <v>0</v>
      </c>
      <c r="BJ488" s="43">
        <v>0</v>
      </c>
      <c r="BK488" s="43">
        <v>0</v>
      </c>
      <c r="BL488" s="43">
        <v>0</v>
      </c>
    </row>
    <row r="489" spans="1:64" ht="14.1" customHeight="1">
      <c r="A489" s="379">
        <f t="shared" si="855"/>
        <v>482</v>
      </c>
      <c r="B489" s="22" t="s">
        <v>307</v>
      </c>
      <c r="C489" s="38">
        <f t="shared" si="874"/>
        <v>-150304</v>
      </c>
      <c r="D489" s="43">
        <v>0</v>
      </c>
      <c r="E489" s="43">
        <v>0</v>
      </c>
      <c r="F489" s="43">
        <v>0</v>
      </c>
      <c r="G489" s="43">
        <v>0</v>
      </c>
      <c r="H489" s="43">
        <v>0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3">
        <v>0</v>
      </c>
      <c r="O489" s="43">
        <v>0</v>
      </c>
      <c r="P489" s="43">
        <v>0</v>
      </c>
      <c r="Q489" s="43">
        <v>0</v>
      </c>
      <c r="R489" s="43">
        <v>0</v>
      </c>
      <c r="S489" s="43">
        <v>0</v>
      </c>
      <c r="T489" s="43">
        <v>0</v>
      </c>
      <c r="U489" s="43">
        <v>0</v>
      </c>
      <c r="V489" s="43">
        <v>0</v>
      </c>
      <c r="W489" s="43">
        <v>0</v>
      </c>
      <c r="X489" s="43">
        <v>0</v>
      </c>
      <c r="Y489" s="43">
        <v>0</v>
      </c>
      <c r="Z489" s="43">
        <v>0</v>
      </c>
      <c r="AA489" s="43">
        <v>0</v>
      </c>
      <c r="AB489" s="43">
        <v>0</v>
      </c>
      <c r="AC489" s="43">
        <v>0</v>
      </c>
      <c r="AD489" s="43">
        <v>0</v>
      </c>
      <c r="AE489" s="43">
        <v>0</v>
      </c>
      <c r="AF489" s="43">
        <v>0</v>
      </c>
      <c r="AG489" s="43">
        <v>0</v>
      </c>
      <c r="AH489" s="43">
        <v>-150304</v>
      </c>
      <c r="AI489" s="43">
        <v>0</v>
      </c>
      <c r="AJ489" s="43">
        <v>0</v>
      </c>
      <c r="AK489" s="43">
        <v>0</v>
      </c>
      <c r="AL489" s="43">
        <v>0</v>
      </c>
      <c r="AM489" s="43">
        <v>0</v>
      </c>
      <c r="AN489" s="43">
        <v>0</v>
      </c>
      <c r="AO489" s="43">
        <v>0</v>
      </c>
      <c r="AP489" s="43">
        <v>0</v>
      </c>
      <c r="AQ489" s="43">
        <v>0</v>
      </c>
      <c r="AR489" s="43">
        <v>0</v>
      </c>
      <c r="AS489" s="43">
        <v>0</v>
      </c>
      <c r="AT489" s="43">
        <v>0</v>
      </c>
      <c r="AU489" s="43">
        <v>0</v>
      </c>
      <c r="AV489" s="43">
        <v>0</v>
      </c>
      <c r="AW489" s="43">
        <v>0</v>
      </c>
      <c r="AX489" s="43">
        <v>0</v>
      </c>
      <c r="AY489" s="43">
        <v>0</v>
      </c>
      <c r="AZ489" s="43">
        <v>0</v>
      </c>
      <c r="BA489" s="43">
        <v>0</v>
      </c>
      <c r="BB489" s="43">
        <v>0</v>
      </c>
      <c r="BC489" s="43">
        <v>0</v>
      </c>
      <c r="BD489" s="43">
        <v>0</v>
      </c>
      <c r="BE489" s="43">
        <v>0</v>
      </c>
      <c r="BF489" s="43">
        <v>0</v>
      </c>
      <c r="BG489" s="43">
        <v>0</v>
      </c>
      <c r="BH489" s="43">
        <v>0</v>
      </c>
      <c r="BI489" s="43">
        <v>0</v>
      </c>
      <c r="BJ489" s="43">
        <v>0</v>
      </c>
      <c r="BK489" s="43">
        <v>0</v>
      </c>
      <c r="BL489" s="43">
        <v>0</v>
      </c>
    </row>
    <row r="490" spans="1:64" ht="14.1" customHeight="1">
      <c r="A490" s="379">
        <f t="shared" si="855"/>
        <v>483</v>
      </c>
      <c r="B490" s="22" t="s">
        <v>308</v>
      </c>
      <c r="C490" s="38">
        <f t="shared" si="874"/>
        <v>0</v>
      </c>
      <c r="D490" s="43">
        <v>0</v>
      </c>
      <c r="E490" s="43">
        <v>0</v>
      </c>
      <c r="F490" s="43">
        <v>0</v>
      </c>
      <c r="G490" s="43">
        <v>0</v>
      </c>
      <c r="H490" s="43">
        <v>0</v>
      </c>
      <c r="I490" s="43">
        <v>0</v>
      </c>
      <c r="J490" s="43">
        <v>0</v>
      </c>
      <c r="K490" s="43">
        <v>0</v>
      </c>
      <c r="L490" s="43">
        <v>0</v>
      </c>
      <c r="M490" s="43">
        <v>0</v>
      </c>
      <c r="N490" s="43">
        <v>0</v>
      </c>
      <c r="O490" s="43">
        <v>0</v>
      </c>
      <c r="P490" s="43">
        <v>0</v>
      </c>
      <c r="Q490" s="43">
        <v>0</v>
      </c>
      <c r="R490" s="43">
        <v>0</v>
      </c>
      <c r="S490" s="43">
        <v>0</v>
      </c>
      <c r="T490" s="43">
        <v>0</v>
      </c>
      <c r="U490" s="43">
        <v>0</v>
      </c>
      <c r="V490" s="43">
        <v>0</v>
      </c>
      <c r="W490" s="43">
        <v>0</v>
      </c>
      <c r="X490" s="43">
        <v>0</v>
      </c>
      <c r="Y490" s="43">
        <v>0</v>
      </c>
      <c r="Z490" s="43">
        <v>0</v>
      </c>
      <c r="AA490" s="43">
        <v>0</v>
      </c>
      <c r="AB490" s="43">
        <v>0</v>
      </c>
      <c r="AC490" s="43">
        <v>0</v>
      </c>
      <c r="AD490" s="43">
        <v>0</v>
      </c>
      <c r="AE490" s="43">
        <v>0</v>
      </c>
      <c r="AF490" s="43">
        <v>0</v>
      </c>
      <c r="AG490" s="43">
        <v>0</v>
      </c>
      <c r="AH490" s="43">
        <v>0</v>
      </c>
      <c r="AI490" s="43">
        <v>0</v>
      </c>
      <c r="AJ490" s="43">
        <v>0</v>
      </c>
      <c r="AK490" s="43">
        <v>0</v>
      </c>
      <c r="AL490" s="43">
        <v>0</v>
      </c>
      <c r="AM490" s="43">
        <v>0</v>
      </c>
      <c r="AN490" s="43">
        <v>0</v>
      </c>
      <c r="AO490" s="43">
        <v>0</v>
      </c>
      <c r="AP490" s="43">
        <v>0</v>
      </c>
      <c r="AQ490" s="43">
        <v>0</v>
      </c>
      <c r="AR490" s="43">
        <v>0</v>
      </c>
      <c r="AS490" s="43">
        <v>0</v>
      </c>
      <c r="AT490" s="43">
        <v>0</v>
      </c>
      <c r="AU490" s="43">
        <v>0</v>
      </c>
      <c r="AV490" s="43">
        <v>0</v>
      </c>
      <c r="AW490" s="43">
        <v>0</v>
      </c>
      <c r="AX490" s="43">
        <v>0</v>
      </c>
      <c r="AY490" s="43">
        <v>0</v>
      </c>
      <c r="AZ490" s="43">
        <v>0</v>
      </c>
      <c r="BA490" s="43">
        <v>0</v>
      </c>
      <c r="BB490" s="43">
        <v>0</v>
      </c>
      <c r="BC490" s="43">
        <v>0</v>
      </c>
      <c r="BD490" s="43">
        <v>0</v>
      </c>
      <c r="BE490" s="43">
        <v>0</v>
      </c>
      <c r="BF490" s="43">
        <v>0</v>
      </c>
      <c r="BG490" s="43">
        <v>0</v>
      </c>
      <c r="BH490" s="43">
        <v>0</v>
      </c>
      <c r="BI490" s="43">
        <v>0</v>
      </c>
      <c r="BJ490" s="43">
        <v>0</v>
      </c>
      <c r="BK490" s="43">
        <v>0</v>
      </c>
      <c r="BL490" s="43">
        <v>0</v>
      </c>
    </row>
    <row r="491" spans="1:64" ht="14.1" customHeight="1">
      <c r="A491" s="379">
        <f t="shared" si="855"/>
        <v>484</v>
      </c>
      <c r="B491" s="22" t="s">
        <v>827</v>
      </c>
      <c r="C491" s="38">
        <f t="shared" si="874"/>
        <v>0</v>
      </c>
      <c r="D491" s="43"/>
      <c r="E491" s="43"/>
      <c r="F491" s="43"/>
      <c r="G491" s="43"/>
      <c r="H491" s="43">
        <v>0</v>
      </c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</row>
    <row r="492" spans="1:64" ht="14.1" customHeight="1">
      <c r="A492" s="379">
        <f t="shared" si="855"/>
        <v>485</v>
      </c>
      <c r="B492" s="22" t="s">
        <v>828</v>
      </c>
      <c r="C492" s="38">
        <f t="shared" si="874"/>
        <v>0</v>
      </c>
      <c r="D492" s="43"/>
      <c r="E492" s="43"/>
      <c r="F492" s="43"/>
      <c r="G492" s="43"/>
      <c r="H492" s="43">
        <v>0</v>
      </c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</row>
    <row r="493" spans="1:64" ht="14.1" customHeight="1">
      <c r="A493" s="379">
        <f t="shared" si="855"/>
        <v>486</v>
      </c>
      <c r="B493" s="56" t="s">
        <v>309</v>
      </c>
      <c r="C493" s="38">
        <f t="shared" si="874"/>
        <v>0</v>
      </c>
      <c r="D493" s="64">
        <v>0</v>
      </c>
      <c r="E493" s="64">
        <v>0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64">
        <v>0</v>
      </c>
      <c r="V493" s="64">
        <v>0</v>
      </c>
      <c r="W493" s="64">
        <v>0</v>
      </c>
      <c r="X493" s="64">
        <v>0</v>
      </c>
      <c r="Y493" s="64">
        <v>0</v>
      </c>
      <c r="Z493" s="64">
        <v>0</v>
      </c>
      <c r="AA493" s="64">
        <v>0</v>
      </c>
      <c r="AB493" s="64">
        <v>0</v>
      </c>
      <c r="AC493" s="64">
        <v>0</v>
      </c>
      <c r="AD493" s="64">
        <v>0</v>
      </c>
      <c r="AE493" s="64">
        <v>0</v>
      </c>
      <c r="AF493" s="64">
        <v>0</v>
      </c>
      <c r="AG493" s="64">
        <v>0</v>
      </c>
      <c r="AH493" s="64">
        <v>0</v>
      </c>
      <c r="AI493" s="64">
        <v>0</v>
      </c>
      <c r="AJ493" s="64">
        <v>0</v>
      </c>
      <c r="AK493" s="64">
        <v>0</v>
      </c>
      <c r="AL493" s="64">
        <v>0</v>
      </c>
      <c r="AM493" s="64">
        <v>0</v>
      </c>
      <c r="AN493" s="64">
        <v>0</v>
      </c>
      <c r="AO493" s="64">
        <v>0</v>
      </c>
      <c r="AP493" s="64">
        <v>0</v>
      </c>
      <c r="AQ493" s="64">
        <v>0</v>
      </c>
      <c r="AR493" s="64">
        <v>0</v>
      </c>
      <c r="AS493" s="64">
        <v>0</v>
      </c>
      <c r="AT493" s="64">
        <v>0</v>
      </c>
      <c r="AU493" s="64">
        <v>0</v>
      </c>
      <c r="AV493" s="64">
        <v>0</v>
      </c>
      <c r="AW493" s="64">
        <v>0</v>
      </c>
      <c r="AX493" s="64">
        <v>0</v>
      </c>
      <c r="AY493" s="64">
        <v>0</v>
      </c>
      <c r="AZ493" s="64">
        <v>0</v>
      </c>
      <c r="BA493" s="64">
        <v>0</v>
      </c>
      <c r="BB493" s="64">
        <v>0</v>
      </c>
      <c r="BC493" s="64">
        <v>0</v>
      </c>
      <c r="BD493" s="64">
        <v>0</v>
      </c>
      <c r="BE493" s="64">
        <v>0</v>
      </c>
      <c r="BF493" s="64">
        <v>0</v>
      </c>
      <c r="BG493" s="64">
        <v>0</v>
      </c>
      <c r="BH493" s="64">
        <v>0</v>
      </c>
      <c r="BI493" s="64">
        <v>0</v>
      </c>
      <c r="BJ493" s="64">
        <v>0</v>
      </c>
      <c r="BK493" s="64">
        <v>0</v>
      </c>
      <c r="BL493" s="64">
        <v>0</v>
      </c>
    </row>
    <row r="494" spans="1:64" ht="14.1" customHeight="1">
      <c r="A494" s="379">
        <f t="shared" si="855"/>
        <v>487</v>
      </c>
      <c r="B494" s="13" t="s">
        <v>310</v>
      </c>
      <c r="C494" s="47">
        <f t="shared" ref="C494:K494" si="875">SUM(C486:C493)</f>
        <v>-150304</v>
      </c>
      <c r="D494" s="47">
        <f t="shared" si="875"/>
        <v>0</v>
      </c>
      <c r="E494" s="47">
        <f t="shared" si="875"/>
        <v>0</v>
      </c>
      <c r="F494" s="47">
        <f t="shared" si="875"/>
        <v>0</v>
      </c>
      <c r="G494" s="47">
        <f t="shared" si="875"/>
        <v>0</v>
      </c>
      <c r="H494" s="47">
        <f t="shared" si="875"/>
        <v>0</v>
      </c>
      <c r="I494" s="47">
        <f t="shared" si="875"/>
        <v>0</v>
      </c>
      <c r="J494" s="47">
        <f t="shared" si="875"/>
        <v>0</v>
      </c>
      <c r="K494" s="47">
        <f t="shared" si="875"/>
        <v>0</v>
      </c>
      <c r="L494" s="47">
        <f t="shared" ref="L494:Y494" si="876">SUM(L486:L493)</f>
        <v>0</v>
      </c>
      <c r="M494" s="47">
        <f t="shared" si="876"/>
        <v>0</v>
      </c>
      <c r="N494" s="47">
        <f t="shared" si="876"/>
        <v>0</v>
      </c>
      <c r="O494" s="47">
        <f t="shared" si="876"/>
        <v>0</v>
      </c>
      <c r="P494" s="47">
        <f t="shared" si="876"/>
        <v>0</v>
      </c>
      <c r="Q494" s="47">
        <f t="shared" si="876"/>
        <v>0</v>
      </c>
      <c r="R494" s="47">
        <f t="shared" si="876"/>
        <v>0</v>
      </c>
      <c r="S494" s="47">
        <f t="shared" si="876"/>
        <v>0</v>
      </c>
      <c r="T494" s="47">
        <f>SUM(T486:T493)</f>
        <v>0</v>
      </c>
      <c r="U494" s="47">
        <f t="shared" si="876"/>
        <v>0</v>
      </c>
      <c r="V494" s="47">
        <f t="shared" si="876"/>
        <v>0</v>
      </c>
      <c r="W494" s="47">
        <f t="shared" si="876"/>
        <v>0</v>
      </c>
      <c r="X494" s="47">
        <f t="shared" si="876"/>
        <v>0</v>
      </c>
      <c r="Y494" s="47">
        <f t="shared" si="876"/>
        <v>0</v>
      </c>
      <c r="Z494" s="47">
        <f t="shared" ref="Z494:AE494" si="877">SUM(Z486:Z493)</f>
        <v>0</v>
      </c>
      <c r="AA494" s="47">
        <f t="shared" si="877"/>
        <v>0</v>
      </c>
      <c r="AB494" s="47">
        <f t="shared" si="877"/>
        <v>0</v>
      </c>
      <c r="AC494" s="47">
        <f t="shared" si="877"/>
        <v>0</v>
      </c>
      <c r="AD494" s="47">
        <f t="shared" si="877"/>
        <v>0</v>
      </c>
      <c r="AE494" s="47">
        <f t="shared" si="877"/>
        <v>0</v>
      </c>
      <c r="AF494" s="47">
        <f t="shared" ref="AF494:AL494" si="878">SUM(AF486:AF493)</f>
        <v>0</v>
      </c>
      <c r="AG494" s="47">
        <f t="shared" si="878"/>
        <v>0</v>
      </c>
      <c r="AH494" s="47">
        <f t="shared" si="878"/>
        <v>-150304</v>
      </c>
      <c r="AI494" s="47">
        <f t="shared" si="878"/>
        <v>0</v>
      </c>
      <c r="AJ494" s="47">
        <f t="shared" si="878"/>
        <v>0</v>
      </c>
      <c r="AK494" s="47">
        <f>SUM(AK486:AK493)</f>
        <v>0</v>
      </c>
      <c r="AL494" s="47">
        <f t="shared" si="878"/>
        <v>0</v>
      </c>
      <c r="AM494" s="47">
        <f t="shared" ref="AM494:BB494" si="879">SUM(AM486:AM493)</f>
        <v>0</v>
      </c>
      <c r="AN494" s="47">
        <f t="shared" si="879"/>
        <v>0</v>
      </c>
      <c r="AO494" s="47">
        <f t="shared" si="879"/>
        <v>0</v>
      </c>
      <c r="AP494" s="47">
        <f t="shared" si="879"/>
        <v>0</v>
      </c>
      <c r="AQ494" s="47">
        <f>SUM(AQ486:AQ493)</f>
        <v>0</v>
      </c>
      <c r="AR494" s="47">
        <f>SUM(AR486:AR493)</f>
        <v>0</v>
      </c>
      <c r="AS494" s="47">
        <f t="shared" ref="AS494:AY494" si="880">SUM(AS486:AS493)</f>
        <v>0</v>
      </c>
      <c r="AT494" s="47">
        <f t="shared" si="880"/>
        <v>0</v>
      </c>
      <c r="AU494" s="47">
        <f>SUM(AU486:AU493)</f>
        <v>0</v>
      </c>
      <c r="AV494" s="47">
        <f t="shared" si="880"/>
        <v>0</v>
      </c>
      <c r="AW494" s="47">
        <f t="shared" si="880"/>
        <v>0</v>
      </c>
      <c r="AX494" s="47">
        <f t="shared" si="880"/>
        <v>0</v>
      </c>
      <c r="AY494" s="47">
        <f t="shared" si="880"/>
        <v>0</v>
      </c>
      <c r="AZ494" s="47">
        <f>SUM(AZ486:AZ493)</f>
        <v>0</v>
      </c>
      <c r="BA494" s="47">
        <f t="shared" si="879"/>
        <v>0</v>
      </c>
      <c r="BB494" s="47">
        <f t="shared" si="879"/>
        <v>0</v>
      </c>
      <c r="BC494" s="47">
        <f>SUM(BC486:BC493)</f>
        <v>0</v>
      </c>
      <c r="BD494" s="47">
        <f>SUM(BD486:BD493)</f>
        <v>0</v>
      </c>
      <c r="BE494" s="47">
        <f t="shared" ref="BE494:BG494" si="881">SUM(BE486:BE493)</f>
        <v>0</v>
      </c>
      <c r="BF494" s="47">
        <f t="shared" si="881"/>
        <v>0</v>
      </c>
      <c r="BG494" s="47">
        <f t="shared" si="881"/>
        <v>0</v>
      </c>
      <c r="BH494" s="47">
        <f t="shared" ref="BH494:BL494" si="882">SUM(BH486:BH493)</f>
        <v>0</v>
      </c>
      <c r="BI494" s="47">
        <f t="shared" si="882"/>
        <v>0</v>
      </c>
      <c r="BJ494" s="47">
        <f t="shared" si="882"/>
        <v>0</v>
      </c>
      <c r="BK494" s="47">
        <f t="shared" si="882"/>
        <v>0</v>
      </c>
      <c r="BL494" s="47">
        <f t="shared" si="882"/>
        <v>0</v>
      </c>
    </row>
    <row r="495" spans="1:64" ht="14.1" customHeight="1">
      <c r="A495" s="379">
        <f t="shared" si="855"/>
        <v>488</v>
      </c>
      <c r="B495" s="22"/>
      <c r="C495" s="65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</row>
    <row r="496" spans="1:64" ht="14.1" customHeight="1">
      <c r="A496" s="379">
        <f t="shared" si="855"/>
        <v>489</v>
      </c>
      <c r="B496" s="22"/>
      <c r="C496" s="65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</row>
    <row r="497" spans="1:64" ht="13.9" customHeight="1">
      <c r="A497" s="379">
        <f t="shared" si="855"/>
        <v>490</v>
      </c>
      <c r="B497" s="13" t="s">
        <v>311</v>
      </c>
      <c r="C497" s="61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</row>
    <row r="498" spans="1:64" ht="13.9" customHeight="1">
      <c r="A498" s="379">
        <f t="shared" si="855"/>
        <v>491</v>
      </c>
      <c r="B498" s="129" t="s">
        <v>328</v>
      </c>
      <c r="C498" s="38">
        <f>SUM(D498:BI498)</f>
        <v>-2719628</v>
      </c>
      <c r="D498" s="211">
        <f>ROUND((((D12)-(D23+D25+D26+D28+D29-D505))*$C$507),0)</f>
        <v>-362979</v>
      </c>
      <c r="E498" s="211">
        <f t="shared" ref="E498:AI498" si="883">ROUND((((E12)-(E23+E25+E26+E28+E29-E505))*$C$507),0)</f>
        <v>-1226032</v>
      </c>
      <c r="F498" s="211">
        <f t="shared" si="883"/>
        <v>774656</v>
      </c>
      <c r="G498" s="211">
        <f t="shared" si="883"/>
        <v>0</v>
      </c>
      <c r="H498" s="211">
        <f t="shared" si="883"/>
        <v>-1685314</v>
      </c>
      <c r="I498" s="211">
        <f t="shared" si="883"/>
        <v>22350</v>
      </c>
      <c r="J498" s="211">
        <f t="shared" si="883"/>
        <v>-18095</v>
      </c>
      <c r="K498" s="211">
        <f t="shared" si="883"/>
        <v>0</v>
      </c>
      <c r="L498" s="211">
        <f t="shared" si="883"/>
        <v>-17658</v>
      </c>
      <c r="M498" s="211">
        <f t="shared" si="883"/>
        <v>0</v>
      </c>
      <c r="N498" s="211">
        <f t="shared" si="883"/>
        <v>0</v>
      </c>
      <c r="O498" s="211">
        <f t="shared" si="883"/>
        <v>-181003</v>
      </c>
      <c r="P498" s="211">
        <f t="shared" si="883"/>
        <v>-277026</v>
      </c>
      <c r="Q498" s="211">
        <f t="shared" si="883"/>
        <v>81023</v>
      </c>
      <c r="R498" s="211">
        <f t="shared" si="883"/>
        <v>12921</v>
      </c>
      <c r="S498" s="211">
        <f t="shared" si="883"/>
        <v>-29959</v>
      </c>
      <c r="T498" s="211">
        <f>ROUND((((T12)-(T23+T25+T26+T28+T29-T505))*$C$507),0)</f>
        <v>-21143</v>
      </c>
      <c r="U498" s="211">
        <f t="shared" si="883"/>
        <v>-30900</v>
      </c>
      <c r="V498" s="211">
        <f t="shared" si="883"/>
        <v>6556</v>
      </c>
      <c r="W498" s="211">
        <f t="shared" si="883"/>
        <v>6420</v>
      </c>
      <c r="X498" s="211">
        <f t="shared" si="883"/>
        <v>0</v>
      </c>
      <c r="Y498" s="211">
        <f t="shared" si="883"/>
        <v>22460</v>
      </c>
      <c r="Z498" s="211">
        <f t="shared" si="883"/>
        <v>-837138</v>
      </c>
      <c r="AA498" s="211">
        <f t="shared" si="883"/>
        <v>-12203</v>
      </c>
      <c r="AB498" s="211">
        <f t="shared" si="883"/>
        <v>11015</v>
      </c>
      <c r="AC498" s="211">
        <f t="shared" si="883"/>
        <v>90231</v>
      </c>
      <c r="AD498" s="211">
        <f t="shared" si="883"/>
        <v>119704</v>
      </c>
      <c r="AE498" s="211">
        <f t="shared" si="883"/>
        <v>1613</v>
      </c>
      <c r="AF498" s="211">
        <f t="shared" si="883"/>
        <v>0</v>
      </c>
      <c r="AG498" s="211">
        <f t="shared" si="883"/>
        <v>0</v>
      </c>
      <c r="AH498" s="211">
        <f t="shared" si="883"/>
        <v>0</v>
      </c>
      <c r="AI498" s="211">
        <f t="shared" si="883"/>
        <v>-318</v>
      </c>
      <c r="AJ498" s="211">
        <v>441404</v>
      </c>
      <c r="AK498" s="211">
        <v>0</v>
      </c>
      <c r="AL498" s="211">
        <f>ROUND((((AL12)-(AL23+AL25+AL26+AL28+AL29))*$C$507),0)</f>
        <v>0</v>
      </c>
      <c r="AM498" s="211">
        <f>ROUND((((AM12)-(AM23+AM25+AM26+AM28+AM29))*$C$507),0)</f>
        <v>0</v>
      </c>
      <c r="AN498" s="211">
        <f t="shared" ref="AN498:BI498" si="884">ROUND((((AN12)-(AN23+AN25+AN26+AN28+AN29-AN505))*$C$507),0)</f>
        <v>-12540</v>
      </c>
      <c r="AO498" s="211">
        <f t="shared" si="884"/>
        <v>36886</v>
      </c>
      <c r="AP498" s="211">
        <f t="shared" si="884"/>
        <v>15418</v>
      </c>
      <c r="AQ498" s="211">
        <f t="shared" si="884"/>
        <v>556</v>
      </c>
      <c r="AR498" s="211">
        <f t="shared" si="884"/>
        <v>-99264</v>
      </c>
      <c r="AS498" s="211">
        <f t="shared" si="884"/>
        <v>-3017</v>
      </c>
      <c r="AT498" s="211">
        <f t="shared" si="884"/>
        <v>0</v>
      </c>
      <c r="AU498" s="211">
        <f t="shared" si="884"/>
        <v>3361</v>
      </c>
      <c r="AV498" s="211">
        <f t="shared" si="884"/>
        <v>8371</v>
      </c>
      <c r="AW498" s="211">
        <f t="shared" si="884"/>
        <v>-2442</v>
      </c>
      <c r="AX498" s="211">
        <f t="shared" si="884"/>
        <v>-53822</v>
      </c>
      <c r="AY498" s="211">
        <f t="shared" si="884"/>
        <v>-13586</v>
      </c>
      <c r="AZ498" s="211">
        <f t="shared" si="884"/>
        <v>-89447</v>
      </c>
      <c r="BA498" s="211">
        <f t="shared" si="884"/>
        <v>0</v>
      </c>
      <c r="BB498" s="211">
        <f t="shared" si="884"/>
        <v>2295</v>
      </c>
      <c r="BC498" s="211">
        <f t="shared" si="884"/>
        <v>0</v>
      </c>
      <c r="BD498" s="211">
        <f t="shared" si="884"/>
        <v>570185</v>
      </c>
      <c r="BE498" s="211">
        <f t="shared" si="884"/>
        <v>0</v>
      </c>
      <c r="BF498" s="211">
        <f t="shared" si="884"/>
        <v>0</v>
      </c>
      <c r="BG498" s="211">
        <f t="shared" si="884"/>
        <v>0</v>
      </c>
      <c r="BH498" s="211">
        <f t="shared" si="884"/>
        <v>0</v>
      </c>
      <c r="BI498" s="211">
        <f t="shared" si="884"/>
        <v>26833</v>
      </c>
      <c r="BJ498" s="211">
        <v>0</v>
      </c>
      <c r="BK498" s="211">
        <v>0</v>
      </c>
      <c r="BL498" s="211">
        <v>0</v>
      </c>
    </row>
    <row r="499" spans="1:64" ht="14.1" customHeight="1">
      <c r="A499" s="379">
        <f t="shared" si="855"/>
        <v>492</v>
      </c>
      <c r="B499" s="129" t="s">
        <v>312</v>
      </c>
      <c r="C499" s="38">
        <f>SUM(D499:BI499)</f>
        <v>-9184154</v>
      </c>
      <c r="D499" s="211">
        <f>ROUND((((D12)-(D23+D25+D26+D28+D29-D505+D498))*$C$508),0)</f>
        <v>-1225774</v>
      </c>
      <c r="E499" s="211">
        <f t="shared" ref="E499:AI499" si="885">ROUND((((E12)-(E23+E25+E26+E28+E29-E505+E498))*$C$508),0)</f>
        <v>-4140292</v>
      </c>
      <c r="F499" s="211">
        <f t="shared" si="885"/>
        <v>2616002</v>
      </c>
      <c r="G499" s="211">
        <f t="shared" si="885"/>
        <v>0</v>
      </c>
      <c r="H499" s="211">
        <f t="shared" si="885"/>
        <v>-5691281</v>
      </c>
      <c r="I499" s="211">
        <f t="shared" si="885"/>
        <v>75475</v>
      </c>
      <c r="J499" s="211">
        <f t="shared" si="885"/>
        <v>-61108</v>
      </c>
      <c r="K499" s="211">
        <f t="shared" si="885"/>
        <v>0</v>
      </c>
      <c r="L499" s="211">
        <f t="shared" si="885"/>
        <v>-59631</v>
      </c>
      <c r="M499" s="211">
        <f t="shared" si="885"/>
        <v>0</v>
      </c>
      <c r="N499" s="211">
        <f t="shared" si="885"/>
        <v>0</v>
      </c>
      <c r="O499" s="211">
        <f t="shared" si="885"/>
        <v>-611243</v>
      </c>
      <c r="P499" s="211">
        <f t="shared" si="885"/>
        <v>-935513</v>
      </c>
      <c r="Q499" s="211">
        <f t="shared" si="885"/>
        <v>273613</v>
      </c>
      <c r="R499" s="211">
        <f t="shared" si="885"/>
        <v>43633</v>
      </c>
      <c r="S499" s="211">
        <f t="shared" si="885"/>
        <v>-101172</v>
      </c>
      <c r="T499" s="211">
        <f>ROUND((((T12)-(T23+T25+T26+T28+T29-T505+T498))*$C$508),0)</f>
        <v>-71401</v>
      </c>
      <c r="U499" s="211">
        <f t="shared" si="885"/>
        <v>-104347</v>
      </c>
      <c r="V499" s="211">
        <f t="shared" si="885"/>
        <v>22139</v>
      </c>
      <c r="W499" s="211">
        <f t="shared" si="885"/>
        <v>21680</v>
      </c>
      <c r="X499" s="211">
        <f t="shared" si="885"/>
        <v>0</v>
      </c>
      <c r="Y499" s="211">
        <f t="shared" si="885"/>
        <v>75849</v>
      </c>
      <c r="Z499" s="211">
        <f t="shared" si="885"/>
        <v>-2827001</v>
      </c>
      <c r="AA499" s="211">
        <f t="shared" si="885"/>
        <v>-41209</v>
      </c>
      <c r="AB499" s="211">
        <f t="shared" si="885"/>
        <v>37199</v>
      </c>
      <c r="AC499" s="211">
        <f t="shared" si="885"/>
        <v>304707</v>
      </c>
      <c r="AD499" s="211">
        <f t="shared" si="885"/>
        <v>404237</v>
      </c>
      <c r="AE499" s="211">
        <f t="shared" si="885"/>
        <v>5448</v>
      </c>
      <c r="AF499" s="211">
        <f t="shared" si="885"/>
        <v>0</v>
      </c>
      <c r="AG499" s="211">
        <f t="shared" si="885"/>
        <v>0</v>
      </c>
      <c r="AH499" s="211">
        <f t="shared" si="885"/>
        <v>0</v>
      </c>
      <c r="AI499" s="211">
        <f t="shared" si="885"/>
        <v>-1075</v>
      </c>
      <c r="AJ499" s="211">
        <v>1490607</v>
      </c>
      <c r="AK499" s="211">
        <v>0</v>
      </c>
      <c r="AL499" s="211">
        <f>ROUND((((AL12)-(AL23+AL25+AL26+AL28+AL29+AL498))*$C$508),0)</f>
        <v>0</v>
      </c>
      <c r="AM499" s="211">
        <f>ROUND((((AM12)-(AM23+AM25+AM26+AM28+AM29+AM498))*$C$508),0)</f>
        <v>0</v>
      </c>
      <c r="AN499" s="211">
        <f>ROUND((((AN12)-(AN23+AN25+AN26+AN28+AN29-AN505+AN498))*$C$508),0)</f>
        <v>-42348</v>
      </c>
      <c r="AO499" s="211">
        <f>ROUND((((AO12)-(AO23+AO25+AO26+AO28+AO29-AO505+AO498))*$C$508),0)</f>
        <v>124564</v>
      </c>
      <c r="AP499" s="211">
        <f t="shared" ref="AP499" si="886">ROUND((((AP12)-(AP23+AP25+AP26+AP28+AP29-AP505+AP498))*$C$508),0)</f>
        <v>52066</v>
      </c>
      <c r="AQ499" s="211">
        <f>ROUND((((AQ12)-(AQ23+AQ25+AQ26+AQ28+AQ29-AQ505+AQ498))*$C$508),0)</f>
        <v>1877</v>
      </c>
      <c r="AR499" s="211">
        <f>ROUND((((AR12)-(AR23+AR25+AR26+AR28+AR29-AR505+AR498))*$C$508),0)</f>
        <v>-335212</v>
      </c>
      <c r="AS499" s="211">
        <f t="shared" ref="AS499:AY499" si="887">ROUND((((AS12)-(AS23+AS25+AS26+AS28+AS29-AS505+AS498))*$C$508),0)</f>
        <v>-10187</v>
      </c>
      <c r="AT499" s="211">
        <f t="shared" si="887"/>
        <v>0</v>
      </c>
      <c r="AU499" s="211">
        <f>ROUND((((AU12)-(AU23+AU25+AU26+AU28+AU29-AU505+AU498))*$C$508),0)</f>
        <v>11350</v>
      </c>
      <c r="AV499" s="211">
        <f t="shared" si="887"/>
        <v>28268</v>
      </c>
      <c r="AW499" s="211">
        <f t="shared" si="887"/>
        <v>-8246</v>
      </c>
      <c r="AX499" s="211">
        <f t="shared" si="887"/>
        <v>-181757</v>
      </c>
      <c r="AY499" s="211">
        <f t="shared" si="887"/>
        <v>-45881</v>
      </c>
      <c r="AZ499" s="211">
        <f>ROUND((((AZ12)-(AZ23+AZ25+AZ26+AZ28+AZ29-AZ505+AZ498))*$C$508),0)</f>
        <v>-302061</v>
      </c>
      <c r="BA499" s="211">
        <f t="shared" ref="BA499:BB499" si="888">ROUND((((BA12)-(BA23+BA25+BA26+BA28+BA29-BA505+BA498))*$C$508),0)</f>
        <v>0</v>
      </c>
      <c r="BB499" s="211">
        <f t="shared" si="888"/>
        <v>7749</v>
      </c>
      <c r="BC499" s="211">
        <f>ROUND((((BC12)-(BC23+BC25+BC26+BC28+BC29-BC505+BC498))*$C$508),0)</f>
        <v>0</v>
      </c>
      <c r="BD499" s="211">
        <f>ROUND((((BD12)-(BD23+BD25+BD26+BD28+BD29-BD505+BD498))*$C$508),0)</f>
        <v>1925507</v>
      </c>
      <c r="BE499" s="211">
        <f t="shared" ref="BE499:BG499" si="889">ROUND((((BE12)-(BE23+BE25+BE26+BE28+BE29-BE505+BE498))*$C$508),0)</f>
        <v>0</v>
      </c>
      <c r="BF499" s="211">
        <f t="shared" si="889"/>
        <v>0</v>
      </c>
      <c r="BG499" s="211">
        <f t="shared" si="889"/>
        <v>0</v>
      </c>
      <c r="BH499" s="211">
        <f t="shared" ref="BH499:BL499" si="890">ROUND((((BH12)-(BH23+BH25+BH26+BH28+BH29-BH505+BH498))*$C$508),0)</f>
        <v>0</v>
      </c>
      <c r="BI499" s="211">
        <f t="shared" si="890"/>
        <v>90615</v>
      </c>
      <c r="BJ499" s="211">
        <f t="shared" si="890"/>
        <v>0</v>
      </c>
      <c r="BK499" s="211">
        <f t="shared" si="890"/>
        <v>0</v>
      </c>
      <c r="BL499" s="211">
        <f t="shared" si="890"/>
        <v>0</v>
      </c>
    </row>
    <row r="500" spans="1:64" ht="14.1" customHeight="1">
      <c r="A500" s="379">
        <f t="shared" si="855"/>
        <v>493</v>
      </c>
      <c r="B500" s="129" t="s">
        <v>313</v>
      </c>
      <c r="C500" s="38">
        <f>SUM(D500:BI500)</f>
        <v>10486154</v>
      </c>
      <c r="D500" s="43">
        <f t="shared" ref="D500:K500" si="891">ROUND(D505*D506*$C$508*-1,0)</f>
        <v>0</v>
      </c>
      <c r="E500" s="43">
        <f t="shared" si="891"/>
        <v>1245992</v>
      </c>
      <c r="F500" s="43">
        <f t="shared" si="891"/>
        <v>0</v>
      </c>
      <c r="G500" s="43">
        <f t="shared" si="891"/>
        <v>0</v>
      </c>
      <c r="H500" s="43">
        <f t="shared" si="891"/>
        <v>-96076</v>
      </c>
      <c r="I500" s="43">
        <f t="shared" si="891"/>
        <v>0</v>
      </c>
      <c r="J500" s="43">
        <f t="shared" si="891"/>
        <v>0</v>
      </c>
      <c r="K500" s="43">
        <f t="shared" si="891"/>
        <v>0</v>
      </c>
      <c r="L500" s="43">
        <f t="shared" ref="L500:Y500" si="892">ROUND(L505*L506*$C$508*-1,0)</f>
        <v>0</v>
      </c>
      <c r="M500" s="43">
        <f t="shared" si="892"/>
        <v>0</v>
      </c>
      <c r="N500" s="43">
        <f t="shared" si="892"/>
        <v>0</v>
      </c>
      <c r="O500" s="43">
        <f t="shared" si="892"/>
        <v>0</v>
      </c>
      <c r="P500" s="43">
        <f t="shared" si="892"/>
        <v>0</v>
      </c>
      <c r="Q500" s="43">
        <f t="shared" si="892"/>
        <v>0</v>
      </c>
      <c r="R500" s="43">
        <f t="shared" si="892"/>
        <v>0</v>
      </c>
      <c r="S500" s="43">
        <f t="shared" si="892"/>
        <v>0</v>
      </c>
      <c r="T500" s="43">
        <f>ROUND(T505*T506*$C$508*-1,0)</f>
        <v>0</v>
      </c>
      <c r="U500" s="43">
        <f t="shared" si="892"/>
        <v>0</v>
      </c>
      <c r="V500" s="43">
        <f t="shared" si="892"/>
        <v>0</v>
      </c>
      <c r="W500" s="43">
        <f t="shared" si="892"/>
        <v>0</v>
      </c>
      <c r="X500" s="43">
        <f t="shared" si="892"/>
        <v>1857</v>
      </c>
      <c r="Y500" s="43">
        <f t="shared" si="892"/>
        <v>0</v>
      </c>
      <c r="Z500" s="43">
        <f t="shared" ref="Z500:AE500" si="893">ROUND(Z505*Z506*$C$508*-1,0)</f>
        <v>0</v>
      </c>
      <c r="AA500" s="43">
        <f t="shared" si="893"/>
        <v>0</v>
      </c>
      <c r="AB500" s="43">
        <f t="shared" si="893"/>
        <v>-61172</v>
      </c>
      <c r="AC500" s="43">
        <f t="shared" si="893"/>
        <v>0</v>
      </c>
      <c r="AD500" s="43">
        <f t="shared" si="893"/>
        <v>-95239</v>
      </c>
      <c r="AE500" s="43">
        <f t="shared" si="893"/>
        <v>0</v>
      </c>
      <c r="AF500" s="43">
        <f t="shared" ref="AF500:AI500" si="894">ROUND(AF505*AF506*$C$508*-1,0)</f>
        <v>-976309</v>
      </c>
      <c r="AG500" s="43">
        <f t="shared" si="894"/>
        <v>-10843</v>
      </c>
      <c r="AH500" s="43">
        <f t="shared" si="894"/>
        <v>31564</v>
      </c>
      <c r="AI500" s="43">
        <f t="shared" si="894"/>
        <v>0</v>
      </c>
      <c r="AJ500" s="43">
        <v>0</v>
      </c>
      <c r="AK500" s="43">
        <v>95271</v>
      </c>
      <c r="AL500" s="43">
        <f>ROUND(AL505*AL506*$C$508*-1,0)</f>
        <v>0</v>
      </c>
      <c r="AM500" s="43">
        <v>0</v>
      </c>
      <c r="AN500" s="43">
        <f>ROUND(AN505*AN506*$C$508*-1,0)</f>
        <v>0</v>
      </c>
      <c r="AO500" s="43">
        <v>0</v>
      </c>
      <c r="AP500" s="43">
        <f t="shared" ref="AP500" si="895">ROUND(AP505*AP506*$C$508*-1,0)</f>
        <v>0</v>
      </c>
      <c r="AQ500" s="43">
        <f>ROUND(AQ505*AQ506*$C$508*-1,0)</f>
        <v>0</v>
      </c>
      <c r="AR500" s="43">
        <f>ROUND(AR505*AR506*$C$508*-1,0)</f>
        <v>0</v>
      </c>
      <c r="AS500" s="43">
        <f t="shared" ref="AS500:AY500" si="896">ROUND(AS505*AS506*$C$508*-1,0)</f>
        <v>0</v>
      </c>
      <c r="AT500" s="43">
        <f t="shared" si="896"/>
        <v>6964</v>
      </c>
      <c r="AU500" s="43">
        <f>ROUND(AU505*AU506*$C$508*-1,0)</f>
        <v>0</v>
      </c>
      <c r="AV500" s="43">
        <f t="shared" si="896"/>
        <v>0</v>
      </c>
      <c r="AW500" s="43">
        <f t="shared" si="896"/>
        <v>0</v>
      </c>
      <c r="AX500" s="43">
        <f t="shared" si="896"/>
        <v>0</v>
      </c>
      <c r="AY500" s="43">
        <f t="shared" si="896"/>
        <v>0</v>
      </c>
      <c r="AZ500" s="43">
        <f>ROUND(AZ505*AZ506*$C$508*-1,0)</f>
        <v>0</v>
      </c>
      <c r="BA500" s="43">
        <f t="shared" ref="BA500:BB500" si="897">ROUND(BA505*BA506*$C$508*-1,0)</f>
        <v>85636</v>
      </c>
      <c r="BB500" s="43">
        <f t="shared" si="897"/>
        <v>0</v>
      </c>
      <c r="BC500" s="43">
        <v>10258509</v>
      </c>
      <c r="BD500" s="43">
        <f>ROUND(BD505*BD506*$C$508*-1,0)</f>
        <v>0</v>
      </c>
      <c r="BE500" s="43">
        <f t="shared" ref="BE500:BG500" si="898">ROUND(BE505*BE506*$C$508*-1,0)</f>
        <v>0</v>
      </c>
      <c r="BF500" s="43">
        <f t="shared" si="898"/>
        <v>0</v>
      </c>
      <c r="BG500" s="43">
        <f t="shared" si="898"/>
        <v>0</v>
      </c>
      <c r="BH500" s="43">
        <f t="shared" ref="BH500:BL500" si="899">ROUND(BH505*BH506*$C$508*-1,0)</f>
        <v>0</v>
      </c>
      <c r="BI500" s="43">
        <f t="shared" si="899"/>
        <v>0</v>
      </c>
      <c r="BJ500" s="43">
        <f t="shared" si="899"/>
        <v>0</v>
      </c>
      <c r="BK500" s="43">
        <f t="shared" si="899"/>
        <v>0</v>
      </c>
      <c r="BL500" s="43">
        <f t="shared" si="899"/>
        <v>0</v>
      </c>
    </row>
    <row r="501" spans="1:64" ht="14.1" customHeight="1">
      <c r="A501" s="379">
        <f t="shared" si="855"/>
        <v>494</v>
      </c>
      <c r="B501" s="129" t="s">
        <v>314</v>
      </c>
      <c r="C501" s="38">
        <f>SUM(D501:BI501)</f>
        <v>0</v>
      </c>
      <c r="D501" s="43">
        <v>0</v>
      </c>
      <c r="E501" s="43">
        <v>0</v>
      </c>
      <c r="F501" s="43">
        <v>0</v>
      </c>
      <c r="G501" s="43">
        <v>0</v>
      </c>
      <c r="H501" s="43">
        <v>0</v>
      </c>
      <c r="I501" s="43">
        <v>0</v>
      </c>
      <c r="J501" s="43">
        <v>0</v>
      </c>
      <c r="K501" s="43">
        <v>0</v>
      </c>
      <c r="L501" s="43">
        <v>0</v>
      </c>
      <c r="M501" s="43">
        <v>0</v>
      </c>
      <c r="N501" s="43">
        <v>0</v>
      </c>
      <c r="O501" s="43">
        <v>0</v>
      </c>
      <c r="P501" s="43">
        <v>0</v>
      </c>
      <c r="Q501" s="43">
        <v>0</v>
      </c>
      <c r="R501" s="43">
        <v>0</v>
      </c>
      <c r="S501" s="43">
        <v>0</v>
      </c>
      <c r="T501" s="43">
        <v>0</v>
      </c>
      <c r="U501" s="43">
        <v>0</v>
      </c>
      <c r="V501" s="43">
        <v>0</v>
      </c>
      <c r="W501" s="43">
        <v>0</v>
      </c>
      <c r="X501" s="43">
        <v>0</v>
      </c>
      <c r="Y501" s="43">
        <v>0</v>
      </c>
      <c r="Z501" s="43">
        <v>0</v>
      </c>
      <c r="AA501" s="43">
        <v>0</v>
      </c>
      <c r="AB501" s="43">
        <v>0</v>
      </c>
      <c r="AC501" s="43">
        <v>0</v>
      </c>
      <c r="AD501" s="43">
        <v>0</v>
      </c>
      <c r="AE501" s="43">
        <v>0</v>
      </c>
      <c r="AF501" s="43">
        <v>0</v>
      </c>
      <c r="AG501" s="43">
        <v>0</v>
      </c>
      <c r="AH501" s="43">
        <v>0</v>
      </c>
      <c r="AI501" s="43">
        <v>0</v>
      </c>
      <c r="AJ501" s="43">
        <v>0</v>
      </c>
      <c r="AK501" s="43">
        <v>0</v>
      </c>
      <c r="AL501" s="43">
        <v>0</v>
      </c>
      <c r="AM501" s="43">
        <v>0</v>
      </c>
      <c r="AN501" s="43">
        <v>0</v>
      </c>
      <c r="AO501" s="43">
        <v>0</v>
      </c>
      <c r="AP501" s="43">
        <v>0</v>
      </c>
      <c r="AQ501" s="43">
        <v>0</v>
      </c>
      <c r="AR501" s="43">
        <v>0</v>
      </c>
      <c r="AS501" s="43">
        <v>0</v>
      </c>
      <c r="AT501" s="43">
        <v>0</v>
      </c>
      <c r="AU501" s="43">
        <v>0</v>
      </c>
      <c r="AV501" s="43">
        <v>0</v>
      </c>
      <c r="AW501" s="43">
        <v>0</v>
      </c>
      <c r="AX501" s="43">
        <v>0</v>
      </c>
      <c r="AY501" s="43">
        <v>0</v>
      </c>
      <c r="AZ501" s="43">
        <v>0</v>
      </c>
      <c r="BA501" s="43">
        <v>0</v>
      </c>
      <c r="BB501" s="43">
        <v>0</v>
      </c>
      <c r="BC501" s="43">
        <v>0</v>
      </c>
      <c r="BD501" s="43">
        <v>0</v>
      </c>
      <c r="BE501" s="43">
        <v>0</v>
      </c>
      <c r="BF501" s="43">
        <v>0</v>
      </c>
      <c r="BG501" s="43">
        <v>0</v>
      </c>
      <c r="BH501" s="43">
        <v>0</v>
      </c>
      <c r="BI501" s="43">
        <v>0</v>
      </c>
      <c r="BJ501" s="43">
        <v>0</v>
      </c>
      <c r="BK501" s="43">
        <v>0</v>
      </c>
      <c r="BL501" s="43">
        <v>0</v>
      </c>
    </row>
    <row r="502" spans="1:64" ht="14.1" customHeight="1">
      <c r="A502" s="379">
        <f t="shared" si="855"/>
        <v>495</v>
      </c>
      <c r="B502" s="57" t="s">
        <v>329</v>
      </c>
      <c r="C502" s="38">
        <f>SUM(D502:BI502)</f>
        <v>0</v>
      </c>
      <c r="D502" s="43">
        <v>0</v>
      </c>
      <c r="E502" s="43">
        <v>0</v>
      </c>
      <c r="F502" s="43">
        <v>0</v>
      </c>
      <c r="G502" s="43">
        <v>0</v>
      </c>
      <c r="H502" s="43">
        <v>0</v>
      </c>
      <c r="I502" s="43">
        <v>0</v>
      </c>
      <c r="J502" s="43">
        <v>0</v>
      </c>
      <c r="K502" s="43">
        <v>0</v>
      </c>
      <c r="L502" s="43">
        <v>0</v>
      </c>
      <c r="M502" s="43">
        <v>0</v>
      </c>
      <c r="N502" s="43">
        <v>0</v>
      </c>
      <c r="O502" s="43">
        <v>0</v>
      </c>
      <c r="P502" s="43">
        <v>0</v>
      </c>
      <c r="Q502" s="43">
        <v>0</v>
      </c>
      <c r="R502" s="43">
        <v>0</v>
      </c>
      <c r="S502" s="43">
        <v>0</v>
      </c>
      <c r="T502" s="43">
        <v>0</v>
      </c>
      <c r="U502" s="43">
        <v>0</v>
      </c>
      <c r="V502" s="43">
        <v>0</v>
      </c>
      <c r="W502" s="43">
        <v>0</v>
      </c>
      <c r="X502" s="43">
        <v>0</v>
      </c>
      <c r="Y502" s="43">
        <v>0</v>
      </c>
      <c r="Z502" s="43">
        <v>0</v>
      </c>
      <c r="AA502" s="43">
        <v>0</v>
      </c>
      <c r="AB502" s="43">
        <v>0</v>
      </c>
      <c r="AC502" s="43">
        <v>0</v>
      </c>
      <c r="AD502" s="43">
        <v>0</v>
      </c>
      <c r="AE502" s="43">
        <v>0</v>
      </c>
      <c r="AF502" s="43">
        <v>0</v>
      </c>
      <c r="AG502" s="43">
        <v>0</v>
      </c>
      <c r="AH502" s="43">
        <v>0</v>
      </c>
      <c r="AI502" s="43">
        <v>0</v>
      </c>
      <c r="AJ502" s="43">
        <v>0</v>
      </c>
      <c r="AK502" s="43">
        <v>0</v>
      </c>
      <c r="AL502" s="43">
        <v>0</v>
      </c>
      <c r="AM502" s="43">
        <v>0</v>
      </c>
      <c r="AN502" s="43">
        <v>0</v>
      </c>
      <c r="AO502" s="43">
        <v>0</v>
      </c>
      <c r="AP502" s="43">
        <v>0</v>
      </c>
      <c r="AQ502" s="43">
        <v>0</v>
      </c>
      <c r="AR502" s="43">
        <v>0</v>
      </c>
      <c r="AS502" s="43">
        <v>0</v>
      </c>
      <c r="AT502" s="43">
        <v>0</v>
      </c>
      <c r="AU502" s="43">
        <v>0</v>
      </c>
      <c r="AV502" s="43">
        <v>0</v>
      </c>
      <c r="AW502" s="43">
        <v>0</v>
      </c>
      <c r="AX502" s="43">
        <v>0</v>
      </c>
      <c r="AY502" s="43">
        <v>0</v>
      </c>
      <c r="AZ502" s="43">
        <v>0</v>
      </c>
      <c r="BA502" s="43">
        <v>0</v>
      </c>
      <c r="BB502" s="43">
        <v>0</v>
      </c>
      <c r="BC502" s="43">
        <v>0</v>
      </c>
      <c r="BD502" s="43">
        <v>0</v>
      </c>
      <c r="BE502" s="43">
        <v>0</v>
      </c>
      <c r="BF502" s="43">
        <v>0</v>
      </c>
      <c r="BG502" s="43">
        <v>0</v>
      </c>
      <c r="BH502" s="43">
        <v>0</v>
      </c>
      <c r="BI502" s="43">
        <v>0</v>
      </c>
      <c r="BJ502" s="43">
        <v>0</v>
      </c>
      <c r="BK502" s="43">
        <v>0</v>
      </c>
      <c r="BL502" s="43">
        <v>0</v>
      </c>
    </row>
    <row r="503" spans="1:64" ht="14.1" customHeight="1">
      <c r="A503" s="379">
        <f>+A502+1</f>
        <v>496</v>
      </c>
      <c r="B503" s="13" t="s">
        <v>315</v>
      </c>
      <c r="C503" s="47">
        <f t="shared" ref="C503:H503" si="900">SUM(C497:C502)</f>
        <v>-1417628</v>
      </c>
      <c r="D503" s="47">
        <f t="shared" si="900"/>
        <v>-1588753</v>
      </c>
      <c r="E503" s="47">
        <f>SUM(E497:E502)</f>
        <v>-4120332</v>
      </c>
      <c r="F503" s="47">
        <f>SUM(F497:F502)</f>
        <v>3390658</v>
      </c>
      <c r="G503" s="47">
        <f>SUM(G497:G502)</f>
        <v>0</v>
      </c>
      <c r="H503" s="47">
        <f t="shared" si="900"/>
        <v>-7472671</v>
      </c>
      <c r="I503" s="47">
        <f>SUM(I497:I502)</f>
        <v>97825</v>
      </c>
      <c r="J503" s="47">
        <f>SUM(J497:J502)</f>
        <v>-79203</v>
      </c>
      <c r="K503" s="47">
        <f>SUM(K497:K502)</f>
        <v>0</v>
      </c>
      <c r="L503" s="47">
        <f t="shared" ref="L503:Y503" si="901">SUM(L497:L502)</f>
        <v>-77289</v>
      </c>
      <c r="M503" s="47">
        <f t="shared" si="901"/>
        <v>0</v>
      </c>
      <c r="N503" s="47">
        <f t="shared" si="901"/>
        <v>0</v>
      </c>
      <c r="O503" s="47">
        <f t="shared" si="901"/>
        <v>-792246</v>
      </c>
      <c r="P503" s="47">
        <f t="shared" si="901"/>
        <v>-1212539</v>
      </c>
      <c r="Q503" s="47">
        <f t="shared" si="901"/>
        <v>354636</v>
      </c>
      <c r="R503" s="47">
        <f t="shared" si="901"/>
        <v>56554</v>
      </c>
      <c r="S503" s="47">
        <f t="shared" si="901"/>
        <v>-131131</v>
      </c>
      <c r="T503" s="47">
        <f>SUM(T497:T502)</f>
        <v>-92544</v>
      </c>
      <c r="U503" s="47">
        <f t="shared" si="901"/>
        <v>-135247</v>
      </c>
      <c r="V503" s="47">
        <f t="shared" si="901"/>
        <v>28695</v>
      </c>
      <c r="W503" s="47">
        <f t="shared" si="901"/>
        <v>28100</v>
      </c>
      <c r="X503" s="47">
        <f t="shared" si="901"/>
        <v>1857</v>
      </c>
      <c r="Y503" s="47">
        <f t="shared" si="901"/>
        <v>98309</v>
      </c>
      <c r="Z503" s="47">
        <f>SUM(Z497:Z502)</f>
        <v>-3664139</v>
      </c>
      <c r="AA503" s="47">
        <f>SUM(AA497:AA502)</f>
        <v>-53412</v>
      </c>
      <c r="AB503" s="47">
        <f>SUM(AB497:AB502)</f>
        <v>-12958</v>
      </c>
      <c r="AC503" s="47">
        <f t="shared" ref="AC503:AL503" si="902">SUM(AC497:AC502)</f>
        <v>394938</v>
      </c>
      <c r="AD503" s="47">
        <f t="shared" si="902"/>
        <v>428702</v>
      </c>
      <c r="AE503" s="47">
        <f t="shared" si="902"/>
        <v>7061</v>
      </c>
      <c r="AF503" s="47">
        <f t="shared" si="902"/>
        <v>-976309</v>
      </c>
      <c r="AG503" s="47">
        <f t="shared" si="902"/>
        <v>-10843</v>
      </c>
      <c r="AH503" s="47">
        <f t="shared" si="902"/>
        <v>31564</v>
      </c>
      <c r="AI503" s="47">
        <f t="shared" si="902"/>
        <v>-1393</v>
      </c>
      <c r="AJ503" s="47">
        <f>SUM(AJ497:AJ502)</f>
        <v>1932011</v>
      </c>
      <c r="AK503" s="47">
        <f>SUM(AK497:AK502)</f>
        <v>95271</v>
      </c>
      <c r="AL503" s="47">
        <f t="shared" si="902"/>
        <v>0</v>
      </c>
      <c r="AM503" s="47">
        <f t="shared" ref="AM503:BB503" si="903">SUM(AM497:AM502)</f>
        <v>0</v>
      </c>
      <c r="AN503" s="47">
        <f t="shared" si="903"/>
        <v>-54888</v>
      </c>
      <c r="AO503" s="47">
        <f t="shared" si="903"/>
        <v>161450</v>
      </c>
      <c r="AP503" s="47">
        <f t="shared" si="903"/>
        <v>67484</v>
      </c>
      <c r="AQ503" s="47">
        <f>SUM(AQ497:AQ502)</f>
        <v>2433</v>
      </c>
      <c r="AR503" s="47">
        <f>SUM(AR497:AR502)</f>
        <v>-434476</v>
      </c>
      <c r="AS503" s="47">
        <f t="shared" ref="AS503:AY503" si="904">SUM(AS497:AS502)</f>
        <v>-13204</v>
      </c>
      <c r="AT503" s="47">
        <f t="shared" si="904"/>
        <v>6964</v>
      </c>
      <c r="AU503" s="47">
        <f>SUM(AU497:AU502)</f>
        <v>14711</v>
      </c>
      <c r="AV503" s="47">
        <f t="shared" si="904"/>
        <v>36639</v>
      </c>
      <c r="AW503" s="47">
        <f t="shared" si="904"/>
        <v>-10688</v>
      </c>
      <c r="AX503" s="47">
        <f t="shared" si="904"/>
        <v>-235579</v>
      </c>
      <c r="AY503" s="47">
        <f t="shared" si="904"/>
        <v>-59467</v>
      </c>
      <c r="AZ503" s="47">
        <f>SUM(AZ497:AZ502)</f>
        <v>-391508</v>
      </c>
      <c r="BA503" s="47">
        <f t="shared" si="903"/>
        <v>85636</v>
      </c>
      <c r="BB503" s="47">
        <f t="shared" si="903"/>
        <v>10044</v>
      </c>
      <c r="BC503" s="47">
        <f>SUM(BC497:BC502)</f>
        <v>10258509</v>
      </c>
      <c r="BD503" s="47">
        <f>SUM(BD497:BD502)</f>
        <v>2495692</v>
      </c>
      <c r="BE503" s="47">
        <f t="shared" ref="BE503:BG503" si="905">SUM(BE497:BE502)</f>
        <v>0</v>
      </c>
      <c r="BF503" s="47">
        <f t="shared" si="905"/>
        <v>0</v>
      </c>
      <c r="BG503" s="47">
        <f t="shared" si="905"/>
        <v>0</v>
      </c>
      <c r="BH503" s="47">
        <f t="shared" ref="BH503:BL503" si="906">SUM(BH497:BH502)</f>
        <v>0</v>
      </c>
      <c r="BI503" s="47">
        <f t="shared" si="906"/>
        <v>117448</v>
      </c>
      <c r="BJ503" s="47">
        <f t="shared" si="906"/>
        <v>0</v>
      </c>
      <c r="BK503" s="47">
        <f t="shared" si="906"/>
        <v>0</v>
      </c>
      <c r="BL503" s="47">
        <f t="shared" si="906"/>
        <v>0</v>
      </c>
    </row>
    <row r="504" spans="1:64" ht="14.1" customHeight="1">
      <c r="B504" s="22"/>
      <c r="C504" s="22"/>
    </row>
    <row r="505" spans="1:64" ht="14.1" customHeight="1">
      <c r="B505" s="15" t="s">
        <v>841</v>
      </c>
      <c r="C505" s="93">
        <f>SUM(D505:BI505)</f>
        <v>-86674</v>
      </c>
      <c r="D505" s="93">
        <v>0</v>
      </c>
      <c r="E505" s="93">
        <f>-6189686+256391</f>
        <v>-5933295</v>
      </c>
      <c r="F505" s="93">
        <v>0</v>
      </c>
      <c r="G505" s="93">
        <v>0</v>
      </c>
      <c r="H505" s="93">
        <v>457503</v>
      </c>
      <c r="I505" s="93">
        <v>0</v>
      </c>
      <c r="J505" s="93">
        <v>0</v>
      </c>
      <c r="K505" s="93">
        <v>0</v>
      </c>
      <c r="L505" s="93">
        <v>0</v>
      </c>
      <c r="M505" s="93">
        <v>0</v>
      </c>
      <c r="N505" s="93">
        <v>0</v>
      </c>
      <c r="O505" s="93">
        <v>0</v>
      </c>
      <c r="P505" s="93">
        <v>0</v>
      </c>
      <c r="Q505" s="93">
        <v>0</v>
      </c>
      <c r="R505" s="93">
        <v>0</v>
      </c>
      <c r="S505" s="93">
        <v>0</v>
      </c>
      <c r="T505" s="93">
        <v>0</v>
      </c>
      <c r="U505" s="93">
        <v>0</v>
      </c>
      <c r="V505" s="93">
        <v>0</v>
      </c>
      <c r="W505" s="93">
        <v>0</v>
      </c>
      <c r="X505" s="93">
        <f>2415-11256</f>
        <v>-8841</v>
      </c>
      <c r="Y505" s="93">
        <v>0</v>
      </c>
      <c r="Z505" s="93">
        <v>0</v>
      </c>
      <c r="AA505" s="93">
        <v>0</v>
      </c>
      <c r="AB505" s="93">
        <v>291297</v>
      </c>
      <c r="AC505" s="93">
        <v>0</v>
      </c>
      <c r="AD505" s="93">
        <v>453520</v>
      </c>
      <c r="AE505" s="93">
        <v>0</v>
      </c>
      <c r="AF505" s="93">
        <v>5192765</v>
      </c>
      <c r="AG505" s="93">
        <v>51634</v>
      </c>
      <c r="AH505" s="93">
        <v>-150304</v>
      </c>
      <c r="AI505" s="93">
        <v>0</v>
      </c>
      <c r="AJ505" s="93">
        <v>0</v>
      </c>
      <c r="AK505" s="93">
        <v>0</v>
      </c>
      <c r="AL505" s="93">
        <v>0</v>
      </c>
      <c r="AM505" s="93">
        <v>0</v>
      </c>
      <c r="AN505" s="93">
        <v>0</v>
      </c>
      <c r="AO505" s="93">
        <v>0</v>
      </c>
      <c r="AP505" s="93">
        <v>0</v>
      </c>
      <c r="AQ505" s="93">
        <v>0</v>
      </c>
      <c r="AR505" s="93">
        <v>0</v>
      </c>
      <c r="AS505" s="93">
        <v>0</v>
      </c>
      <c r="AT505" s="93">
        <v>-33163</v>
      </c>
      <c r="AU505" s="93">
        <v>0</v>
      </c>
      <c r="AV505" s="93">
        <v>0</v>
      </c>
      <c r="AW505" s="93">
        <v>0</v>
      </c>
      <c r="AX505" s="93">
        <v>0</v>
      </c>
      <c r="AY505" s="93">
        <v>0</v>
      </c>
      <c r="AZ505" s="93">
        <v>0</v>
      </c>
      <c r="BA505" s="93">
        <v>-407790</v>
      </c>
      <c r="BB505" s="93">
        <v>0</v>
      </c>
      <c r="BC505" s="93">
        <v>0</v>
      </c>
      <c r="BD505" s="93">
        <v>0</v>
      </c>
      <c r="BE505" s="93">
        <v>0</v>
      </c>
      <c r="BF505" s="93">
        <v>0</v>
      </c>
      <c r="BG505" s="93">
        <v>0</v>
      </c>
      <c r="BH505" s="93">
        <v>0</v>
      </c>
      <c r="BI505" s="93">
        <v>0</v>
      </c>
      <c r="BJ505" s="93">
        <v>0</v>
      </c>
      <c r="BK505" s="93">
        <v>0</v>
      </c>
      <c r="BL505" s="93">
        <v>0</v>
      </c>
    </row>
    <row r="506" spans="1:64" ht="14.1" customHeight="1">
      <c r="B506" s="15" t="s">
        <v>842</v>
      </c>
      <c r="C506" s="192"/>
      <c r="D506" s="95">
        <v>1</v>
      </c>
      <c r="E506" s="95">
        <v>1</v>
      </c>
      <c r="F506" s="95">
        <v>1</v>
      </c>
      <c r="G506" s="95">
        <v>1</v>
      </c>
      <c r="H506" s="95">
        <v>1</v>
      </c>
      <c r="I506" s="95">
        <v>1</v>
      </c>
      <c r="J506" s="95">
        <v>1</v>
      </c>
      <c r="K506" s="95">
        <v>1</v>
      </c>
      <c r="L506" s="95">
        <v>1</v>
      </c>
      <c r="M506" s="95">
        <v>1</v>
      </c>
      <c r="N506" s="95">
        <v>1</v>
      </c>
      <c r="O506" s="95">
        <v>1</v>
      </c>
      <c r="P506" s="95">
        <v>1</v>
      </c>
      <c r="Q506" s="95">
        <v>1</v>
      </c>
      <c r="R506" s="95">
        <v>1</v>
      </c>
      <c r="S506" s="95">
        <v>1</v>
      </c>
      <c r="T506" s="95">
        <v>1</v>
      </c>
      <c r="U506" s="95">
        <v>1</v>
      </c>
      <c r="V506" s="95">
        <v>1</v>
      </c>
      <c r="W506" s="95">
        <v>1</v>
      </c>
      <c r="X506" s="95">
        <v>1</v>
      </c>
      <c r="Y506" s="95">
        <v>1</v>
      </c>
      <c r="Z506" s="95">
        <v>1</v>
      </c>
      <c r="AA506" s="95">
        <v>1</v>
      </c>
      <c r="AB506" s="95">
        <v>1</v>
      </c>
      <c r="AC506" s="95">
        <v>1</v>
      </c>
      <c r="AD506" s="95">
        <v>1</v>
      </c>
      <c r="AE506" s="95">
        <v>1</v>
      </c>
      <c r="AF506" s="95">
        <v>0.89530163600000001</v>
      </c>
      <c r="AG506" s="95">
        <v>1</v>
      </c>
      <c r="AH506" s="95">
        <v>1</v>
      </c>
      <c r="AI506" s="95">
        <v>1</v>
      </c>
      <c r="AJ506" s="95">
        <v>1</v>
      </c>
      <c r="AK506" s="95">
        <v>1</v>
      </c>
      <c r="AL506" s="95">
        <v>1</v>
      </c>
      <c r="AM506" s="95">
        <v>1</v>
      </c>
      <c r="AN506" s="95">
        <v>1</v>
      </c>
      <c r="AO506" s="95">
        <v>1</v>
      </c>
      <c r="AP506" s="95">
        <v>1</v>
      </c>
      <c r="AQ506" s="95">
        <v>1</v>
      </c>
      <c r="AR506" s="95">
        <v>1</v>
      </c>
      <c r="AS506" s="95">
        <v>1</v>
      </c>
      <c r="AT506" s="95">
        <v>1</v>
      </c>
      <c r="AU506" s="95">
        <v>1</v>
      </c>
      <c r="AV506" s="95">
        <v>1</v>
      </c>
      <c r="AW506" s="95">
        <v>1</v>
      </c>
      <c r="AX506" s="95">
        <v>1</v>
      </c>
      <c r="AY506" s="95">
        <v>1</v>
      </c>
      <c r="AZ506" s="95">
        <v>1</v>
      </c>
      <c r="BA506" s="95">
        <v>1</v>
      </c>
      <c r="BB506" s="95">
        <v>1</v>
      </c>
      <c r="BC506" s="95">
        <v>1</v>
      </c>
      <c r="BD506" s="95">
        <v>1</v>
      </c>
      <c r="BE506" s="95">
        <v>1</v>
      </c>
      <c r="BF506" s="95">
        <v>1</v>
      </c>
      <c r="BG506" s="95">
        <v>1</v>
      </c>
      <c r="BH506" s="95">
        <v>1</v>
      </c>
      <c r="BI506" s="95">
        <v>1</v>
      </c>
      <c r="BJ506" s="95">
        <v>1</v>
      </c>
      <c r="BK506" s="95">
        <v>1</v>
      </c>
      <c r="BL506" s="95">
        <v>1</v>
      </c>
    </row>
    <row r="507" spans="1:64" ht="14.1" customHeight="1">
      <c r="B507" s="199" t="s">
        <v>387</v>
      </c>
      <c r="C507" s="314">
        <f>'2 P2'!G53</f>
        <v>5.8545E-2</v>
      </c>
    </row>
    <row r="508" spans="1:64" ht="14.1" customHeight="1">
      <c r="B508" s="199" t="s">
        <v>388</v>
      </c>
      <c r="C508" s="385">
        <v>0.21</v>
      </c>
    </row>
    <row r="509" spans="1:64" ht="14.1" customHeight="1">
      <c r="B509" s="199" t="s">
        <v>1055</v>
      </c>
      <c r="C509" s="212"/>
      <c r="D509" s="112">
        <f>D503/(D30+D27)</f>
        <v>0.25625048387096772</v>
      </c>
      <c r="E509" s="112">
        <f t="shared" ref="E509:BH509" si="907">E503/(E30+E27)</f>
        <v>0.27453485915331077</v>
      </c>
      <c r="F509" s="112">
        <f t="shared" si="907"/>
        <v>0.25625050541082439</v>
      </c>
      <c r="G509" s="112" t="e">
        <f t="shared" si="907"/>
        <v>#DIV/0!</v>
      </c>
      <c r="H509" s="112">
        <f t="shared" si="907"/>
        <v>0.25552700581531623</v>
      </c>
      <c r="I509" s="112">
        <f t="shared" si="907"/>
        <v>0.25624939424817356</v>
      </c>
      <c r="J509" s="112">
        <f t="shared" si="907"/>
        <v>0.25624906983816803</v>
      </c>
      <c r="K509" s="112">
        <f t="shared" si="907"/>
        <v>0</v>
      </c>
      <c r="L509" s="112">
        <f t="shared" si="907"/>
        <v>0.25625221724527791</v>
      </c>
      <c r="M509" s="112" t="e">
        <f t="shared" si="907"/>
        <v>#DIV/0!</v>
      </c>
      <c r="N509" s="112" t="e">
        <f t="shared" si="907"/>
        <v>#DIV/0!</v>
      </c>
      <c r="O509" s="112">
        <f t="shared" si="907"/>
        <v>0.25625063881043469</v>
      </c>
      <c r="P509" s="112">
        <f t="shared" si="907"/>
        <v>0.25625046097182685</v>
      </c>
      <c r="Q509" s="112">
        <f t="shared" si="907"/>
        <v>0.25625062321975922</v>
      </c>
      <c r="R509" s="112">
        <f t="shared" si="907"/>
        <v>0.25624946193684611</v>
      </c>
      <c r="S509" s="112">
        <f t="shared" si="907"/>
        <v>0.25625086715820289</v>
      </c>
      <c r="T509" s="112">
        <f t="shared" si="907"/>
        <v>0.25625093452509512</v>
      </c>
      <c r="U509" s="112">
        <f t="shared" si="907"/>
        <v>0.25625056840573557</v>
      </c>
      <c r="V509" s="112">
        <f t="shared" si="907"/>
        <v>0.25624653962243932</v>
      </c>
      <c r="W509" s="112">
        <f t="shared" si="907"/>
        <v>0.25625464233554685</v>
      </c>
      <c r="X509" s="112">
        <f t="shared" si="907"/>
        <v>0.21006787330316742</v>
      </c>
      <c r="Y509" s="112">
        <f t="shared" si="907"/>
        <v>0.25625058648121696</v>
      </c>
      <c r="Z509" s="112">
        <f t="shared" si="907"/>
        <v>0.25625053806025844</v>
      </c>
      <c r="AA509" s="112">
        <f t="shared" si="907"/>
        <v>0.25625131934982442</v>
      </c>
      <c r="AB509" s="112">
        <f t="shared" si="907"/>
        <v>0.12563140494265243</v>
      </c>
      <c r="AC509" s="112">
        <f t="shared" si="907"/>
        <v>0.25625074210834686</v>
      </c>
      <c r="AD509" s="112">
        <f t="shared" si="907"/>
        <v>0.26943377063480989</v>
      </c>
      <c r="AE509" s="112">
        <f t="shared" si="907"/>
        <v>0.256241834809116</v>
      </c>
      <c r="AF509" s="112">
        <f t="shared" si="907"/>
        <v>0.18801332238219909</v>
      </c>
      <c r="AG509" s="112">
        <f t="shared" si="907"/>
        <v>0.20999728860828137</v>
      </c>
      <c r="AH509" s="112">
        <f t="shared" si="907"/>
        <v>0.21000106450926123</v>
      </c>
      <c r="AI509" s="112">
        <f t="shared" si="907"/>
        <v>0.25630174793008281</v>
      </c>
      <c r="AJ509" s="112" t="e">
        <f t="shared" si="907"/>
        <v>#DIV/0!</v>
      </c>
      <c r="AK509" s="112" t="e">
        <f t="shared" si="907"/>
        <v>#DIV/0!</v>
      </c>
      <c r="AL509" s="112" t="e">
        <f t="shared" si="907"/>
        <v>#DIV/0!</v>
      </c>
      <c r="AM509" s="112" t="e">
        <f t="shared" si="907"/>
        <v>#DIV/0!</v>
      </c>
      <c r="AN509" s="112">
        <f t="shared" si="907"/>
        <v>0.25624936974083745</v>
      </c>
      <c r="AO509" s="112">
        <f t="shared" si="907"/>
        <v>0.2562511308698095</v>
      </c>
      <c r="AP509" s="112">
        <f t="shared" si="907"/>
        <v>0.25624921683064178</v>
      </c>
      <c r="AQ509" s="112">
        <f t="shared" si="907"/>
        <v>0.25621314237573717</v>
      </c>
      <c r="AR509" s="112">
        <f t="shared" si="907"/>
        <v>0.25625046814739844</v>
      </c>
      <c r="AS509" s="112">
        <f t="shared" si="907"/>
        <v>0.25625400275583676</v>
      </c>
      <c r="AT509" s="112">
        <f t="shared" si="907"/>
        <v>0.2099930645599011</v>
      </c>
      <c r="AU509" s="112">
        <f t="shared" si="907"/>
        <v>0.25625794763704773</v>
      </c>
      <c r="AV509" s="112">
        <f t="shared" si="907"/>
        <v>0.25625262274443977</v>
      </c>
      <c r="AW509" s="112">
        <f t="shared" si="907"/>
        <v>0.25626393650945883</v>
      </c>
      <c r="AX509" s="112">
        <f t="shared" si="907"/>
        <v>0.25625046909111082</v>
      </c>
      <c r="AY509" s="112">
        <f t="shared" si="907"/>
        <v>0.25625148126602459</v>
      </c>
      <c r="AZ509" s="112">
        <f t="shared" si="907"/>
        <v>0.25625018408401429</v>
      </c>
      <c r="BA509" s="112">
        <f t="shared" si="907"/>
        <v>0.21000024522425759</v>
      </c>
      <c r="BB509" s="112">
        <f t="shared" si="907"/>
        <v>0.25624410031379952</v>
      </c>
      <c r="BC509" s="112" t="e">
        <f t="shared" si="907"/>
        <v>#DIV/0!</v>
      </c>
      <c r="BD509" s="112">
        <f t="shared" si="907"/>
        <v>0.25625050395221238</v>
      </c>
      <c r="BE509" s="112" t="e">
        <f t="shared" si="907"/>
        <v>#DIV/0!</v>
      </c>
      <c r="BF509" s="112" t="e">
        <f t="shared" si="907"/>
        <v>#DIV/0!</v>
      </c>
      <c r="BG509" s="112" t="e">
        <f t="shared" si="907"/>
        <v>#DIV/0!</v>
      </c>
      <c r="BH509" s="112" t="e">
        <f t="shared" si="907"/>
        <v>#DIV/0!</v>
      </c>
    </row>
    <row r="510" spans="1:64" ht="14.1" customHeight="1">
      <c r="B510" s="199"/>
      <c r="C510" s="253"/>
      <c r="E510" s="100" t="s">
        <v>1039</v>
      </c>
      <c r="H510" s="100" t="s">
        <v>1040</v>
      </c>
      <c r="I510" s="430" t="s">
        <v>1041</v>
      </c>
      <c r="J510" s="430"/>
      <c r="K510" s="100" t="s">
        <v>1042</v>
      </c>
      <c r="L510" s="100" t="s">
        <v>1043</v>
      </c>
      <c r="X510" s="100" t="s">
        <v>1044</v>
      </c>
      <c r="AB510" s="100" t="s">
        <v>1045</v>
      </c>
      <c r="AD510" s="100" t="s">
        <v>1046</v>
      </c>
      <c r="AF510" s="100" t="s">
        <v>1047</v>
      </c>
      <c r="AG510" s="100" t="s">
        <v>1048</v>
      </c>
      <c r="AH510" s="100" t="s">
        <v>1049</v>
      </c>
      <c r="AT510" s="100" t="s">
        <v>1057</v>
      </c>
      <c r="BA510" s="100" t="s">
        <v>1051</v>
      </c>
      <c r="BC510" s="100" t="s">
        <v>1050</v>
      </c>
    </row>
    <row r="511" spans="1:64" ht="14.1" customHeight="1">
      <c r="B511" s="22"/>
      <c r="C511" s="22"/>
      <c r="I511" s="100" t="s">
        <v>1052</v>
      </c>
      <c r="J511" s="100" t="s">
        <v>1052</v>
      </c>
      <c r="K511" s="100" t="s">
        <v>1054</v>
      </c>
      <c r="L511" s="100" t="s">
        <v>1053</v>
      </c>
      <c r="BC511" s="88" t="s">
        <v>1056</v>
      </c>
    </row>
    <row r="512" spans="1:64" ht="14.1" customHeight="1">
      <c r="B512" s="22"/>
      <c r="C512" s="65"/>
    </row>
    <row r="513" spans="2:5" ht="14.1" customHeight="1">
      <c r="B513" s="22"/>
      <c r="C513" s="65"/>
    </row>
    <row r="514" spans="2:5" ht="14.1" customHeight="1">
      <c r="B514" s="22"/>
      <c r="C514" s="188"/>
    </row>
    <row r="515" spans="2:5" ht="14.1" customHeight="1">
      <c r="B515" s="22"/>
      <c r="C515" s="22"/>
      <c r="E515" s="88" t="s">
        <v>48</v>
      </c>
    </row>
    <row r="516" spans="2:5" ht="14.1" customHeight="1">
      <c r="B516" s="22"/>
      <c r="C516" s="22"/>
    </row>
    <row r="517" spans="2:5" ht="14.1" customHeight="1">
      <c r="B517" s="22"/>
      <c r="C517" s="22"/>
    </row>
    <row r="518" spans="2:5" ht="14.1" customHeight="1">
      <c r="B518" s="22"/>
      <c r="C518" s="22"/>
    </row>
    <row r="519" spans="2:5" ht="14.1" customHeight="1">
      <c r="B519" s="22"/>
      <c r="C519" s="22"/>
    </row>
    <row r="520" spans="2:5" ht="14.1" customHeight="1">
      <c r="B520" s="22"/>
      <c r="C520" s="22"/>
    </row>
    <row r="521" spans="2:5" ht="14.1" customHeight="1">
      <c r="B521" s="22"/>
      <c r="C521" s="22"/>
    </row>
    <row r="522" spans="2:5" ht="14.1" customHeight="1">
      <c r="B522" s="22"/>
      <c r="C522" s="22"/>
    </row>
    <row r="523" spans="2:5" ht="14.1" customHeight="1">
      <c r="B523" s="22"/>
      <c r="C523" s="22"/>
    </row>
    <row r="524" spans="2:5" ht="14.1" customHeight="1">
      <c r="B524" s="22"/>
      <c r="C524" s="22"/>
    </row>
    <row r="525" spans="2:5" ht="14.1" customHeight="1">
      <c r="B525" s="22"/>
      <c r="C525" s="22"/>
    </row>
    <row r="526" spans="2:5" ht="14.1" customHeight="1">
      <c r="B526" s="22"/>
      <c r="C526" s="22"/>
    </row>
    <row r="527" spans="2:5" ht="14.1" customHeight="1">
      <c r="B527" s="22"/>
      <c r="C527" s="22"/>
    </row>
    <row r="528" spans="2:5" ht="14.1" customHeight="1">
      <c r="B528" s="22"/>
      <c r="C528" s="22"/>
    </row>
    <row r="529" spans="2:3" ht="14.1" customHeight="1">
      <c r="B529" s="22"/>
      <c r="C529" s="22"/>
    </row>
    <row r="530" spans="2:3" ht="14.1" customHeight="1">
      <c r="B530" s="22"/>
      <c r="C530" s="22"/>
    </row>
    <row r="531" spans="2:3" ht="14.1" customHeight="1">
      <c r="B531" s="22"/>
      <c r="C531" s="22"/>
    </row>
    <row r="532" spans="2:3" ht="14.1" customHeight="1">
      <c r="B532" s="22"/>
      <c r="C532" s="22"/>
    </row>
    <row r="533" spans="2:3" ht="14.1" customHeight="1">
      <c r="B533" s="22"/>
      <c r="C533" s="22"/>
    </row>
    <row r="534" spans="2:3" ht="14.1" customHeight="1">
      <c r="B534" s="22"/>
      <c r="C534" s="22"/>
    </row>
    <row r="535" spans="2:3" ht="14.1" customHeight="1">
      <c r="B535" s="22"/>
      <c r="C535" s="22"/>
    </row>
    <row r="536" spans="2:3" ht="14.1" customHeight="1">
      <c r="B536" s="22"/>
      <c r="C536" s="22"/>
    </row>
    <row r="537" spans="2:3" ht="14.1" customHeight="1">
      <c r="B537" s="22"/>
      <c r="C537" s="22"/>
    </row>
    <row r="538" spans="2:3" ht="14.1" customHeight="1">
      <c r="B538" s="22"/>
      <c r="C538" s="22"/>
    </row>
    <row r="539" spans="2:3" ht="14.1" customHeight="1">
      <c r="B539" s="22"/>
      <c r="C539" s="22"/>
    </row>
    <row r="540" spans="2:3" ht="14.1" customHeight="1">
      <c r="B540" s="22"/>
      <c r="C540" s="22"/>
    </row>
    <row r="541" spans="2:3" ht="14.1" customHeight="1">
      <c r="B541" s="22"/>
      <c r="C541" s="22"/>
    </row>
    <row r="542" spans="2:3" ht="14.1" customHeight="1">
      <c r="B542" s="22"/>
      <c r="C542" s="22"/>
    </row>
    <row r="543" spans="2:3" ht="14.1" customHeight="1">
      <c r="B543" s="22"/>
      <c r="C543" s="22"/>
    </row>
    <row r="544" spans="2:3" ht="14.1" customHeight="1">
      <c r="B544" s="22"/>
      <c r="C544" s="22"/>
    </row>
    <row r="545" spans="2:3" ht="14.1" customHeight="1">
      <c r="B545" s="22"/>
      <c r="C545" s="22"/>
    </row>
    <row r="546" spans="2:3" ht="14.1" customHeight="1">
      <c r="B546" s="22"/>
      <c r="C546" s="22"/>
    </row>
    <row r="547" spans="2:3" ht="14.1" customHeight="1">
      <c r="B547" s="22"/>
      <c r="C547" s="22"/>
    </row>
    <row r="548" spans="2:3" ht="14.1" customHeight="1">
      <c r="B548" s="22"/>
      <c r="C548" s="22"/>
    </row>
    <row r="549" spans="2:3" ht="14.1" customHeight="1">
      <c r="B549" s="22"/>
      <c r="C549" s="22"/>
    </row>
    <row r="550" spans="2:3" ht="14.1" customHeight="1">
      <c r="B550" s="22"/>
      <c r="C550" s="22"/>
    </row>
    <row r="551" spans="2:3" ht="14.1" customHeight="1">
      <c r="B551" s="22"/>
      <c r="C551" s="22"/>
    </row>
    <row r="552" spans="2:3" ht="14.1" customHeight="1">
      <c r="B552" s="22"/>
      <c r="C552" s="22"/>
    </row>
    <row r="553" spans="2:3" ht="14.1" customHeight="1">
      <c r="B553" s="22"/>
      <c r="C553" s="22"/>
    </row>
    <row r="554" spans="2:3" ht="14.1" customHeight="1">
      <c r="B554" s="22"/>
      <c r="C554" s="22"/>
    </row>
    <row r="555" spans="2:3" ht="14.1" customHeight="1">
      <c r="B555" s="22"/>
      <c r="C555" s="22"/>
    </row>
    <row r="556" spans="2:3" ht="14.1" customHeight="1">
      <c r="B556" s="22"/>
      <c r="C556" s="22"/>
    </row>
    <row r="557" spans="2:3" ht="14.1" customHeight="1">
      <c r="B557" s="22"/>
      <c r="C557" s="22"/>
    </row>
    <row r="558" spans="2:3" ht="14.1" customHeight="1">
      <c r="B558" s="22"/>
      <c r="C558" s="22"/>
    </row>
    <row r="559" spans="2:3" ht="14.1" customHeight="1">
      <c r="B559" s="22"/>
      <c r="C559" s="22"/>
    </row>
    <row r="560" spans="2:3" ht="14.1" customHeight="1">
      <c r="B560" s="22"/>
      <c r="C560" s="22"/>
    </row>
    <row r="561" spans="2:3" ht="14.1" customHeight="1">
      <c r="B561" s="22"/>
      <c r="C561" s="22"/>
    </row>
    <row r="562" spans="2:3" ht="14.1" customHeight="1">
      <c r="B562" s="22"/>
      <c r="C562" s="22"/>
    </row>
    <row r="563" spans="2:3" ht="14.1" customHeight="1">
      <c r="B563" s="22"/>
      <c r="C563" s="22"/>
    </row>
    <row r="564" spans="2:3" ht="14.1" customHeight="1">
      <c r="B564" s="22"/>
      <c r="C564" s="22"/>
    </row>
    <row r="565" spans="2:3" ht="14.1" customHeight="1">
      <c r="B565" s="22"/>
      <c r="C565" s="22"/>
    </row>
    <row r="566" spans="2:3" ht="14.1" customHeight="1">
      <c r="B566" s="22"/>
      <c r="C566" s="22"/>
    </row>
    <row r="567" spans="2:3" ht="14.1" customHeight="1">
      <c r="B567" s="22"/>
      <c r="C567" s="22"/>
    </row>
    <row r="568" spans="2:3" ht="14.1" customHeight="1">
      <c r="B568" s="22"/>
      <c r="C568" s="22"/>
    </row>
    <row r="569" spans="2:3" ht="14.1" customHeight="1">
      <c r="B569" s="22"/>
      <c r="C569" s="22"/>
    </row>
    <row r="570" spans="2:3" ht="14.1" customHeight="1">
      <c r="B570" s="22"/>
      <c r="C570" s="22"/>
    </row>
    <row r="571" spans="2:3" ht="14.1" customHeight="1">
      <c r="B571" s="22"/>
      <c r="C571" s="22"/>
    </row>
    <row r="572" spans="2:3" ht="14.1" customHeight="1">
      <c r="B572" s="22"/>
      <c r="C572" s="22"/>
    </row>
    <row r="573" spans="2:3" ht="14.1" customHeight="1">
      <c r="B573" s="22"/>
      <c r="C573" s="22"/>
    </row>
    <row r="574" spans="2:3" ht="14.1" customHeight="1">
      <c r="B574" s="22"/>
      <c r="C574" s="22"/>
    </row>
    <row r="575" spans="2:3" ht="14.1" customHeight="1">
      <c r="B575" s="22"/>
      <c r="C575" s="22"/>
    </row>
    <row r="576" spans="2:3" ht="14.1" customHeight="1">
      <c r="B576" s="22"/>
      <c r="C576" s="22"/>
    </row>
    <row r="577" spans="2:3" ht="14.1" customHeight="1">
      <c r="B577" s="22"/>
      <c r="C577" s="22"/>
    </row>
    <row r="578" spans="2:3" ht="14.1" customHeight="1">
      <c r="B578" s="22"/>
      <c r="C578" s="22"/>
    </row>
    <row r="579" spans="2:3" ht="14.1" customHeight="1">
      <c r="B579" s="22"/>
      <c r="C579" s="22"/>
    </row>
    <row r="580" spans="2:3" ht="14.1" customHeight="1">
      <c r="B580" s="22"/>
      <c r="C580" s="22"/>
    </row>
    <row r="581" spans="2:3" ht="14.1" customHeight="1">
      <c r="B581" s="22"/>
      <c r="C581" s="22"/>
    </row>
    <row r="582" spans="2:3" ht="14.1" customHeight="1">
      <c r="B582" s="22"/>
      <c r="C582" s="22"/>
    </row>
    <row r="583" spans="2:3" ht="14.1" customHeight="1">
      <c r="B583" s="22"/>
      <c r="C583" s="22"/>
    </row>
    <row r="584" spans="2:3" ht="14.1" customHeight="1">
      <c r="B584" s="22"/>
      <c r="C584" s="22"/>
    </row>
    <row r="585" spans="2:3" ht="14.1" customHeight="1">
      <c r="B585" s="22"/>
      <c r="C585" s="22"/>
    </row>
    <row r="586" spans="2:3" ht="14.1" customHeight="1">
      <c r="B586" s="22"/>
      <c r="C586" s="22"/>
    </row>
    <row r="587" spans="2:3" ht="14.1" customHeight="1">
      <c r="B587" s="22"/>
      <c r="C587" s="22"/>
    </row>
    <row r="588" spans="2:3" ht="14.1" customHeight="1">
      <c r="B588" s="22"/>
      <c r="C588" s="22"/>
    </row>
    <row r="589" spans="2:3" ht="14.1" customHeight="1">
      <c r="B589" s="22"/>
      <c r="C589" s="22"/>
    </row>
    <row r="590" spans="2:3" ht="14.1" customHeight="1">
      <c r="B590" s="22"/>
      <c r="C590" s="22"/>
    </row>
    <row r="591" spans="2:3" ht="14.1" customHeight="1">
      <c r="B591" s="22"/>
      <c r="C591" s="22"/>
    </row>
    <row r="592" spans="2:3" ht="14.1" customHeight="1">
      <c r="B592" s="22"/>
      <c r="C592" s="22"/>
    </row>
    <row r="593" spans="2:3" ht="14.1" customHeight="1">
      <c r="B593" s="22"/>
      <c r="C593" s="22"/>
    </row>
    <row r="594" spans="2:3" ht="14.1" customHeight="1">
      <c r="B594" s="22"/>
      <c r="C594" s="22"/>
    </row>
    <row r="595" spans="2:3" ht="14.1" customHeight="1">
      <c r="B595" s="22"/>
      <c r="C595" s="22"/>
    </row>
    <row r="596" spans="2:3" ht="14.1" customHeight="1">
      <c r="B596" s="22"/>
      <c r="C596" s="22"/>
    </row>
    <row r="597" spans="2:3" ht="14.1" customHeight="1">
      <c r="B597" s="22"/>
      <c r="C597" s="22"/>
    </row>
    <row r="598" spans="2:3" ht="14.1" customHeight="1">
      <c r="B598" s="22"/>
      <c r="C598" s="22"/>
    </row>
    <row r="599" spans="2:3" ht="14.1" customHeight="1">
      <c r="B599" s="22"/>
      <c r="C599" s="22"/>
    </row>
    <row r="600" spans="2:3" ht="14.1" customHeight="1">
      <c r="B600" s="22"/>
      <c r="C600" s="22"/>
    </row>
    <row r="601" spans="2:3" ht="14.1" customHeight="1">
      <c r="B601" s="22"/>
      <c r="C601" s="22"/>
    </row>
    <row r="602" spans="2:3" ht="14.1" customHeight="1">
      <c r="B602" s="22"/>
      <c r="C602" s="22"/>
    </row>
    <row r="603" spans="2:3" ht="14.1" customHeight="1">
      <c r="B603" s="22"/>
      <c r="C603" s="22"/>
    </row>
    <row r="604" spans="2:3" ht="14.1" customHeight="1">
      <c r="B604" s="22"/>
      <c r="C604" s="22"/>
    </row>
    <row r="605" spans="2:3" ht="14.1" customHeight="1">
      <c r="B605" s="22"/>
      <c r="C605" s="22"/>
    </row>
    <row r="606" spans="2:3" ht="14.1" customHeight="1">
      <c r="B606" s="22"/>
      <c r="C606" s="22"/>
    </row>
    <row r="607" spans="2:3" ht="14.1" customHeight="1">
      <c r="B607" s="22"/>
      <c r="C607" s="22"/>
    </row>
    <row r="608" spans="2:3" ht="14.1" customHeight="1">
      <c r="B608" s="22"/>
      <c r="C608" s="22"/>
    </row>
    <row r="609" spans="2:3" ht="14.1" customHeight="1">
      <c r="B609" s="22"/>
      <c r="C609" s="22"/>
    </row>
    <row r="610" spans="2:3" ht="14.1" customHeight="1">
      <c r="B610" s="22"/>
      <c r="C610" s="22"/>
    </row>
    <row r="611" spans="2:3" ht="14.1" customHeight="1">
      <c r="B611" s="22"/>
      <c r="C611" s="22"/>
    </row>
    <row r="612" spans="2:3" ht="14.1" customHeight="1">
      <c r="B612" s="22"/>
      <c r="C612" s="22"/>
    </row>
    <row r="649" spans="1:64" s="14" customFormat="1" ht="14.1" customHeight="1">
      <c r="A649" s="379"/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</row>
    <row r="650" spans="1:64" s="14" customFormat="1" ht="14.1" customHeight="1">
      <c r="A650" s="379"/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</row>
    <row r="651" spans="1:64" s="14" customFormat="1" ht="14.1" customHeight="1">
      <c r="A651" s="379"/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</row>
    <row r="652" spans="1:64" s="14" customFormat="1" ht="14.1" customHeight="1">
      <c r="A652" s="379"/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</row>
    <row r="653" spans="1:64" s="14" customFormat="1" ht="14.1" customHeight="1">
      <c r="A653" s="379"/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</row>
    <row r="654" spans="1:64" s="14" customFormat="1" ht="14.1" customHeight="1">
      <c r="A654" s="379"/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</row>
    <row r="655" spans="1:64" s="14" customFormat="1" ht="14.1" customHeight="1">
      <c r="A655" s="379"/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</row>
    <row r="656" spans="1:64" s="14" customFormat="1" ht="14.1" customHeight="1">
      <c r="A656" s="379"/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</row>
    <row r="657" spans="1:64" s="14" customFormat="1" ht="14.1" customHeight="1">
      <c r="A657" s="379"/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</row>
    <row r="658" spans="1:64" s="14" customFormat="1" ht="14.1" customHeight="1">
      <c r="A658" s="379"/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</row>
    <row r="659" spans="1:64" s="14" customFormat="1" ht="14.1" customHeight="1">
      <c r="A659" s="379"/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</row>
    <row r="660" spans="1:64" s="14" customFormat="1" ht="14.1" customHeight="1">
      <c r="A660" s="379"/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</row>
    <row r="661" spans="1:64" s="14" customFormat="1" ht="14.1" customHeight="1">
      <c r="A661" s="379"/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</row>
    <row r="662" spans="1:64" s="14" customFormat="1" ht="14.1" customHeight="1">
      <c r="A662" s="379"/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</row>
    <row r="663" spans="1:64" s="14" customFormat="1" ht="14.1" customHeight="1">
      <c r="A663" s="379"/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</row>
    <row r="664" spans="1:64" s="14" customFormat="1" ht="14.1" customHeight="1">
      <c r="A664" s="379"/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</row>
    <row r="665" spans="1:64" s="14" customFormat="1" ht="14.1" customHeight="1">
      <c r="A665" s="379"/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</row>
    <row r="666" spans="1:64" s="14" customFormat="1" ht="14.1" customHeight="1">
      <c r="A666" s="379"/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</row>
    <row r="667" spans="1:64" s="14" customFormat="1" ht="14.1" customHeight="1">
      <c r="A667" s="379"/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</row>
    <row r="668" spans="1:64" s="14" customFormat="1" ht="14.1" customHeight="1">
      <c r="A668" s="379"/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</row>
    <row r="669" spans="1:64" s="14" customFormat="1" ht="14.1" customHeight="1">
      <c r="A669" s="379"/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</row>
    <row r="670" spans="1:64" s="14" customFormat="1" ht="14.1" customHeight="1">
      <c r="A670" s="379"/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</row>
    <row r="671" spans="1:64" s="14" customFormat="1" ht="14.1" customHeight="1">
      <c r="A671" s="379"/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</row>
    <row r="672" spans="1:64" s="14" customFormat="1" ht="14.1" customHeight="1">
      <c r="A672" s="379"/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</row>
    <row r="673" spans="1:64" s="14" customFormat="1" ht="14.1" customHeight="1">
      <c r="A673" s="379"/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</row>
    <row r="674" spans="1:64" s="14" customFormat="1" ht="14.1" customHeight="1">
      <c r="A674" s="379"/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</row>
    <row r="675" spans="1:64" s="14" customFormat="1" ht="14.1" customHeight="1">
      <c r="A675" s="379"/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</row>
    <row r="676" spans="1:64" s="14" customFormat="1" ht="14.1" customHeight="1">
      <c r="A676" s="379"/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</row>
    <row r="677" spans="1:64" s="14" customFormat="1" ht="14.1" customHeight="1">
      <c r="A677" s="379"/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</row>
    <row r="678" spans="1:64" s="14" customFormat="1" ht="14.1" customHeight="1">
      <c r="A678" s="379"/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</row>
    <row r="679" spans="1:64" s="14" customFormat="1" ht="14.1" customHeight="1">
      <c r="A679" s="379"/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</row>
    <row r="680" spans="1:64" s="14" customFormat="1" ht="14.1" customHeight="1">
      <c r="A680" s="379"/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</row>
    <row r="681" spans="1:64" s="14" customFormat="1" ht="14.1" customHeight="1">
      <c r="A681" s="379"/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</row>
    <row r="682" spans="1:64" s="14" customFormat="1" ht="14.1" customHeight="1">
      <c r="A682" s="379"/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</row>
    <row r="683" spans="1:64" s="14" customFormat="1" ht="14.1" customHeight="1">
      <c r="A683" s="379"/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</row>
    <row r="684" spans="1:64" s="14" customFormat="1" ht="14.1" customHeight="1">
      <c r="A684" s="379"/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</row>
    <row r="685" spans="1:64" s="14" customFormat="1" ht="14.1" customHeight="1">
      <c r="A685" s="379"/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</row>
    <row r="686" spans="1:64" s="14" customFormat="1" ht="14.1" customHeight="1">
      <c r="A686" s="379"/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</row>
    <row r="687" spans="1:64" s="14" customFormat="1" ht="14.1" customHeight="1">
      <c r="A687" s="379"/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</row>
    <row r="688" spans="1:64" s="14" customFormat="1" ht="14.1" customHeight="1">
      <c r="A688" s="379"/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</row>
    <row r="689" spans="1:64" s="14" customFormat="1" ht="14.1" customHeight="1">
      <c r="A689" s="379"/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</row>
    <row r="690" spans="1:64" s="14" customFormat="1" ht="14.1" customHeight="1">
      <c r="A690" s="379"/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</row>
    <row r="691" spans="1:64" s="14" customFormat="1" ht="14.1" customHeight="1">
      <c r="A691" s="379"/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</row>
    <row r="692" spans="1:64" s="14" customFormat="1" ht="14.1" customHeight="1">
      <c r="A692" s="379"/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</row>
    <row r="693" spans="1:64" s="14" customFormat="1" ht="14.1" customHeight="1">
      <c r="A693" s="379"/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</row>
    <row r="694" spans="1:64" s="14" customFormat="1" ht="14.1" customHeight="1">
      <c r="A694" s="379"/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</row>
    <row r="695" spans="1:64" s="14" customFormat="1" ht="14.1" customHeight="1">
      <c r="A695" s="379"/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</row>
    <row r="696" spans="1:64" s="14" customFormat="1" ht="14.1" customHeight="1">
      <c r="A696" s="379"/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</row>
    <row r="697" spans="1:64" s="14" customFormat="1" ht="14.1" customHeight="1">
      <c r="A697" s="379"/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</row>
    <row r="698" spans="1:64" s="14" customFormat="1" ht="14.1" customHeight="1">
      <c r="A698" s="379"/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</row>
    <row r="699" spans="1:64" s="14" customFormat="1" ht="14.1" customHeight="1">
      <c r="A699" s="379"/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</row>
    <row r="700" spans="1:64" s="14" customFormat="1" ht="14.1" customHeight="1">
      <c r="A700" s="379"/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</row>
    <row r="701" spans="1:64" s="14" customFormat="1" ht="14.1" customHeight="1">
      <c r="A701" s="379"/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</row>
    <row r="702" spans="1:64" s="14" customFormat="1" ht="14.1" customHeight="1">
      <c r="A702" s="379"/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</row>
    <row r="703" spans="1:64" s="14" customFormat="1" ht="14.1" customHeight="1">
      <c r="A703" s="379"/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</row>
    <row r="704" spans="1:64" s="14" customFormat="1" ht="14.1" customHeight="1">
      <c r="A704" s="379"/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</row>
    <row r="705" spans="1:64" s="14" customFormat="1" ht="14.1" customHeight="1">
      <c r="A705" s="379"/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</row>
    <row r="706" spans="1:64" s="14" customFormat="1" ht="14.1" customHeight="1">
      <c r="A706" s="379"/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</row>
    <row r="707" spans="1:64" s="14" customFormat="1" ht="14.1" customHeight="1">
      <c r="A707" s="379"/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</row>
    <row r="708" spans="1:64" s="14" customFormat="1" ht="14.1" customHeight="1">
      <c r="A708" s="379"/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</row>
    <row r="709" spans="1:64" s="14" customFormat="1" ht="14.1" customHeight="1">
      <c r="A709" s="379"/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</row>
    <row r="710" spans="1:64" s="14" customFormat="1" ht="14.1" customHeight="1">
      <c r="A710" s="379"/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</row>
    <row r="711" spans="1:64" s="14" customFormat="1" ht="14.1" customHeight="1">
      <c r="A711" s="379"/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</row>
    <row r="712" spans="1:64" s="14" customFormat="1" ht="14.1" customHeight="1">
      <c r="A712" s="379"/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</row>
    <row r="713" spans="1:64" s="14" customFormat="1" ht="14.1" customHeight="1">
      <c r="A713" s="379"/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</row>
    <row r="714" spans="1:64" s="14" customFormat="1" ht="14.1" customHeight="1">
      <c r="A714" s="379"/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</row>
    <row r="715" spans="1:64" s="14" customFormat="1" ht="14.1" customHeight="1">
      <c r="A715" s="379"/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</row>
    <row r="716" spans="1:64" s="14" customFormat="1" ht="14.1" customHeight="1">
      <c r="A716" s="379"/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</row>
    <row r="717" spans="1:64" s="14" customFormat="1" ht="14.1" customHeight="1">
      <c r="A717" s="379"/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</row>
    <row r="718" spans="1:64" s="14" customFormat="1" ht="14.1" customHeight="1">
      <c r="A718" s="379"/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</row>
    <row r="719" spans="1:64" s="14" customFormat="1" ht="14.1" customHeight="1">
      <c r="A719" s="379"/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</row>
    <row r="720" spans="1:64" s="14" customFormat="1" ht="14.1" customHeight="1">
      <c r="A720" s="379"/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</row>
    <row r="721" spans="1:64" s="14" customFormat="1" ht="14.1" customHeight="1">
      <c r="A721" s="379"/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</row>
    <row r="722" spans="1:64" s="14" customFormat="1" ht="14.1" customHeight="1">
      <c r="A722" s="379"/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</row>
    <row r="723" spans="1:64" s="14" customFormat="1" ht="14.1" customHeight="1">
      <c r="A723" s="379"/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</row>
    <row r="724" spans="1:64" s="14" customFormat="1" ht="14.1" customHeight="1">
      <c r="A724" s="379"/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</row>
    <row r="725" spans="1:64" s="14" customFormat="1" ht="14.1" customHeight="1">
      <c r="A725" s="379"/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</row>
    <row r="726" spans="1:64" s="14" customFormat="1" ht="14.1" customHeight="1">
      <c r="A726" s="379"/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</row>
    <row r="727" spans="1:64" s="14" customFormat="1" ht="14.1" customHeight="1">
      <c r="A727" s="379"/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</row>
    <row r="728" spans="1:64" s="14" customFormat="1" ht="14.1" customHeight="1">
      <c r="A728" s="379"/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</row>
    <row r="729" spans="1:64" s="14" customFormat="1" ht="14.1" customHeight="1">
      <c r="A729" s="379"/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</row>
    <row r="730" spans="1:64" s="14" customFormat="1" ht="14.1" customHeight="1">
      <c r="A730" s="379"/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</row>
    <row r="731" spans="1:64" s="14" customFormat="1" ht="14.1" customHeight="1">
      <c r="A731" s="379"/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</row>
    <row r="732" spans="1:64" s="14" customFormat="1" ht="14.1" customHeight="1">
      <c r="A732" s="379"/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</row>
    <row r="733" spans="1:64" s="14" customFormat="1" ht="14.1" customHeight="1">
      <c r="A733" s="379"/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</row>
    <row r="734" spans="1:64" s="14" customFormat="1" ht="14.1" customHeight="1">
      <c r="A734" s="379"/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</row>
    <row r="735" spans="1:64" s="14" customFormat="1" ht="14.1" customHeight="1">
      <c r="A735" s="379"/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</row>
    <row r="736" spans="1:64" s="14" customFormat="1" ht="14.1" customHeight="1">
      <c r="A736" s="379"/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</row>
    <row r="737" spans="1:64" s="14" customFormat="1" ht="14.1" customHeight="1">
      <c r="A737" s="379"/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</row>
    <row r="738" spans="1:64" s="14" customFormat="1" ht="14.1" customHeight="1">
      <c r="A738" s="379"/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</row>
    <row r="739" spans="1:64" s="14" customFormat="1" ht="14.1" customHeight="1">
      <c r="A739" s="379"/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</row>
    <row r="740" spans="1:64" s="14" customFormat="1" ht="14.1" customHeight="1">
      <c r="A740" s="379"/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</row>
    <row r="741" spans="1:64" s="14" customFormat="1" ht="14.1" customHeight="1">
      <c r="A741" s="379"/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</row>
    <row r="742" spans="1:64" s="14" customFormat="1" ht="14.1" customHeight="1">
      <c r="A742" s="379"/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</row>
    <row r="743" spans="1:64" s="14" customFormat="1" ht="14.1" customHeight="1">
      <c r="A743" s="379"/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</row>
    <row r="744" spans="1:64" s="14" customFormat="1" ht="14.1" customHeight="1">
      <c r="A744" s="379"/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</row>
    <row r="745" spans="1:64" s="14" customFormat="1" ht="14.1" customHeight="1">
      <c r="A745" s="379"/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14">
        <v>2100000000</v>
      </c>
      <c r="V745" s="88"/>
      <c r="W745" s="14">
        <v>50000</v>
      </c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</row>
    <row r="746" spans="1:64" s="14" customFormat="1" ht="14.1" customHeight="1">
      <c r="A746" s="379"/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370">
        <v>1.9000000000000001E-4</v>
      </c>
      <c r="W746" s="371">
        <f>+U746</f>
        <v>1.9000000000000001E-4</v>
      </c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</row>
    <row r="747" spans="1:64" s="14" customFormat="1" ht="14.1" customHeight="1">
      <c r="A747" s="379"/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14">
        <f>+U745*U746</f>
        <v>399000</v>
      </c>
      <c r="W747" s="356">
        <f>+W745*W746</f>
        <v>9.5</v>
      </c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</row>
    <row r="748" spans="1:64" s="14" customFormat="1" ht="14.1" customHeight="1">
      <c r="A748" s="379"/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</row>
    <row r="749" spans="1:64" s="14" customFormat="1" ht="14.1" customHeight="1">
      <c r="A749" s="379"/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14">
        <v>400000</v>
      </c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</row>
    <row r="750" spans="1:64" s="14" customFormat="1" ht="14.1" customHeight="1">
      <c r="A750" s="379"/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369">
        <f>+U749/U745</f>
        <v>1.9047619047619048E-4</v>
      </c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</row>
    <row r="751" spans="1:64" s="14" customFormat="1" ht="14.1" customHeight="1">
      <c r="A751" s="379"/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</row>
    <row r="752" spans="1:64" s="14" customFormat="1" ht="14.1" customHeight="1">
      <c r="A752" s="379"/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</row>
    <row r="753" spans="1:64" s="14" customFormat="1" ht="14.1" customHeight="1">
      <c r="A753" s="379"/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</row>
    <row r="754" spans="1:64" s="14" customFormat="1" ht="14.1" customHeight="1">
      <c r="A754" s="379"/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</row>
    <row r="755" spans="1:64" s="14" customFormat="1" ht="14.1" customHeight="1">
      <c r="A755" s="379"/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</row>
    <row r="756" spans="1:64" s="14" customFormat="1" ht="14.1" customHeight="1">
      <c r="A756" s="379"/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</row>
    <row r="757" spans="1:64" s="14" customFormat="1" ht="14.1" customHeight="1">
      <c r="A757" s="379"/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</row>
    <row r="758" spans="1:64" s="14" customFormat="1" ht="14.1" customHeight="1">
      <c r="A758" s="379"/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</row>
    <row r="759" spans="1:64" s="14" customFormat="1" ht="14.1" customHeight="1">
      <c r="A759" s="379"/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</row>
    <row r="760" spans="1:64" s="14" customFormat="1" ht="14.1" customHeight="1">
      <c r="A760" s="379"/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</row>
    <row r="761" spans="1:64" s="14" customFormat="1" ht="14.1" customHeight="1">
      <c r="A761" s="379"/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</row>
    <row r="762" spans="1:64" s="14" customFormat="1" ht="14.1" customHeight="1">
      <c r="A762" s="379"/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</row>
    <row r="763" spans="1:64" s="14" customFormat="1" ht="14.1" customHeight="1">
      <c r="A763" s="379"/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</row>
    <row r="764" spans="1:64" s="14" customFormat="1" ht="14.1" customHeight="1">
      <c r="A764" s="379"/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</row>
    <row r="765" spans="1:64" s="14" customFormat="1" ht="14.1" customHeight="1">
      <c r="A765" s="379"/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</row>
    <row r="766" spans="1:64" s="14" customFormat="1" ht="14.1" customHeight="1">
      <c r="A766" s="379"/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</row>
    <row r="767" spans="1:64" s="14" customFormat="1" ht="14.1" customHeight="1">
      <c r="A767" s="379"/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</row>
    <row r="768" spans="1:64" s="14" customFormat="1" ht="14.1" customHeight="1">
      <c r="A768" s="379"/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</row>
    <row r="769" spans="1:64" s="14" customFormat="1" ht="14.1" customHeight="1">
      <c r="A769" s="379"/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</row>
    <row r="770" spans="1:64" s="14" customFormat="1" ht="14.1" customHeight="1">
      <c r="A770" s="379"/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</row>
    <row r="771" spans="1:64" s="14" customFormat="1" ht="14.1" customHeight="1">
      <c r="A771" s="379"/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</row>
    <row r="772" spans="1:64" s="14" customFormat="1" ht="14.1" customHeight="1">
      <c r="A772" s="379"/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</row>
    <row r="773" spans="1:64" s="14" customFormat="1" ht="14.1" customHeight="1">
      <c r="A773" s="379"/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</row>
    <row r="774" spans="1:64" s="14" customFormat="1" ht="14.1" customHeight="1">
      <c r="A774" s="379"/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</row>
    <row r="775" spans="1:64" s="14" customFormat="1" ht="14.1" customHeight="1">
      <c r="A775" s="379"/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</row>
    <row r="776" spans="1:64" s="14" customFormat="1" ht="14.1" customHeight="1">
      <c r="A776" s="379"/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</row>
    <row r="777" spans="1:64" s="14" customFormat="1" ht="14.1" customHeight="1">
      <c r="A777" s="379"/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</row>
    <row r="778" spans="1:64" s="14" customFormat="1" ht="14.1" customHeight="1">
      <c r="A778" s="379"/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</row>
    <row r="779" spans="1:64" s="14" customFormat="1" ht="14.1" customHeight="1">
      <c r="A779" s="379"/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</row>
    <row r="780" spans="1:64" s="14" customFormat="1" ht="14.1" customHeight="1">
      <c r="A780" s="379"/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</row>
    <row r="781" spans="1:64" s="14" customFormat="1" ht="14.1" customHeight="1">
      <c r="A781" s="379"/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</row>
    <row r="782" spans="1:64" s="14" customFormat="1" ht="14.1" customHeight="1">
      <c r="A782" s="379"/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</row>
    <row r="783" spans="1:64" s="14" customFormat="1" ht="14.1" customHeight="1">
      <c r="A783" s="379"/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</row>
    <row r="784" spans="1:64" s="14" customFormat="1" ht="14.1" customHeight="1">
      <c r="A784" s="379"/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</row>
    <row r="785" spans="1:64" s="14" customFormat="1" ht="14.1" customHeight="1">
      <c r="A785" s="379"/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</row>
    <row r="786" spans="1:64" s="14" customFormat="1" ht="14.1" customHeight="1">
      <c r="A786" s="379"/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</row>
    <row r="787" spans="1:64" s="14" customFormat="1" ht="14.1" customHeight="1">
      <c r="A787" s="379"/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</row>
    <row r="788" spans="1:64" s="14" customFormat="1" ht="14.1" customHeight="1">
      <c r="A788" s="379"/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</row>
    <row r="789" spans="1:64" s="14" customFormat="1" ht="14.1" customHeight="1">
      <c r="A789" s="379"/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</row>
    <row r="790" spans="1:64" s="14" customFormat="1" ht="14.1" customHeight="1">
      <c r="A790" s="379"/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</row>
    <row r="791" spans="1:64" s="14" customFormat="1" ht="14.1" customHeight="1">
      <c r="A791" s="379"/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</row>
    <row r="792" spans="1:64" s="14" customFormat="1" ht="14.1" customHeight="1">
      <c r="A792" s="379"/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</row>
    <row r="793" spans="1:64" s="14" customFormat="1" ht="14.1" customHeight="1">
      <c r="A793" s="379"/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</row>
    <row r="794" spans="1:64" s="14" customFormat="1" ht="14.1" customHeight="1">
      <c r="A794" s="379"/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</row>
    <row r="795" spans="1:64" s="14" customFormat="1" ht="14.1" customHeight="1">
      <c r="A795" s="379"/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</row>
    <row r="796" spans="1:64" s="14" customFormat="1" ht="14.1" customHeight="1">
      <c r="A796" s="379"/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</row>
    <row r="797" spans="1:64" s="14" customFormat="1" ht="14.1" customHeight="1">
      <c r="A797" s="379"/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</row>
    <row r="798" spans="1:64" s="14" customFormat="1" ht="14.1" customHeight="1">
      <c r="A798" s="379"/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</row>
    <row r="799" spans="1:64" s="14" customFormat="1" ht="14.1" customHeight="1">
      <c r="A799" s="379"/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</row>
    <row r="800" spans="1:64" s="14" customFormat="1" ht="14.1" customHeight="1">
      <c r="A800" s="379"/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</row>
    <row r="801" spans="1:64" s="14" customFormat="1" ht="14.1" customHeight="1">
      <c r="A801" s="379"/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</row>
    <row r="802" spans="1:64" s="14" customFormat="1" ht="14.1" customHeight="1">
      <c r="A802" s="379"/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</row>
    <row r="803" spans="1:64" s="14" customFormat="1" ht="14.1" customHeight="1">
      <c r="A803" s="379"/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</row>
    <row r="804" spans="1:64" s="14" customFormat="1" ht="14.1" customHeight="1">
      <c r="A804" s="379"/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</row>
    <row r="805" spans="1:64" s="14" customFormat="1" ht="14.1" customHeight="1">
      <c r="A805" s="379"/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</row>
    <row r="806" spans="1:64" s="14" customFormat="1" ht="14.1" customHeight="1">
      <c r="A806" s="379"/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</row>
    <row r="807" spans="1:64" s="14" customFormat="1" ht="14.1" customHeight="1">
      <c r="A807" s="379"/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</row>
    <row r="808" spans="1:64" s="14" customFormat="1" ht="14.1" customHeight="1">
      <c r="A808" s="379"/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</row>
    <row r="809" spans="1:64" s="14" customFormat="1" ht="14.1" customHeight="1">
      <c r="A809" s="379"/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</row>
    <row r="810" spans="1:64" s="14" customFormat="1" ht="14.1" customHeight="1">
      <c r="A810" s="379"/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</row>
    <row r="811" spans="1:64" s="14" customFormat="1" ht="14.1" customHeight="1">
      <c r="A811" s="379"/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</row>
    <row r="812" spans="1:64" s="14" customFormat="1" ht="14.1" customHeight="1">
      <c r="A812" s="379"/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</row>
    <row r="813" spans="1:64" s="14" customFormat="1" ht="14.1" customHeight="1">
      <c r="A813" s="379"/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</row>
    <row r="814" spans="1:64" s="14" customFormat="1" ht="14.1" customHeight="1">
      <c r="A814" s="379"/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</row>
    <row r="815" spans="1:64" s="14" customFormat="1" ht="14.1" customHeight="1">
      <c r="A815" s="379"/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</row>
    <row r="816" spans="1:64" s="14" customFormat="1" ht="14.1" customHeight="1">
      <c r="A816" s="379"/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</row>
    <row r="817" spans="1:64" s="14" customFormat="1" ht="14.1" customHeight="1">
      <c r="A817" s="379"/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</row>
    <row r="818" spans="1:64" s="14" customFormat="1" ht="14.1" customHeight="1">
      <c r="A818" s="379"/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</row>
    <row r="819" spans="1:64" s="14" customFormat="1" ht="14.1" customHeight="1">
      <c r="A819" s="379"/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</row>
    <row r="820" spans="1:64" s="14" customFormat="1" ht="14.1" customHeight="1">
      <c r="A820" s="379"/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</row>
    <row r="821" spans="1:64" s="14" customFormat="1" ht="14.1" customHeight="1">
      <c r="A821" s="379"/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</row>
    <row r="822" spans="1:64" s="14" customFormat="1" ht="14.1" customHeight="1">
      <c r="A822" s="379"/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</row>
    <row r="823" spans="1:64" s="14" customFormat="1" ht="14.1" customHeight="1">
      <c r="A823" s="379"/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</row>
    <row r="824" spans="1:64" s="14" customFormat="1" ht="14.1" customHeight="1">
      <c r="A824" s="379"/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</row>
    <row r="825" spans="1:64" s="14" customFormat="1" ht="14.1" customHeight="1">
      <c r="A825" s="379"/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</row>
    <row r="826" spans="1:64" s="14" customFormat="1" ht="14.1" customHeight="1">
      <c r="A826" s="379"/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</row>
    <row r="827" spans="1:64" s="14" customFormat="1" ht="14.1" customHeight="1">
      <c r="A827" s="379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</row>
    <row r="828" spans="1:64" s="14" customFormat="1" ht="14.1" customHeight="1">
      <c r="A828" s="379"/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</row>
    <row r="829" spans="1:64" s="14" customFormat="1" ht="14.1" customHeight="1">
      <c r="A829" s="379"/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</row>
    <row r="830" spans="1:64" s="14" customFormat="1" ht="14.1" customHeight="1">
      <c r="A830" s="379"/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</row>
    <row r="831" spans="1:64" s="14" customFormat="1" ht="14.1" customHeight="1">
      <c r="A831" s="379"/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</row>
    <row r="832" spans="1:64" s="14" customFormat="1" ht="14.1" customHeight="1">
      <c r="A832" s="379"/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</row>
    <row r="833" spans="1:64" s="14" customFormat="1" ht="14.1" customHeight="1">
      <c r="A833" s="379"/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</row>
    <row r="834" spans="1:64" s="14" customFormat="1" ht="14.1" customHeight="1">
      <c r="A834" s="379"/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</row>
    <row r="835" spans="1:64" s="14" customFormat="1" ht="14.1" customHeight="1">
      <c r="A835" s="379"/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</row>
    <row r="836" spans="1:64" s="14" customFormat="1" ht="14.1" customHeight="1">
      <c r="A836" s="379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</row>
    <row r="837" spans="1:64" s="14" customFormat="1" ht="14.1" customHeight="1">
      <c r="A837" s="379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</row>
    <row r="838" spans="1:64" s="14" customFormat="1" ht="14.1" customHeight="1">
      <c r="A838" s="379"/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</row>
    <row r="839" spans="1:64" s="14" customFormat="1" ht="14.1" customHeight="1">
      <c r="A839" s="379"/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</row>
    <row r="840" spans="1:64" s="14" customFormat="1" ht="14.1" customHeight="1">
      <c r="A840" s="379"/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</row>
    <row r="841" spans="1:64" s="14" customFormat="1" ht="14.1" customHeight="1">
      <c r="A841" s="379"/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</row>
    <row r="842" spans="1:64" s="14" customFormat="1" ht="14.1" customHeight="1">
      <c r="A842" s="379"/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</row>
    <row r="843" spans="1:64" s="14" customFormat="1" ht="14.1" customHeight="1">
      <c r="A843" s="379"/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</row>
    <row r="844" spans="1:64" s="14" customFormat="1" ht="14.1" customHeight="1">
      <c r="A844" s="379"/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</row>
    <row r="845" spans="1:64" s="14" customFormat="1" ht="14.1" customHeight="1">
      <c r="A845" s="379"/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</row>
    <row r="846" spans="1:64" s="14" customFormat="1" ht="14.1" customHeight="1">
      <c r="A846" s="379"/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</row>
    <row r="847" spans="1:64" s="14" customFormat="1" ht="14.1" customHeight="1">
      <c r="A847" s="379"/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</row>
    <row r="848" spans="1:64" s="14" customFormat="1" ht="14.1" customHeight="1">
      <c r="A848" s="379"/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</row>
    <row r="849" spans="1:64" s="14" customFormat="1" ht="14.1" customHeight="1">
      <c r="A849" s="379"/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</row>
    <row r="850" spans="1:64" s="14" customFormat="1" ht="14.1" customHeight="1">
      <c r="A850" s="379"/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</row>
    <row r="851" spans="1:64" s="14" customFormat="1" ht="14.1" customHeight="1">
      <c r="A851" s="379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</row>
    <row r="852" spans="1:64" s="14" customFormat="1" ht="14.1" customHeight="1">
      <c r="A852" s="379"/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</row>
    <row r="853" spans="1:64" s="14" customFormat="1" ht="14.1" customHeight="1">
      <c r="A853" s="379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</row>
    <row r="854" spans="1:64" s="14" customFormat="1" ht="14.1" customHeight="1">
      <c r="A854" s="379"/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</row>
    <row r="855" spans="1:64" s="14" customFormat="1" ht="14.1" customHeight="1">
      <c r="A855" s="379"/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</row>
    <row r="856" spans="1:64" s="14" customFormat="1" ht="14.1" customHeight="1">
      <c r="A856" s="379"/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</row>
    <row r="857" spans="1:64" s="14" customFormat="1" ht="14.1" customHeight="1">
      <c r="A857" s="379"/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</row>
    <row r="858" spans="1:64" s="14" customFormat="1" ht="14.1" customHeight="1">
      <c r="A858" s="379"/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</row>
    <row r="859" spans="1:64" s="14" customFormat="1" ht="14.1" customHeight="1">
      <c r="A859" s="379"/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</row>
    <row r="860" spans="1:64" s="14" customFormat="1" ht="14.1" customHeight="1">
      <c r="A860" s="379"/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</row>
    <row r="861" spans="1:64" s="14" customFormat="1" ht="14.1" customHeight="1">
      <c r="A861" s="379"/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</row>
    <row r="862" spans="1:64" s="14" customFormat="1" ht="14.1" customHeight="1">
      <c r="A862" s="379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</row>
    <row r="863" spans="1:64" s="14" customFormat="1" ht="14.1" customHeight="1">
      <c r="A863" s="379"/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</row>
    <row r="864" spans="1:64" s="14" customFormat="1" ht="14.1" customHeight="1">
      <c r="A864" s="379"/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</row>
    <row r="865" spans="1:64" s="14" customFormat="1" ht="14.1" customHeight="1">
      <c r="A865" s="379"/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</row>
    <row r="866" spans="1:64" s="14" customFormat="1" ht="14.1" customHeight="1">
      <c r="A866" s="379"/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</row>
    <row r="867" spans="1:64" s="14" customFormat="1" ht="14.1" customHeight="1">
      <c r="A867" s="379"/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</row>
    <row r="868" spans="1:64" s="14" customFormat="1" ht="14.1" customHeight="1">
      <c r="A868" s="379"/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</row>
    <row r="869" spans="1:64" s="14" customFormat="1" ht="14.1" customHeight="1">
      <c r="A869" s="379"/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</row>
    <row r="870" spans="1:64" s="14" customFormat="1" ht="14.1" customHeight="1">
      <c r="A870" s="379"/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</row>
    <row r="871" spans="1:64" s="14" customFormat="1" ht="14.1" customHeight="1">
      <c r="A871" s="379"/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</row>
    <row r="872" spans="1:64" s="14" customFormat="1" ht="14.1" customHeight="1">
      <c r="A872" s="379"/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</row>
    <row r="873" spans="1:64" s="14" customFormat="1" ht="14.1" customHeight="1">
      <c r="A873" s="379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</row>
    <row r="874" spans="1:64" s="14" customFormat="1" ht="14.1" customHeight="1">
      <c r="A874" s="379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</row>
    <row r="875" spans="1:64" s="14" customFormat="1" ht="14.1" customHeight="1">
      <c r="A875" s="379"/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</row>
    <row r="876" spans="1:64" s="14" customFormat="1" ht="14.1" customHeight="1">
      <c r="A876" s="379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</row>
    <row r="877" spans="1:64" s="14" customFormat="1" ht="14.1" customHeight="1">
      <c r="A877" s="379"/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</row>
    <row r="878" spans="1:64" s="14" customFormat="1" ht="14.1" customHeight="1">
      <c r="A878" s="379"/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</row>
    <row r="879" spans="1:64" s="14" customFormat="1" ht="14.1" customHeight="1">
      <c r="A879" s="379"/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</row>
    <row r="880" spans="1:64" s="14" customFormat="1" ht="14.1" customHeight="1">
      <c r="A880" s="379"/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</row>
    <row r="881" spans="1:64" s="14" customFormat="1" ht="14.1" customHeight="1">
      <c r="A881" s="379"/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</row>
    <row r="882" spans="1:64" s="14" customFormat="1" ht="14.1" customHeight="1">
      <c r="A882" s="379"/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</row>
    <row r="883" spans="1:64" s="14" customFormat="1" ht="14.1" customHeight="1">
      <c r="A883" s="379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</row>
    <row r="884" spans="1:64" s="14" customFormat="1" ht="14.1" customHeight="1">
      <c r="A884" s="379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</row>
    <row r="885" spans="1:64" s="14" customFormat="1" ht="14.1" customHeight="1">
      <c r="A885" s="379"/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</row>
    <row r="886" spans="1:64" s="14" customFormat="1" ht="14.1" customHeight="1">
      <c r="A886" s="379"/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</row>
    <row r="887" spans="1:64" s="14" customFormat="1" ht="14.1" customHeight="1">
      <c r="A887" s="379"/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88"/>
      <c r="M887" s="88"/>
      <c r="N887" s="88"/>
      <c r="O887" s="88"/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</row>
    <row r="888" spans="1:64" s="14" customFormat="1" ht="14.1" customHeight="1">
      <c r="A888" s="379"/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88"/>
      <c r="M888" s="88"/>
      <c r="N888" s="88"/>
      <c r="O888" s="88"/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</row>
    <row r="889" spans="1:64" s="14" customFormat="1" ht="14.1" customHeight="1">
      <c r="A889" s="379"/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88"/>
      <c r="M889" s="88"/>
      <c r="N889" s="88"/>
      <c r="O889" s="88"/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</row>
    <row r="890" spans="1:64" s="14" customFormat="1" ht="14.1" customHeight="1">
      <c r="A890" s="379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</row>
    <row r="891" spans="1:64" s="14" customFormat="1" ht="14.1" customHeight="1">
      <c r="A891" s="379"/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88"/>
      <c r="M891" s="88"/>
      <c r="N891" s="88"/>
      <c r="O891" s="88"/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</row>
    <row r="892" spans="1:64" s="14" customFormat="1" ht="14.1" customHeight="1">
      <c r="A892" s="379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</row>
    <row r="893" spans="1:64" s="14" customFormat="1" ht="14.1" customHeight="1">
      <c r="A893" s="379"/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88"/>
      <c r="M893" s="88"/>
      <c r="N893" s="88"/>
      <c r="O893" s="88"/>
      <c r="P893" s="88"/>
      <c r="Q893" s="88"/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</row>
    <row r="894" spans="1:64" s="14" customFormat="1" ht="14.1" customHeight="1">
      <c r="A894" s="379"/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88"/>
      <c r="M894" s="88"/>
      <c r="N894" s="88"/>
      <c r="O894" s="88"/>
      <c r="P894" s="88"/>
      <c r="Q894" s="88"/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</row>
    <row r="895" spans="1:64" s="14" customFormat="1" ht="14.1" customHeight="1">
      <c r="A895" s="379"/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88"/>
      <c r="M895" s="88"/>
      <c r="N895" s="88"/>
      <c r="O895" s="88"/>
      <c r="P895" s="88"/>
      <c r="Q895" s="88"/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</row>
    <row r="896" spans="1:64" s="14" customFormat="1" ht="14.1" customHeight="1">
      <c r="A896" s="379"/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88"/>
      <c r="M896" s="88"/>
      <c r="N896" s="88"/>
      <c r="O896" s="88"/>
      <c r="P896" s="88"/>
      <c r="Q896" s="88"/>
      <c r="R896" s="88"/>
      <c r="S896" s="88"/>
      <c r="T896" s="88"/>
      <c r="U896" s="88"/>
      <c r="V896" s="88"/>
      <c r="W896" s="88"/>
      <c r="X896" s="88"/>
      <c r="Y896" s="88"/>
      <c r="Z896" s="88"/>
      <c r="AA896" s="88"/>
      <c r="AB896" s="88"/>
      <c r="AC896" s="88"/>
      <c r="AD896" s="88"/>
      <c r="AE896" s="88"/>
      <c r="AF896" s="88"/>
      <c r="AG896" s="88"/>
      <c r="AH896" s="88"/>
      <c r="AI896" s="88"/>
      <c r="AJ896" s="88"/>
      <c r="AK896" s="88"/>
      <c r="AL896" s="88"/>
      <c r="AM896" s="88"/>
      <c r="AN896" s="88"/>
      <c r="AO896" s="88"/>
      <c r="AP896" s="88"/>
      <c r="AQ896" s="88"/>
      <c r="AR896" s="88"/>
      <c r="AS896" s="88"/>
      <c r="AT896" s="88"/>
      <c r="AU896" s="88"/>
      <c r="AV896" s="88"/>
      <c r="AW896" s="88"/>
      <c r="AX896" s="88"/>
      <c r="AY896" s="88"/>
      <c r="AZ896" s="88"/>
      <c r="BA896" s="88"/>
      <c r="BB896" s="88"/>
      <c r="BC896" s="88"/>
      <c r="BD896" s="88"/>
      <c r="BE896" s="88"/>
      <c r="BF896" s="88"/>
      <c r="BG896" s="88"/>
      <c r="BH896" s="88"/>
      <c r="BI896" s="88"/>
      <c r="BJ896" s="88"/>
      <c r="BK896" s="88"/>
      <c r="BL896" s="88"/>
    </row>
    <row r="897" spans="1:64" s="14" customFormat="1" ht="14.1" customHeight="1">
      <c r="A897" s="379"/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88"/>
      <c r="M897" s="88"/>
      <c r="N897" s="88"/>
      <c r="O897" s="88"/>
      <c r="P897" s="88"/>
      <c r="Q897" s="88"/>
      <c r="R897" s="88"/>
      <c r="S897" s="88"/>
      <c r="T897" s="88"/>
      <c r="U897" s="88"/>
      <c r="V897" s="88"/>
      <c r="W897" s="88"/>
      <c r="X897" s="88"/>
      <c r="Y897" s="88"/>
      <c r="Z897" s="88"/>
      <c r="AA897" s="88"/>
      <c r="AB897" s="88"/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  <c r="AM897" s="88"/>
      <c r="AN897" s="88"/>
      <c r="AO897" s="88"/>
      <c r="AP897" s="88"/>
      <c r="AQ897" s="88"/>
      <c r="AR897" s="88"/>
      <c r="AS897" s="88"/>
      <c r="AT897" s="88"/>
      <c r="AU897" s="88"/>
      <c r="AV897" s="88"/>
      <c r="AW897" s="88"/>
      <c r="AX897" s="88"/>
      <c r="AY897" s="88"/>
      <c r="AZ897" s="88"/>
      <c r="BA897" s="88"/>
      <c r="BB897" s="88"/>
      <c r="BC897" s="88"/>
      <c r="BD897" s="88"/>
      <c r="BE897" s="88"/>
      <c r="BF897" s="88"/>
      <c r="BG897" s="88"/>
      <c r="BH897" s="88"/>
      <c r="BI897" s="88"/>
      <c r="BJ897" s="88"/>
      <c r="BK897" s="88"/>
      <c r="BL897" s="88"/>
    </row>
    <row r="898" spans="1:64" s="14" customFormat="1" ht="14.1" customHeight="1">
      <c r="A898" s="379"/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88"/>
      <c r="M898" s="88"/>
      <c r="N898" s="88"/>
      <c r="O898" s="88"/>
      <c r="P898" s="88"/>
      <c r="Q898" s="88"/>
      <c r="R898" s="88"/>
      <c r="S898" s="88"/>
      <c r="T898" s="88"/>
      <c r="U898" s="88"/>
      <c r="V898" s="88"/>
      <c r="W898" s="88"/>
      <c r="X898" s="88"/>
      <c r="Y898" s="88"/>
      <c r="Z898" s="88"/>
      <c r="AA898" s="88"/>
      <c r="AB898" s="88"/>
      <c r="AC898" s="88"/>
      <c r="AD898" s="88"/>
      <c r="AE898" s="88"/>
      <c r="AF898" s="88"/>
      <c r="AG898" s="88"/>
      <c r="AH898" s="88"/>
      <c r="AI898" s="88"/>
      <c r="AJ898" s="88"/>
      <c r="AK898" s="88"/>
      <c r="AL898" s="88"/>
      <c r="AM898" s="88"/>
      <c r="AN898" s="88"/>
      <c r="AO898" s="88"/>
      <c r="AP898" s="88"/>
      <c r="AQ898" s="88"/>
      <c r="AR898" s="88"/>
      <c r="AS898" s="88"/>
      <c r="AT898" s="88"/>
      <c r="AU898" s="88"/>
      <c r="AV898" s="88"/>
      <c r="AW898" s="88"/>
      <c r="AX898" s="88"/>
      <c r="AY898" s="88"/>
      <c r="AZ898" s="88"/>
      <c r="BA898" s="88"/>
      <c r="BB898" s="88"/>
      <c r="BC898" s="88"/>
      <c r="BD898" s="88"/>
      <c r="BE898" s="88"/>
      <c r="BF898" s="88"/>
      <c r="BG898" s="88"/>
      <c r="BH898" s="88"/>
      <c r="BI898" s="88"/>
      <c r="BJ898" s="88"/>
      <c r="BK898" s="88"/>
      <c r="BL898" s="88"/>
    </row>
    <row r="899" spans="1:64" s="14" customFormat="1" ht="14.1" customHeight="1">
      <c r="A899" s="379"/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8"/>
      <c r="R899" s="88"/>
      <c r="S899" s="88"/>
      <c r="T899" s="88"/>
      <c r="U899" s="88"/>
      <c r="V899" s="88"/>
      <c r="W899" s="88"/>
      <c r="X899" s="88"/>
      <c r="Y899" s="88"/>
      <c r="Z899" s="88"/>
      <c r="AA899" s="88"/>
      <c r="AB899" s="88"/>
      <c r="AC899" s="88"/>
      <c r="AD899" s="88"/>
      <c r="AE899" s="88"/>
      <c r="AF899" s="88"/>
      <c r="AG899" s="88"/>
      <c r="AH899" s="88"/>
      <c r="AI899" s="88"/>
      <c r="AJ899" s="88"/>
      <c r="AK899" s="88"/>
      <c r="AL899" s="88"/>
      <c r="AM899" s="88"/>
      <c r="AN899" s="88"/>
      <c r="AO899" s="88"/>
      <c r="AP899" s="88"/>
      <c r="AQ899" s="88"/>
      <c r="AR899" s="88"/>
      <c r="AS899" s="88"/>
      <c r="AT899" s="88"/>
      <c r="AU899" s="88"/>
      <c r="AV899" s="88"/>
      <c r="AW899" s="88"/>
      <c r="AX899" s="88"/>
      <c r="AY899" s="88"/>
      <c r="AZ899" s="88"/>
      <c r="BA899" s="88"/>
      <c r="BB899" s="88"/>
      <c r="BC899" s="88"/>
      <c r="BD899" s="88"/>
      <c r="BE899" s="88"/>
      <c r="BF899" s="88"/>
      <c r="BG899" s="88"/>
      <c r="BH899" s="88"/>
      <c r="BI899" s="88"/>
      <c r="BJ899" s="88"/>
      <c r="BK899" s="88"/>
      <c r="BL899" s="88"/>
    </row>
    <row r="900" spans="1:64" s="14" customFormat="1" ht="14.1" customHeight="1">
      <c r="A900" s="379"/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88"/>
      <c r="M900" s="88"/>
      <c r="N900" s="88"/>
      <c r="O900" s="88"/>
      <c r="P900" s="88"/>
      <c r="Q900" s="88"/>
      <c r="R900" s="88"/>
      <c r="S900" s="88"/>
      <c r="T900" s="88"/>
      <c r="U900" s="88"/>
      <c r="V900" s="88"/>
      <c r="W900" s="88"/>
      <c r="X900" s="88"/>
      <c r="Y900" s="88"/>
      <c r="Z900" s="88"/>
      <c r="AA900" s="88"/>
      <c r="AB900" s="88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  <c r="AM900" s="88"/>
      <c r="AN900" s="88"/>
      <c r="AO900" s="88"/>
      <c r="AP900" s="88"/>
      <c r="AQ900" s="88"/>
      <c r="AR900" s="88"/>
      <c r="AS900" s="88"/>
      <c r="AT900" s="88"/>
      <c r="AU900" s="88"/>
      <c r="AV900" s="88"/>
      <c r="AW900" s="88"/>
      <c r="AX900" s="88"/>
      <c r="AY900" s="88"/>
      <c r="AZ900" s="88"/>
      <c r="BA900" s="88"/>
      <c r="BB900" s="88"/>
      <c r="BC900" s="88"/>
      <c r="BD900" s="88"/>
      <c r="BE900" s="88"/>
      <c r="BF900" s="88"/>
      <c r="BG900" s="88"/>
      <c r="BH900" s="88"/>
      <c r="BI900" s="88"/>
      <c r="BJ900" s="88"/>
      <c r="BK900" s="88"/>
      <c r="BL900" s="88"/>
    </row>
    <row r="901" spans="1:64" s="14" customFormat="1" ht="14.1" customHeight="1">
      <c r="A901" s="379"/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88"/>
      <c r="M901" s="88"/>
      <c r="N901" s="88"/>
      <c r="O901" s="88"/>
      <c r="P901" s="88"/>
      <c r="Q901" s="88"/>
      <c r="R901" s="88"/>
      <c r="S901" s="88"/>
      <c r="T901" s="88"/>
      <c r="U901" s="88"/>
      <c r="V901" s="88"/>
      <c r="W901" s="88"/>
      <c r="X901" s="88"/>
      <c r="Y901" s="88"/>
      <c r="Z901" s="88"/>
      <c r="AA901" s="88"/>
      <c r="AB901" s="88"/>
      <c r="AC901" s="88"/>
      <c r="AD901" s="88"/>
      <c r="AE901" s="88"/>
      <c r="AF901" s="88"/>
      <c r="AG901" s="88"/>
      <c r="AH901" s="88"/>
      <c r="AI901" s="88"/>
      <c r="AJ901" s="88"/>
      <c r="AK901" s="88"/>
      <c r="AL901" s="88"/>
      <c r="AM901" s="88"/>
      <c r="AN901" s="88"/>
      <c r="AO901" s="88"/>
      <c r="AP901" s="88"/>
      <c r="AQ901" s="88"/>
      <c r="AR901" s="88"/>
      <c r="AS901" s="88"/>
      <c r="AT901" s="88"/>
      <c r="AU901" s="88"/>
      <c r="AV901" s="88"/>
      <c r="AW901" s="88"/>
      <c r="AX901" s="88"/>
      <c r="AY901" s="88"/>
      <c r="AZ901" s="88"/>
      <c r="BA901" s="88"/>
      <c r="BB901" s="88"/>
      <c r="BC901" s="88"/>
      <c r="BD901" s="88"/>
      <c r="BE901" s="88"/>
      <c r="BF901" s="88"/>
      <c r="BG901" s="88"/>
      <c r="BH901" s="88"/>
      <c r="BI901" s="88"/>
      <c r="BJ901" s="88"/>
      <c r="BK901" s="88"/>
      <c r="BL901" s="88"/>
    </row>
    <row r="902" spans="1:64" s="14" customFormat="1" ht="14.1" customHeight="1">
      <c r="A902" s="379"/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88"/>
      <c r="M902" s="88"/>
      <c r="N902" s="88"/>
      <c r="O902" s="88"/>
      <c r="P902" s="88"/>
      <c r="Q902" s="88"/>
      <c r="R902" s="88"/>
      <c r="S902" s="88"/>
      <c r="T902" s="88"/>
      <c r="U902" s="88"/>
      <c r="V902" s="88"/>
      <c r="W902" s="88"/>
      <c r="X902" s="88"/>
      <c r="Y902" s="88"/>
      <c r="Z902" s="88"/>
      <c r="AA902" s="88"/>
      <c r="AB902" s="88"/>
      <c r="AC902" s="88"/>
      <c r="AD902" s="88"/>
      <c r="AE902" s="88"/>
      <c r="AF902" s="88"/>
      <c r="AG902" s="88"/>
      <c r="AH902" s="88"/>
      <c r="AI902" s="88"/>
      <c r="AJ902" s="88"/>
      <c r="AK902" s="88"/>
      <c r="AL902" s="88"/>
      <c r="AM902" s="88"/>
      <c r="AN902" s="88"/>
      <c r="AO902" s="88"/>
      <c r="AP902" s="88"/>
      <c r="AQ902" s="88"/>
      <c r="AR902" s="88"/>
      <c r="AS902" s="88"/>
      <c r="AT902" s="88"/>
      <c r="AU902" s="88"/>
      <c r="AV902" s="88"/>
      <c r="AW902" s="88"/>
      <c r="AX902" s="88"/>
      <c r="AY902" s="88"/>
      <c r="AZ902" s="88"/>
      <c r="BA902" s="88"/>
      <c r="BB902" s="88"/>
      <c r="BC902" s="88"/>
      <c r="BD902" s="88"/>
      <c r="BE902" s="88"/>
      <c r="BF902" s="88"/>
      <c r="BG902" s="88"/>
      <c r="BH902" s="88"/>
      <c r="BI902" s="88"/>
      <c r="BJ902" s="88"/>
      <c r="BK902" s="88"/>
      <c r="BL902" s="88"/>
    </row>
    <row r="903" spans="1:64" s="14" customFormat="1" ht="14.1" customHeight="1">
      <c r="A903" s="379"/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88"/>
      <c r="M903" s="88"/>
      <c r="N903" s="88"/>
      <c r="O903" s="88"/>
      <c r="P903" s="88"/>
      <c r="Q903" s="88"/>
      <c r="R903" s="88"/>
      <c r="S903" s="88"/>
      <c r="T903" s="88"/>
      <c r="U903" s="88"/>
      <c r="V903" s="88"/>
      <c r="W903" s="88"/>
      <c r="X903" s="88"/>
      <c r="Y903" s="88"/>
      <c r="Z903" s="88"/>
      <c r="AA903" s="88"/>
      <c r="AB903" s="88"/>
      <c r="AC903" s="88"/>
      <c r="AD903" s="88"/>
      <c r="AE903" s="88"/>
      <c r="AF903" s="88"/>
      <c r="AG903" s="88"/>
      <c r="AH903" s="88"/>
      <c r="AI903" s="88"/>
      <c r="AJ903" s="88"/>
      <c r="AK903" s="88"/>
      <c r="AL903" s="88"/>
      <c r="AM903" s="88"/>
      <c r="AN903" s="88"/>
      <c r="AO903" s="88"/>
      <c r="AP903" s="88"/>
      <c r="AQ903" s="88"/>
      <c r="AR903" s="88"/>
      <c r="AS903" s="88"/>
      <c r="AT903" s="88"/>
      <c r="AU903" s="88"/>
      <c r="AV903" s="88"/>
      <c r="AW903" s="88"/>
      <c r="AX903" s="88"/>
      <c r="AY903" s="88"/>
      <c r="AZ903" s="88"/>
      <c r="BA903" s="88"/>
      <c r="BB903" s="88"/>
      <c r="BC903" s="88"/>
      <c r="BD903" s="88"/>
      <c r="BE903" s="88"/>
      <c r="BF903" s="88"/>
      <c r="BG903" s="88"/>
      <c r="BH903" s="88"/>
      <c r="BI903" s="88"/>
      <c r="BJ903" s="88"/>
      <c r="BK903" s="88"/>
      <c r="BL903" s="88"/>
    </row>
  </sheetData>
  <mergeCells count="1">
    <mergeCell ref="I510:J510"/>
  </mergeCells>
  <pageMargins left="0.5" right="0.5" top="0.76" bottom="0.38" header="0.5" footer="0.22"/>
  <pageSetup scale="53" fitToHeight="13" orientation="landscape" r:id="rId1"/>
  <headerFooter alignWithMargins="0">
    <oddHeader xml:space="preserve">&amp;C&amp;12KENTUCKY POWER COMPANY
JURISDICTIONAL COST OF SERVICE 
TEST YEAR ENDED FEBRUARY 28, 2017
&amp;14
&amp;R&amp;12SECTION V
SCHEDULE 5
</oddHeader>
  </headerFooter>
  <rowBreaks count="8" manualBreakCount="8">
    <brk id="56" max="53" man="1"/>
    <brk id="111" max="53" man="1"/>
    <brk id="166" max="53" man="1"/>
    <brk id="223" max="53" man="1"/>
    <brk id="275" max="53" man="1"/>
    <brk id="390" max="53" man="1"/>
    <brk id="451" max="53" man="1"/>
    <brk id="504" max="53" man="1"/>
  </rowBreaks>
  <colBreaks count="1" manualBreakCount="1">
    <brk id="33" max="50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zoomScale="110" zoomScaleNormal="110" workbookViewId="0">
      <selection activeCell="G63" sqref="G63"/>
    </sheetView>
  </sheetViews>
  <sheetFormatPr defaultColWidth="9.140625" defaultRowHeight="12.75"/>
  <cols>
    <col min="1" max="1" width="9.140625" style="88"/>
    <col min="2" max="2" width="41" style="88" customWidth="1"/>
    <col min="3" max="3" width="15.7109375" style="88" bestFit="1" customWidth="1"/>
    <col min="4" max="4" width="1.7109375" style="22" customWidth="1"/>
    <col min="5" max="5" width="12.140625" style="88" customWidth="1"/>
    <col min="6" max="6" width="1.7109375" style="22" customWidth="1"/>
    <col min="7" max="7" width="13.85546875" style="88" bestFit="1" customWidth="1"/>
    <col min="8" max="8" width="1.85546875" style="22" customWidth="1"/>
    <col min="9" max="9" width="13.28515625" style="88" bestFit="1" customWidth="1"/>
    <col min="10" max="10" width="1.85546875" style="88" customWidth="1"/>
    <col min="11" max="11" width="13.28515625" style="22" bestFit="1" customWidth="1"/>
    <col min="12" max="12" width="1.85546875" style="22" customWidth="1"/>
    <col min="13" max="13" width="13.28515625" style="22" bestFit="1" customWidth="1"/>
    <col min="14" max="14" width="20" style="66" bestFit="1" customWidth="1"/>
    <col min="15" max="15" width="13.85546875" style="22" bestFit="1" customWidth="1"/>
    <col min="16" max="16" width="11.140625" style="22" bestFit="1" customWidth="1"/>
    <col min="17" max="17" width="5.85546875" style="88" customWidth="1"/>
    <col min="18" max="18" width="15.42578125" style="88" customWidth="1"/>
    <col min="19" max="16384" width="9.140625" style="88"/>
  </cols>
  <sheetData>
    <row r="1" spans="1:18">
      <c r="A1" s="430" t="s">
        <v>334</v>
      </c>
      <c r="B1" s="430"/>
      <c r="C1" s="430"/>
      <c r="D1" s="430"/>
      <c r="E1" s="430"/>
      <c r="F1" s="430"/>
      <c r="G1" s="430"/>
      <c r="H1" s="430"/>
      <c r="I1" s="430"/>
    </row>
    <row r="2" spans="1:18">
      <c r="A2" s="430" t="s">
        <v>960</v>
      </c>
      <c r="B2" s="430"/>
      <c r="C2" s="430"/>
      <c r="D2" s="430"/>
      <c r="E2" s="430"/>
      <c r="F2" s="430"/>
      <c r="G2" s="430"/>
      <c r="H2" s="430"/>
      <c r="I2" s="430"/>
    </row>
    <row r="3" spans="1:18">
      <c r="A3" s="430" t="s">
        <v>993</v>
      </c>
      <c r="B3" s="430"/>
      <c r="C3" s="430"/>
      <c r="D3" s="430"/>
      <c r="E3" s="430"/>
      <c r="F3" s="430"/>
      <c r="G3" s="430"/>
      <c r="H3" s="430"/>
      <c r="I3" s="430"/>
    </row>
    <row r="5" spans="1:18" ht="38.25">
      <c r="A5" s="103" t="s">
        <v>401</v>
      </c>
      <c r="B5" s="105" t="s">
        <v>402</v>
      </c>
      <c r="C5" s="86" t="s">
        <v>418</v>
      </c>
      <c r="D5" s="213"/>
      <c r="E5" s="86" t="s">
        <v>419</v>
      </c>
      <c r="F5" s="213"/>
      <c r="G5" s="86" t="s">
        <v>420</v>
      </c>
      <c r="H5" s="213"/>
      <c r="I5" s="86" t="s">
        <v>421</v>
      </c>
      <c r="K5" s="380" t="s">
        <v>59</v>
      </c>
      <c r="L5" s="380"/>
      <c r="M5" s="235" t="s">
        <v>154</v>
      </c>
    </row>
    <row r="7" spans="1:18">
      <c r="B7" s="44" t="s">
        <v>187</v>
      </c>
    </row>
    <row r="8" spans="1:18">
      <c r="B8" s="44" t="s">
        <v>188</v>
      </c>
      <c r="M8" s="432"/>
      <c r="N8" s="432"/>
    </row>
    <row r="9" spans="1:18">
      <c r="A9" s="88">
        <v>500</v>
      </c>
      <c r="B9" s="88" t="s">
        <v>403</v>
      </c>
      <c r="C9" s="89">
        <f>'Sch 4'!C307</f>
        <v>4368842.9799999995</v>
      </c>
      <c r="D9" s="66"/>
      <c r="E9" s="89">
        <v>4284103</v>
      </c>
      <c r="F9" s="66"/>
      <c r="G9" s="89">
        <f>ROUND(E9/($E$53-$E$51)*$C$51,0)</f>
        <v>2473112</v>
      </c>
      <c r="H9" s="66"/>
      <c r="I9" s="89">
        <f>C9+G9</f>
        <v>6841954.9799999995</v>
      </c>
      <c r="K9" s="223">
        <f>I9</f>
        <v>6841954.9799999995</v>
      </c>
      <c r="N9" s="66" t="s">
        <v>341</v>
      </c>
    </row>
    <row r="10" spans="1:18">
      <c r="A10" s="88">
        <v>501</v>
      </c>
      <c r="B10" s="88" t="s">
        <v>404</v>
      </c>
      <c r="C10" s="89">
        <f>'Sch 4'!C308+'Sch 4'!C310+'Sch 4'!C309</f>
        <v>88204169.420000002</v>
      </c>
      <c r="D10" s="66"/>
      <c r="E10" s="89">
        <v>2543957</v>
      </c>
      <c r="F10" s="66"/>
      <c r="G10" s="89">
        <f>ROUND(E10/($E$53-$E$51)*$C$51,0)</f>
        <v>1468567</v>
      </c>
      <c r="H10" s="66"/>
      <c r="I10" s="89">
        <f t="shared" ref="I10:I16" si="0">C10+G10</f>
        <v>89672736.420000002</v>
      </c>
      <c r="M10" s="223">
        <f>I10</f>
        <v>89672736.420000002</v>
      </c>
      <c r="N10" s="66" t="s">
        <v>344</v>
      </c>
      <c r="R10" s="214"/>
    </row>
    <row r="11" spans="1:18">
      <c r="A11" s="88">
        <v>5010005</v>
      </c>
      <c r="B11" s="88" t="s">
        <v>405</v>
      </c>
      <c r="C11" s="89">
        <f>'Sch 4'!C311</f>
        <v>2988120.6500000004</v>
      </c>
      <c r="D11" s="66"/>
      <c r="E11" s="89">
        <v>0</v>
      </c>
      <c r="F11" s="66"/>
      <c r="G11" s="89">
        <f t="shared" ref="G11:G16" si="1">ROUND(E11/($E$53-$E$51)*$C$51,0)</f>
        <v>0</v>
      </c>
      <c r="H11" s="66"/>
      <c r="I11" s="89">
        <f>C11+G11</f>
        <v>2988120.6500000004</v>
      </c>
      <c r="M11" s="223">
        <f>I11</f>
        <v>2988120.6500000004</v>
      </c>
      <c r="N11" s="66" t="s">
        <v>344</v>
      </c>
      <c r="R11" s="214"/>
    </row>
    <row r="12" spans="1:18">
      <c r="A12" s="88">
        <v>502</v>
      </c>
      <c r="B12" s="88" t="s">
        <v>406</v>
      </c>
      <c r="C12" s="89">
        <f>'Sch 4'!C312</f>
        <v>5535246.0800000001</v>
      </c>
      <c r="D12" s="66"/>
      <c r="E12" s="89">
        <v>868914</v>
      </c>
      <c r="F12" s="66"/>
      <c r="G12" s="89">
        <f>ROUND(E12/($E$53-$E$51)*$C$51,0)</f>
        <v>501604</v>
      </c>
      <c r="H12" s="66"/>
      <c r="I12" s="89">
        <f>C12+G12</f>
        <v>6036850.0800000001</v>
      </c>
      <c r="K12" s="223">
        <f>I12*0.34</f>
        <v>2052529.0272000001</v>
      </c>
      <c r="M12" s="223">
        <f>I12-K12</f>
        <v>3984321.0527999997</v>
      </c>
      <c r="N12" s="66" t="s">
        <v>932</v>
      </c>
      <c r="R12" s="214"/>
    </row>
    <row r="13" spans="1:18">
      <c r="A13" s="88">
        <v>505</v>
      </c>
      <c r="B13" s="88" t="s">
        <v>407</v>
      </c>
      <c r="C13" s="89">
        <f>'Sch 4'!C315</f>
        <v>3169.7700000000004</v>
      </c>
      <c r="D13" s="66"/>
      <c r="E13" s="89">
        <v>2092</v>
      </c>
      <c r="F13" s="66"/>
      <c r="G13" s="89">
        <f t="shared" si="1"/>
        <v>1208</v>
      </c>
      <c r="H13" s="66"/>
      <c r="I13" s="89">
        <f t="shared" si="0"/>
        <v>4377.7700000000004</v>
      </c>
      <c r="K13" s="223">
        <f>I13*0.34</f>
        <v>1488.4418000000003</v>
      </c>
      <c r="M13" s="223">
        <f>I13-K13</f>
        <v>2889.3281999999999</v>
      </c>
      <c r="N13" s="66" t="s">
        <v>932</v>
      </c>
      <c r="R13" s="214"/>
    </row>
    <row r="14" spans="1:18">
      <c r="A14" s="88">
        <v>506</v>
      </c>
      <c r="B14" s="88" t="s">
        <v>408</v>
      </c>
      <c r="C14" s="89">
        <f>'Sch 4'!C316+'Sch 4'!C317</f>
        <v>7471432.2999999998</v>
      </c>
      <c r="D14" s="66"/>
      <c r="E14" s="89">
        <v>4595724</v>
      </c>
      <c r="F14" s="66"/>
      <c r="G14" s="89">
        <f t="shared" si="1"/>
        <v>2653004</v>
      </c>
      <c r="H14" s="66"/>
      <c r="I14" s="89">
        <f t="shared" si="0"/>
        <v>10124436.300000001</v>
      </c>
      <c r="K14" s="223">
        <f>I14</f>
        <v>10124436.300000001</v>
      </c>
      <c r="M14" s="22">
        <v>0</v>
      </c>
      <c r="N14" s="66" t="s">
        <v>341</v>
      </c>
      <c r="R14" s="214"/>
    </row>
    <row r="15" spans="1:18">
      <c r="A15" s="88">
        <v>507</v>
      </c>
      <c r="B15" s="88" t="s">
        <v>409</v>
      </c>
      <c r="C15" s="89">
        <f>'Sch 4'!C317</f>
        <v>0</v>
      </c>
      <c r="D15" s="66"/>
      <c r="E15" s="89">
        <v>0</v>
      </c>
      <c r="F15" s="66"/>
      <c r="G15" s="89">
        <f t="shared" si="1"/>
        <v>0</v>
      </c>
      <c r="H15" s="66"/>
      <c r="I15" s="89">
        <f t="shared" si="0"/>
        <v>0</v>
      </c>
      <c r="K15" s="223">
        <f>C15</f>
        <v>0</v>
      </c>
      <c r="M15" s="22">
        <v>0</v>
      </c>
      <c r="N15" s="66" t="s">
        <v>341</v>
      </c>
      <c r="R15" s="214"/>
    </row>
    <row r="16" spans="1:18">
      <c r="B16" s="88" t="s">
        <v>203</v>
      </c>
      <c r="C16" s="215">
        <f>'Sch 4'!C334+'Sch 4'!C335</f>
        <v>1197922.1800000002</v>
      </c>
      <c r="D16" s="66"/>
      <c r="E16" s="215">
        <f>388465+685911</f>
        <v>1074376</v>
      </c>
      <c r="F16" s="66"/>
      <c r="G16" s="215">
        <f t="shared" si="1"/>
        <v>620212</v>
      </c>
      <c r="H16" s="66"/>
      <c r="I16" s="215">
        <f t="shared" si="0"/>
        <v>1818134.1800000002</v>
      </c>
      <c r="K16" s="56"/>
      <c r="M16" s="236">
        <f>I16</f>
        <v>1818134.1800000002</v>
      </c>
      <c r="N16" s="66" t="s">
        <v>344</v>
      </c>
      <c r="R16" s="214"/>
    </row>
    <row r="17" spans="1:19">
      <c r="C17" s="89"/>
      <c r="D17" s="66"/>
      <c r="E17" s="89"/>
      <c r="F17" s="66"/>
      <c r="G17" s="89"/>
      <c r="H17" s="66"/>
      <c r="I17" s="89"/>
      <c r="R17" s="214"/>
    </row>
    <row r="18" spans="1:19">
      <c r="B18" s="20" t="s">
        <v>196</v>
      </c>
      <c r="C18" s="89">
        <f>SUM(C9:C17)</f>
        <v>109768903.38000001</v>
      </c>
      <c r="D18" s="66"/>
      <c r="E18" s="89">
        <f>SUM(E9:E17)</f>
        <v>13369166</v>
      </c>
      <c r="F18" s="66"/>
      <c r="G18" s="89">
        <f>SUM(G9:G17)</f>
        <v>7717707</v>
      </c>
      <c r="H18" s="66"/>
      <c r="I18" s="89">
        <f>SUM(I9:I17)</f>
        <v>117486610.38000001</v>
      </c>
      <c r="K18" s="89">
        <f>SUM(K9:K17)</f>
        <v>19020408.748999998</v>
      </c>
      <c r="M18" s="89">
        <f>SUM(M9:M17)</f>
        <v>98466201.631000012</v>
      </c>
      <c r="R18" s="214"/>
    </row>
    <row r="19" spans="1:19">
      <c r="C19" s="89"/>
      <c r="D19" s="66"/>
      <c r="E19" s="89"/>
      <c r="F19" s="66"/>
      <c r="G19" s="89"/>
      <c r="H19" s="66"/>
      <c r="I19" s="89"/>
      <c r="Q19" s="22"/>
      <c r="R19" s="214"/>
    </row>
    <row r="20" spans="1:19">
      <c r="C20" s="89"/>
      <c r="D20" s="66"/>
      <c r="E20" s="89"/>
      <c r="F20" s="66"/>
      <c r="G20" s="89"/>
      <c r="H20" s="66"/>
      <c r="I20" s="89"/>
      <c r="Q20" s="22"/>
      <c r="R20" s="214"/>
    </row>
    <row r="21" spans="1:19">
      <c r="B21" s="216" t="s">
        <v>410</v>
      </c>
      <c r="C21" s="89"/>
      <c r="D21" s="66"/>
      <c r="E21" s="89"/>
      <c r="F21" s="66"/>
      <c r="G21" s="89"/>
      <c r="H21" s="66"/>
      <c r="I21" s="89"/>
      <c r="Q21" s="22"/>
      <c r="R21" s="214"/>
    </row>
    <row r="22" spans="1:19">
      <c r="A22" s="88">
        <v>510</v>
      </c>
      <c r="B22" s="199" t="s">
        <v>403</v>
      </c>
      <c r="C22" s="89">
        <f>'Sch 4'!C322</f>
        <v>2067297.41</v>
      </c>
      <c r="D22" s="66"/>
      <c r="E22" s="89">
        <f>1967128+10871</f>
        <v>1977999</v>
      </c>
      <c r="F22" s="66"/>
      <c r="G22" s="89">
        <f>ROUND(E22/($E$53-$E$51)*$C$51,0)</f>
        <v>1141852</v>
      </c>
      <c r="H22" s="66"/>
      <c r="I22" s="89">
        <f>C22+G22</f>
        <v>3209149.41</v>
      </c>
      <c r="K22" s="223">
        <f>I22</f>
        <v>3209149.41</v>
      </c>
      <c r="N22" s="66" t="s">
        <v>341</v>
      </c>
      <c r="Q22" s="22"/>
      <c r="R22" s="214"/>
    </row>
    <row r="23" spans="1:19">
      <c r="A23" s="88">
        <v>511</v>
      </c>
      <c r="B23" s="217" t="s">
        <v>412</v>
      </c>
      <c r="C23" s="89">
        <f>'Sch 4'!C323</f>
        <v>1555134.22</v>
      </c>
      <c r="D23" s="66"/>
      <c r="E23" s="89">
        <v>376172</v>
      </c>
      <c r="F23" s="66"/>
      <c r="G23" s="89">
        <f>ROUND(E23/($E$53-$E$51)*$C$51,0)</f>
        <v>217155</v>
      </c>
      <c r="H23" s="66"/>
      <c r="I23" s="89">
        <f>C23+G23</f>
        <v>1772289.22</v>
      </c>
      <c r="K23" s="223">
        <f>I23</f>
        <v>1772289.22</v>
      </c>
      <c r="N23" s="66" t="s">
        <v>341</v>
      </c>
      <c r="Q23" s="22"/>
      <c r="R23" s="218"/>
    </row>
    <row r="24" spans="1:19">
      <c r="A24" s="88">
        <v>512</v>
      </c>
      <c r="B24" s="199" t="s">
        <v>413</v>
      </c>
      <c r="C24" s="89">
        <f>'Sch 4'!C324</f>
        <v>11390510.390000001</v>
      </c>
      <c r="D24" s="66"/>
      <c r="E24" s="89">
        <v>3284998</v>
      </c>
      <c r="F24" s="66"/>
      <c r="G24" s="89">
        <f>ROUND(E24/($E$53-$E$51)*$C$51,0)</f>
        <v>1896352</v>
      </c>
      <c r="H24" s="66"/>
      <c r="I24" s="89">
        <f>C24+G24</f>
        <v>13286862.390000001</v>
      </c>
      <c r="K24" s="223">
        <f>I24*0.34</f>
        <v>4517533.2126000002</v>
      </c>
      <c r="M24" s="223">
        <f>I24-K24</f>
        <v>8769329.1774000004</v>
      </c>
      <c r="N24" s="66" t="s">
        <v>932</v>
      </c>
      <c r="Q24" s="22"/>
      <c r="R24" s="218"/>
      <c r="S24" s="22"/>
    </row>
    <row r="25" spans="1:19">
      <c r="A25" s="88">
        <v>513</v>
      </c>
      <c r="B25" s="199" t="s">
        <v>414</v>
      </c>
      <c r="C25" s="89">
        <f>'Sch 4'!C325</f>
        <v>4058356.42</v>
      </c>
      <c r="D25" s="66"/>
      <c r="E25" s="89">
        <v>2271851</v>
      </c>
      <c r="F25" s="66"/>
      <c r="G25" s="89">
        <f>ROUND(E25/($E$53-$E$51)*$C$51,0)</f>
        <v>1311486</v>
      </c>
      <c r="H25" s="66"/>
      <c r="I25" s="89">
        <f>C25+G25</f>
        <v>5369842.4199999999</v>
      </c>
      <c r="K25" s="223">
        <f>I25</f>
        <v>5369842.4199999999</v>
      </c>
      <c r="N25" s="66" t="s">
        <v>341</v>
      </c>
      <c r="Q25" s="22"/>
      <c r="R25" s="218"/>
      <c r="S25" s="22"/>
    </row>
    <row r="26" spans="1:19">
      <c r="A26" s="88" t="s">
        <v>411</v>
      </c>
      <c r="B26" s="199" t="s">
        <v>415</v>
      </c>
      <c r="C26" s="215">
        <f>'Sch 4'!C326</f>
        <v>1682242.75</v>
      </c>
      <c r="D26" s="66"/>
      <c r="E26" s="215">
        <v>1001556</v>
      </c>
      <c r="F26" s="66"/>
      <c r="G26" s="215">
        <f>ROUND(E26/($E$53-$E$51)*$C$51,0)</f>
        <v>578175</v>
      </c>
      <c r="H26" s="66"/>
      <c r="I26" s="215">
        <f>C26+G26</f>
        <v>2260417.75</v>
      </c>
      <c r="K26" s="236">
        <f>I26</f>
        <v>2260417.75</v>
      </c>
      <c r="M26" s="56"/>
      <c r="N26" s="66" t="s">
        <v>341</v>
      </c>
      <c r="Q26" s="22"/>
      <c r="R26" s="218"/>
      <c r="S26" s="22"/>
    </row>
    <row r="27" spans="1:19">
      <c r="C27" s="89"/>
      <c r="D27" s="66"/>
      <c r="E27" s="89"/>
      <c r="F27" s="66"/>
      <c r="G27" s="89"/>
      <c r="H27" s="66"/>
      <c r="I27" s="89"/>
      <c r="Q27" s="22"/>
      <c r="R27" s="218"/>
      <c r="S27" s="22"/>
    </row>
    <row r="28" spans="1:19">
      <c r="B28" s="219" t="s">
        <v>417</v>
      </c>
      <c r="C28" s="89">
        <f>SUM(C22:C27)</f>
        <v>20753541.189999998</v>
      </c>
      <c r="D28" s="66"/>
      <c r="E28" s="89">
        <f>SUM(E22:E27)</f>
        <v>8912576</v>
      </c>
      <c r="F28" s="66"/>
      <c r="G28" s="89">
        <f>SUM(G22:G27)</f>
        <v>5145020</v>
      </c>
      <c r="H28" s="66"/>
      <c r="I28" s="89">
        <f>SUM(I22:I27)</f>
        <v>25898561.189999998</v>
      </c>
      <c r="K28" s="89">
        <f>SUM(K22:K27)</f>
        <v>17129232.012599997</v>
      </c>
      <c r="M28" s="89">
        <f>SUM(M22:M27)</f>
        <v>8769329.1774000004</v>
      </c>
      <c r="Q28" s="22"/>
      <c r="R28" s="214"/>
      <c r="S28" s="22"/>
    </row>
    <row r="29" spans="1:19">
      <c r="B29" s="199"/>
      <c r="C29" s="89"/>
      <c r="D29" s="66"/>
      <c r="E29" s="89"/>
      <c r="F29" s="66"/>
      <c r="G29" s="89"/>
      <c r="H29" s="66"/>
      <c r="I29" s="89"/>
      <c r="Q29" s="22"/>
      <c r="R29" s="214"/>
      <c r="S29" s="22"/>
    </row>
    <row r="30" spans="1:19">
      <c r="B30" s="199"/>
      <c r="C30" s="89"/>
      <c r="D30" s="66"/>
      <c r="E30" s="89"/>
      <c r="F30" s="66"/>
      <c r="G30" s="89"/>
      <c r="H30" s="66"/>
      <c r="I30" s="89"/>
      <c r="Q30" s="22"/>
      <c r="R30" s="214"/>
      <c r="S30" s="22"/>
    </row>
    <row r="31" spans="1:19">
      <c r="B31" s="219" t="s">
        <v>416</v>
      </c>
      <c r="C31" s="89">
        <f>C18+C28</f>
        <v>130522444.57000001</v>
      </c>
      <c r="D31" s="66"/>
      <c r="E31" s="89">
        <f>E18+E28</f>
        <v>22281742</v>
      </c>
      <c r="F31" s="66"/>
      <c r="G31" s="89">
        <f>G18+G28</f>
        <v>12862727</v>
      </c>
      <c r="H31" s="66"/>
      <c r="I31" s="89">
        <f>I18+I28</f>
        <v>143385171.56999999</v>
      </c>
      <c r="K31" s="89">
        <f>K18+K28</f>
        <v>36149640.761599995</v>
      </c>
      <c r="M31" s="89">
        <f>M18+M28</f>
        <v>107235530.80840001</v>
      </c>
      <c r="Q31" s="22"/>
      <c r="R31" s="214"/>
      <c r="S31" s="22"/>
    </row>
    <row r="32" spans="1:19">
      <c r="C32" s="89"/>
      <c r="D32" s="66"/>
      <c r="E32" s="89"/>
      <c r="F32" s="66"/>
      <c r="G32" s="89"/>
      <c r="H32" s="66"/>
      <c r="I32" s="89"/>
      <c r="Q32" s="22"/>
      <c r="R32" s="214"/>
      <c r="S32" s="22"/>
    </row>
    <row r="33" spans="2:19">
      <c r="C33" s="89"/>
      <c r="D33" s="66"/>
      <c r="E33" s="89"/>
      <c r="F33" s="66"/>
      <c r="G33" s="89"/>
      <c r="H33" s="66"/>
      <c r="I33" s="89"/>
      <c r="K33" s="380"/>
      <c r="Q33" s="22"/>
      <c r="R33" s="214"/>
      <c r="S33" s="22"/>
    </row>
    <row r="34" spans="2:19">
      <c r="B34" s="199" t="s">
        <v>890</v>
      </c>
      <c r="C34" s="89">
        <f>(+'Sch 4'!C295)*-1</f>
        <v>-60397759.630000003</v>
      </c>
      <c r="D34" s="66"/>
      <c r="E34" s="89">
        <v>0</v>
      </c>
      <c r="F34" s="66"/>
      <c r="G34" s="89">
        <v>0</v>
      </c>
      <c r="H34" s="66"/>
      <c r="I34" s="89">
        <f>C34+G34</f>
        <v>-60397759.630000003</v>
      </c>
      <c r="K34" s="250">
        <f>I34</f>
        <v>-60397759.630000003</v>
      </c>
      <c r="N34" s="66" t="s">
        <v>362</v>
      </c>
      <c r="Q34" s="22"/>
      <c r="R34" s="214"/>
      <c r="S34" s="22"/>
    </row>
    <row r="35" spans="2:19">
      <c r="B35" s="199"/>
      <c r="C35" s="89"/>
      <c r="D35" s="66"/>
      <c r="E35" s="89"/>
      <c r="F35" s="66"/>
      <c r="G35" s="89"/>
      <c r="H35" s="66"/>
      <c r="I35" s="89"/>
      <c r="Q35" s="22"/>
      <c r="R35" s="214"/>
      <c r="S35" s="22"/>
    </row>
    <row r="36" spans="2:19">
      <c r="B36" s="199" t="s">
        <v>926</v>
      </c>
      <c r="C36" s="89">
        <f>'Sch 4'!C349</f>
        <v>105756</v>
      </c>
      <c r="D36" s="66"/>
      <c r="E36" s="203"/>
      <c r="F36" s="204"/>
      <c r="G36" s="89"/>
      <c r="H36" s="66"/>
      <c r="I36" s="89">
        <f>C36+G36</f>
        <v>105756</v>
      </c>
      <c r="K36" s="66">
        <f>I36</f>
        <v>105756</v>
      </c>
      <c r="N36" s="25" t="s">
        <v>346</v>
      </c>
      <c r="R36" s="214"/>
      <c r="S36" s="22"/>
    </row>
    <row r="37" spans="2:19">
      <c r="B37" s="199" t="s">
        <v>887</v>
      </c>
      <c r="C37" s="89">
        <f>'Sch 4'!C347-'Sch 4'!C293</f>
        <v>81947373.890000015</v>
      </c>
      <c r="D37" s="66"/>
      <c r="E37" s="413"/>
      <c r="F37" s="220"/>
      <c r="G37" s="89"/>
      <c r="H37" s="66"/>
      <c r="I37" s="89">
        <f>C37+G37</f>
        <v>81947373.890000015</v>
      </c>
      <c r="K37" s="66">
        <f>I37</f>
        <v>81947373.890000015</v>
      </c>
      <c r="N37" s="66" t="s">
        <v>362</v>
      </c>
      <c r="R37" s="214"/>
      <c r="S37" s="22"/>
    </row>
    <row r="38" spans="2:19">
      <c r="B38" s="199" t="s">
        <v>888</v>
      </c>
      <c r="C38" s="89">
        <f>'Sch 4'!C348-'Sch 4'!C294</f>
        <v>362264.2</v>
      </c>
      <c r="D38" s="66"/>
      <c r="E38" s="413"/>
      <c r="F38" s="220"/>
      <c r="G38" s="89"/>
      <c r="H38" s="66"/>
      <c r="I38" s="89">
        <f>C38+G38</f>
        <v>362264.2</v>
      </c>
      <c r="K38" s="66"/>
      <c r="M38" s="223">
        <f>I38</f>
        <v>362264.2</v>
      </c>
      <c r="N38" s="66" t="s">
        <v>362</v>
      </c>
      <c r="R38" s="214"/>
      <c r="S38" s="22"/>
    </row>
    <row r="39" spans="2:19">
      <c r="B39" s="199" t="s">
        <v>889</v>
      </c>
      <c r="C39" s="211">
        <f>SUM('Sch 4'!C341:C346,'Sch 4'!C351:C352,'Sch 4'!C356:C361)</f>
        <v>3763897.1950000008</v>
      </c>
      <c r="D39" s="66"/>
      <c r="E39" s="203">
        <f>2186442+965276</f>
        <v>3151718</v>
      </c>
      <c r="F39" s="204"/>
      <c r="G39" s="89">
        <f>ROUND(E39/($E$53-$E$51)*$C$51,0)</f>
        <v>1819413</v>
      </c>
      <c r="H39" s="66"/>
      <c r="I39" s="89">
        <f>C39+G39</f>
        <v>5583310.1950000003</v>
      </c>
      <c r="K39" s="66">
        <f>I39</f>
        <v>5583310.1950000003</v>
      </c>
      <c r="N39" s="25" t="s">
        <v>346</v>
      </c>
      <c r="S39" s="22"/>
    </row>
    <row r="40" spans="2:19">
      <c r="B40" s="199" t="s">
        <v>422</v>
      </c>
      <c r="C40" s="215">
        <f>'Sch 4'!C350</f>
        <v>3526337.9799999995</v>
      </c>
      <c r="D40" s="66"/>
      <c r="E40" s="414"/>
      <c r="F40" s="220"/>
      <c r="G40" s="215"/>
      <c r="H40" s="66"/>
      <c r="I40" s="215">
        <f>C40+G40</f>
        <v>3526337.9799999995</v>
      </c>
      <c r="K40" s="215"/>
      <c r="M40" s="56"/>
      <c r="N40" s="66" t="s">
        <v>876</v>
      </c>
      <c r="S40" s="22"/>
    </row>
    <row r="41" spans="2:19">
      <c r="B41" s="219" t="s">
        <v>210</v>
      </c>
      <c r="C41" s="89">
        <f>SUM(C36:C40)</f>
        <v>89705629.26500003</v>
      </c>
      <c r="D41" s="66"/>
      <c r="E41" s="89">
        <f>SUM(E36:E40)</f>
        <v>3151718</v>
      </c>
      <c r="F41" s="66"/>
      <c r="G41" s="89">
        <f>SUM(G36:G40)</f>
        <v>1819413</v>
      </c>
      <c r="H41" s="66"/>
      <c r="I41" s="89">
        <f>SUM(I36:I40)</f>
        <v>91525042.26500003</v>
      </c>
      <c r="K41" s="89">
        <f>SUM(K36:K40)</f>
        <v>87636440.085000008</v>
      </c>
      <c r="M41" s="89">
        <f>SUM(M36:M40)</f>
        <v>362264.2</v>
      </c>
    </row>
    <row r="42" spans="2:19">
      <c r="B42" s="199"/>
      <c r="C42" s="89"/>
      <c r="D42" s="66"/>
      <c r="E42" s="89"/>
      <c r="F42" s="66"/>
      <c r="G42" s="89"/>
      <c r="H42" s="66"/>
      <c r="I42" s="89"/>
    </row>
    <row r="43" spans="2:19">
      <c r="B43" s="199"/>
      <c r="C43" s="89"/>
      <c r="D43" s="66"/>
      <c r="E43" s="89"/>
      <c r="F43" s="66"/>
      <c r="G43" s="89"/>
      <c r="H43" s="66"/>
      <c r="I43" s="89"/>
      <c r="M43" s="432"/>
      <c r="N43" s="432"/>
    </row>
    <row r="44" spans="2:19">
      <c r="B44" s="199" t="s">
        <v>371</v>
      </c>
      <c r="C44" s="89">
        <f>'Sch 4'!C362</f>
        <v>1045181.4500000001</v>
      </c>
      <c r="D44" s="66"/>
      <c r="E44" s="203">
        <v>0</v>
      </c>
      <c r="F44" s="204"/>
      <c r="G44" s="89">
        <f t="shared" ref="G44:G50" si="2">ROUND(E44/($E$53-$E$51)*$C$51,0)</f>
        <v>0</v>
      </c>
      <c r="H44" s="66"/>
      <c r="I44" s="89">
        <f>C44+G44</f>
        <v>1045181.4500000001</v>
      </c>
      <c r="K44" s="223">
        <f t="shared" ref="K44:K50" si="3">C44</f>
        <v>1045181.4500000001</v>
      </c>
      <c r="N44" s="66" t="s">
        <v>346</v>
      </c>
    </row>
    <row r="45" spans="2:19">
      <c r="B45" s="199" t="s">
        <v>430</v>
      </c>
      <c r="C45" s="89">
        <f>'Sch 4'!C378</f>
        <v>9904866.1329999976</v>
      </c>
      <c r="D45" s="66"/>
      <c r="E45" s="203">
        <v>4173376</v>
      </c>
      <c r="F45" s="204"/>
      <c r="G45" s="89">
        <f t="shared" si="2"/>
        <v>2409192</v>
      </c>
      <c r="H45" s="66"/>
      <c r="I45" s="89">
        <f t="shared" ref="I45:I51" si="4">C45+G45</f>
        <v>12314058.132999998</v>
      </c>
      <c r="K45" s="223">
        <f t="shared" si="3"/>
        <v>9904866.1329999976</v>
      </c>
      <c r="N45" s="66" t="s">
        <v>348</v>
      </c>
    </row>
    <row r="46" spans="2:19">
      <c r="B46" s="199" t="s">
        <v>431</v>
      </c>
      <c r="C46" s="89">
        <f>+'Sch 4'!C391</f>
        <v>32785753.596999999</v>
      </c>
      <c r="D46" s="66"/>
      <c r="E46" s="203">
        <v>4026126</v>
      </c>
      <c r="F46" s="204"/>
      <c r="G46" s="89">
        <f t="shared" si="2"/>
        <v>2324188</v>
      </c>
      <c r="H46" s="66"/>
      <c r="I46" s="89">
        <f t="shared" si="4"/>
        <v>35109941.597000003</v>
      </c>
      <c r="K46" s="223">
        <f t="shared" si="3"/>
        <v>32785753.596999999</v>
      </c>
      <c r="N46" s="66" t="s">
        <v>348</v>
      </c>
    </row>
    <row r="47" spans="2:19">
      <c r="B47" s="199" t="s">
        <v>423</v>
      </c>
      <c r="C47" s="89">
        <f>'Sch 4'!C402</f>
        <v>6390252.4799999995</v>
      </c>
      <c r="D47" s="66"/>
      <c r="E47" s="203">
        <v>3379524</v>
      </c>
      <c r="F47" s="204"/>
      <c r="G47" s="89">
        <f t="shared" si="2"/>
        <v>1950920</v>
      </c>
      <c r="H47" s="66"/>
      <c r="I47" s="89">
        <f t="shared" si="4"/>
        <v>8341172.4799999995</v>
      </c>
      <c r="K47" s="223">
        <f t="shared" si="3"/>
        <v>6390252.4799999995</v>
      </c>
      <c r="N47" s="66" t="s">
        <v>809</v>
      </c>
    </row>
    <row r="48" spans="2:19">
      <c r="B48" s="199" t="s">
        <v>424</v>
      </c>
      <c r="C48" s="89">
        <f>'Sch 4'!C409</f>
        <v>734971.60999999987</v>
      </c>
      <c r="D48" s="66"/>
      <c r="E48" s="203">
        <v>263147</v>
      </c>
      <c r="F48" s="204"/>
      <c r="G48" s="89">
        <f t="shared" si="2"/>
        <v>151909</v>
      </c>
      <c r="H48" s="66"/>
      <c r="I48" s="89">
        <f t="shared" si="4"/>
        <v>886880.60999999987</v>
      </c>
      <c r="K48" s="223">
        <f t="shared" si="3"/>
        <v>734971.60999999987</v>
      </c>
      <c r="N48" s="66" t="s">
        <v>809</v>
      </c>
    </row>
    <row r="49" spans="2:16">
      <c r="B49" s="199" t="s">
        <v>24</v>
      </c>
      <c r="C49" s="89">
        <f>'Sch 4'!C416</f>
        <v>52280.55</v>
      </c>
      <c r="D49" s="66"/>
      <c r="E49" s="203">
        <v>558</v>
      </c>
      <c r="F49" s="204"/>
      <c r="G49" s="89">
        <f t="shared" si="2"/>
        <v>322</v>
      </c>
      <c r="H49" s="66"/>
      <c r="I49" s="89">
        <f t="shared" si="4"/>
        <v>52602.55</v>
      </c>
      <c r="K49" s="223">
        <f t="shared" si="3"/>
        <v>52280.55</v>
      </c>
      <c r="N49" s="66" t="s">
        <v>809</v>
      </c>
    </row>
    <row r="50" spans="2:16">
      <c r="B50" s="199" t="s">
        <v>425</v>
      </c>
      <c r="C50" s="89">
        <f>'Sch 4'!C428+'Sch 4'!C429</f>
        <v>1049575.26</v>
      </c>
      <c r="D50" s="66"/>
      <c r="E50" s="203">
        <v>415676</v>
      </c>
      <c r="F50" s="204"/>
      <c r="G50" s="89">
        <f t="shared" si="2"/>
        <v>239960</v>
      </c>
      <c r="H50" s="66"/>
      <c r="I50" s="89">
        <f t="shared" si="4"/>
        <v>1289535.26</v>
      </c>
      <c r="K50" s="223">
        <f t="shared" si="3"/>
        <v>1049575.26</v>
      </c>
      <c r="N50" s="66" t="s">
        <v>362</v>
      </c>
    </row>
    <row r="51" spans="2:16">
      <c r="B51" s="199" t="s">
        <v>426</v>
      </c>
      <c r="C51" s="215">
        <f>'Sch 4'!C419+'Sch 4'!C420+'Sch 4'!C421+'Sch 4'!C422+'Sch 4'!C423+'Sch 4'!C424+'Sch 4'!C425+'Sch 4'!C426+'Sch 4'!C427+'Sch 4'!C430+'Sch 4'!C431+'Sch 4'!C432+'Sch 4'!C435+'Sch 4'!C436</f>
        <v>21758631.448000003</v>
      </c>
      <c r="D51" s="66"/>
      <c r="E51" s="315">
        <v>10148492</v>
      </c>
      <c r="F51" s="204"/>
      <c r="G51" s="215">
        <f>C51*-1</f>
        <v>-21758631.448000003</v>
      </c>
      <c r="H51" s="66"/>
      <c r="I51" s="215">
        <f t="shared" si="4"/>
        <v>0</v>
      </c>
      <c r="K51" s="56"/>
      <c r="M51" s="56"/>
      <c r="N51" s="66" t="s">
        <v>876</v>
      </c>
    </row>
    <row r="52" spans="2:16">
      <c r="B52" s="199"/>
      <c r="C52" s="89"/>
      <c r="D52" s="66"/>
      <c r="E52" s="89"/>
      <c r="F52" s="66"/>
      <c r="G52" s="89"/>
      <c r="H52" s="66"/>
      <c r="I52" s="89"/>
    </row>
    <row r="53" spans="2:16">
      <c r="B53" s="219" t="s">
        <v>427</v>
      </c>
      <c r="C53" s="89">
        <f>C31+C34+C41+SUM(C44:C51)</f>
        <v>233551826.73300004</v>
      </c>
      <c r="D53" s="66"/>
      <c r="E53" s="89">
        <f>E31+E34+E41+SUM(E44:E51)</f>
        <v>47840359</v>
      </c>
      <c r="F53" s="66"/>
      <c r="G53" s="89">
        <f>G31+G34+G41+SUM(G44:G51)</f>
        <v>-0.44800000265240669</v>
      </c>
      <c r="H53" s="66"/>
      <c r="I53" s="89">
        <f>I31+I34+I41+SUM(I44:I51)</f>
        <v>233551826.28500003</v>
      </c>
      <c r="K53" s="89">
        <f>K31+K34+K41+SUM(K44:K51)</f>
        <v>115351202.29659998</v>
      </c>
      <c r="M53" s="89">
        <f>M31+M34+M41+SUM(M44:M51)</f>
        <v>107597795.00840001</v>
      </c>
    </row>
    <row r="54" spans="2:16">
      <c r="C54" s="89"/>
      <c r="D54" s="66"/>
      <c r="E54" s="89"/>
      <c r="F54" s="66"/>
      <c r="G54" s="89"/>
      <c r="H54" s="66"/>
      <c r="I54" s="89"/>
    </row>
    <row r="55" spans="2:16" s="3" customFormat="1">
      <c r="B55" s="3" t="s">
        <v>875</v>
      </c>
      <c r="D55" s="13"/>
      <c r="F55" s="13"/>
      <c r="H55" s="13"/>
      <c r="K55" s="237">
        <f>K53/(K53+M53)</f>
        <v>0.51738829818012844</v>
      </c>
      <c r="L55" s="237"/>
      <c r="M55" s="237">
        <f>M53/(K53+M53)</f>
        <v>0.48261170181987156</v>
      </c>
      <c r="N55" s="237">
        <f>K55+M55</f>
        <v>1</v>
      </c>
      <c r="O55" s="13"/>
      <c r="P55" s="13"/>
    </row>
    <row r="56" spans="2:16">
      <c r="C56" s="431" t="s">
        <v>210</v>
      </c>
      <c r="D56" s="431"/>
      <c r="E56" s="431"/>
      <c r="F56" s="431"/>
      <c r="G56" s="431"/>
    </row>
    <row r="57" spans="2:16">
      <c r="C57" s="22" t="s">
        <v>428</v>
      </c>
      <c r="E57" s="89">
        <v>2186442</v>
      </c>
      <c r="G57" s="89">
        <f>ROUND(E57/($E$53-$E$51)*$C$51,0)</f>
        <v>1262182</v>
      </c>
    </row>
    <row r="58" spans="2:16" ht="15">
      <c r="C58" s="22" t="s">
        <v>429</v>
      </c>
      <c r="E58" s="415">
        <v>965276</v>
      </c>
      <c r="G58" s="222">
        <f>ROUND(E58/($E$53-$E$51)*$C$51,0)</f>
        <v>557231</v>
      </c>
    </row>
    <row r="59" spans="2:16">
      <c r="E59" s="89">
        <f>SUM(E57:E58)</f>
        <v>3151718</v>
      </c>
      <c r="G59" s="221">
        <f>SUM(G57:G58)</f>
        <v>1819413</v>
      </c>
    </row>
  </sheetData>
  <mergeCells count="6">
    <mergeCell ref="C56:G56"/>
    <mergeCell ref="M43:N43"/>
    <mergeCell ref="A1:I1"/>
    <mergeCell ref="A2:I2"/>
    <mergeCell ref="A3:I3"/>
    <mergeCell ref="M8:N8"/>
  </mergeCells>
  <pageMargins left="0.7" right="0.45" top="0.75" bottom="0.75" header="0.3" footer="0.3"/>
  <pageSetup scale="59" orientation="portrait" r:id="rId1"/>
  <headerFooter>
    <oddHeader xml:space="preserve">&amp;CKENTUCKY POWER COMPANY
JURISDICTIONAL COST OF SERVICE
12 MONTHS ENDED FEBRUARY 28, 2017&amp;RSECTION V
SCHEDULE 6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5" zoomScale="130" zoomScaleNormal="130" workbookViewId="0">
      <selection activeCell="G38" sqref="G38"/>
    </sheetView>
  </sheetViews>
  <sheetFormatPr defaultColWidth="9.140625" defaultRowHeight="12.75"/>
  <cols>
    <col min="1" max="1" width="28.28515625" style="88" bestFit="1" customWidth="1"/>
    <col min="2" max="2" width="15" style="88" bestFit="1" customWidth="1"/>
    <col min="3" max="3" width="1.7109375" style="88" customWidth="1"/>
    <col min="4" max="4" width="12.85546875" style="88" bestFit="1" customWidth="1"/>
    <col min="5" max="5" width="1.7109375" style="88" customWidth="1"/>
    <col min="6" max="6" width="13.42578125" style="88" bestFit="1" customWidth="1"/>
    <col min="7" max="16384" width="9.140625" style="88"/>
  </cols>
  <sheetData>
    <row r="1" spans="1:6" ht="25.5" customHeight="1">
      <c r="A1" s="433" t="s">
        <v>334</v>
      </c>
      <c r="B1" s="433"/>
      <c r="C1" s="433"/>
      <c r="D1" s="433"/>
      <c r="E1" s="433"/>
      <c r="F1" s="433"/>
    </row>
    <row r="2" spans="1:6">
      <c r="A2" s="433" t="s">
        <v>961</v>
      </c>
      <c r="B2" s="433"/>
      <c r="C2" s="433"/>
      <c r="D2" s="433"/>
      <c r="E2" s="433"/>
      <c r="F2" s="433"/>
    </row>
    <row r="3" spans="1:6">
      <c r="A3" s="434" t="s">
        <v>993</v>
      </c>
      <c r="B3" s="434"/>
      <c r="C3" s="434"/>
      <c r="D3" s="434"/>
      <c r="E3" s="434"/>
      <c r="F3" s="434"/>
    </row>
    <row r="6" spans="1:6">
      <c r="A6" s="316" t="s">
        <v>442</v>
      </c>
      <c r="B6" s="317" t="s">
        <v>154</v>
      </c>
      <c r="D6" s="316" t="s">
        <v>443</v>
      </c>
      <c r="F6" s="316" t="s">
        <v>444</v>
      </c>
    </row>
    <row r="8" spans="1:6">
      <c r="A8" s="199" t="s">
        <v>432</v>
      </c>
      <c r="B8" s="416">
        <v>69825822.620000005</v>
      </c>
      <c r="D8" s="416">
        <v>58395172.629999995</v>
      </c>
      <c r="F8" s="109">
        <f>B8+D8</f>
        <v>128220995.25</v>
      </c>
    </row>
    <row r="9" spans="1:6">
      <c r="A9" s="199"/>
      <c r="B9" s="203"/>
      <c r="D9" s="199"/>
    </row>
    <row r="10" spans="1:6">
      <c r="A10" s="199" t="s">
        <v>433</v>
      </c>
      <c r="B10" s="315">
        <v>0</v>
      </c>
      <c r="D10" s="315">
        <v>0</v>
      </c>
      <c r="F10" s="318">
        <v>0</v>
      </c>
    </row>
    <row r="11" spans="1:6">
      <c r="A11" s="199"/>
    </row>
    <row r="12" spans="1:6">
      <c r="A12" s="199" t="s">
        <v>434</v>
      </c>
      <c r="B12" s="109">
        <f>B8+B10</f>
        <v>69825822.620000005</v>
      </c>
      <c r="D12" s="109">
        <f>D8+D10</f>
        <v>58395172.629999995</v>
      </c>
      <c r="F12" s="109">
        <f>F8+F10</f>
        <v>128220995.25</v>
      </c>
    </row>
    <row r="13" spans="1:6">
      <c r="A13" s="199"/>
    </row>
    <row r="14" spans="1:6">
      <c r="A14" s="199" t="s">
        <v>435</v>
      </c>
    </row>
    <row r="15" spans="1:6">
      <c r="A15" s="199"/>
    </row>
    <row r="16" spans="1:6">
      <c r="A16" s="203" t="s">
        <v>436</v>
      </c>
      <c r="B16" s="319">
        <v>27889747.25</v>
      </c>
      <c r="C16" s="319"/>
      <c r="D16" s="319">
        <v>5766202.4199999999</v>
      </c>
      <c r="F16" s="38">
        <f>B16+D16</f>
        <v>33655949.670000002</v>
      </c>
    </row>
    <row r="17" spans="1:6">
      <c r="A17" s="203"/>
      <c r="B17" s="319"/>
      <c r="C17" s="319"/>
      <c r="D17" s="319"/>
    </row>
    <row r="18" spans="1:6">
      <c r="A18" s="203" t="s">
        <v>789</v>
      </c>
      <c r="B18" s="319">
        <v>-2549631.21</v>
      </c>
      <c r="C18" s="319"/>
      <c r="D18" s="319">
        <v>-2623914.79</v>
      </c>
      <c r="F18" s="38">
        <f>B18+D18</f>
        <v>-5173546</v>
      </c>
    </row>
    <row r="19" spans="1:6">
      <c r="A19" s="203"/>
      <c r="B19" s="319"/>
      <c r="C19" s="319"/>
      <c r="D19" s="319"/>
    </row>
    <row r="20" spans="1:6" ht="25.5">
      <c r="A20" s="320" t="s">
        <v>437</v>
      </c>
      <c r="B20" s="319">
        <v>0</v>
      </c>
      <c r="C20" s="319"/>
      <c r="D20" s="319">
        <v>0</v>
      </c>
      <c r="F20" s="38">
        <f>B20+D20</f>
        <v>0</v>
      </c>
    </row>
    <row r="21" spans="1:6">
      <c r="A21" s="203"/>
      <c r="B21" s="319"/>
      <c r="C21" s="319"/>
      <c r="D21" s="319"/>
    </row>
    <row r="22" spans="1:6">
      <c r="A22" s="321" t="s">
        <v>438</v>
      </c>
      <c r="B22" s="319">
        <v>0</v>
      </c>
      <c r="C22" s="319"/>
      <c r="D22" s="319">
        <v>0</v>
      </c>
      <c r="F22" s="38">
        <f>B22+D22</f>
        <v>0</v>
      </c>
    </row>
    <row r="23" spans="1:6">
      <c r="A23" s="199"/>
      <c r="B23" s="319"/>
      <c r="C23" s="247"/>
      <c r="D23" s="247"/>
    </row>
    <row r="24" spans="1:6">
      <c r="A24" s="203" t="s">
        <v>369</v>
      </c>
      <c r="B24" s="417">
        <v>1421321.48</v>
      </c>
      <c r="C24" s="319"/>
      <c r="D24" s="417">
        <v>0</v>
      </c>
      <c r="F24" s="206">
        <f>B24+D24</f>
        <v>1421321.48</v>
      </c>
    </row>
    <row r="25" spans="1:6">
      <c r="A25" s="199"/>
    </row>
    <row r="26" spans="1:6">
      <c r="A26" s="199" t="s">
        <v>439</v>
      </c>
      <c r="B26" s="38">
        <f>B16+B18+B20+B22+B24</f>
        <v>26761437.52</v>
      </c>
      <c r="D26" s="38">
        <f>D16+D18+D20+D22+D24</f>
        <v>3142287.63</v>
      </c>
      <c r="F26" s="38">
        <f>F16+F18+F20+F22+F24</f>
        <v>29903725.150000002</v>
      </c>
    </row>
    <row r="27" spans="1:6">
      <c r="A27" s="199"/>
    </row>
    <row r="28" spans="1:6">
      <c r="A28" s="199" t="s">
        <v>440</v>
      </c>
      <c r="B28" s="56">
        <v>0</v>
      </c>
      <c r="D28" s="56">
        <v>0</v>
      </c>
      <c r="F28" s="56">
        <v>0</v>
      </c>
    </row>
    <row r="29" spans="1:6">
      <c r="A29" s="199"/>
    </row>
    <row r="30" spans="1:6">
      <c r="A30" s="199" t="s">
        <v>441</v>
      </c>
      <c r="B30" s="109">
        <f>B12-B26-B28</f>
        <v>43064385.100000009</v>
      </c>
      <c r="D30" s="109">
        <f>D12-D26-D28</f>
        <v>55252884.999999993</v>
      </c>
      <c r="F30" s="109">
        <f>F12-F26-F28</f>
        <v>98317270.099999994</v>
      </c>
    </row>
    <row r="31" spans="1:6">
      <c r="A31" s="199"/>
      <c r="B31" s="379" t="s">
        <v>344</v>
      </c>
      <c r="C31" s="379"/>
      <c r="D31" s="379" t="s">
        <v>341</v>
      </c>
    </row>
    <row r="32" spans="1:6">
      <c r="A32" s="322" t="s">
        <v>784</v>
      </c>
      <c r="B32" s="89">
        <f>ROUND(B30*'Allocation Factors'!$G$14,0)</f>
        <v>42461484</v>
      </c>
      <c r="C32" s="89"/>
      <c r="D32" s="89">
        <f>ROUND(D30*'Allocation Factors'!$G$10,0)</f>
        <v>54424092</v>
      </c>
      <c r="F32" s="221">
        <f>B32+D32</f>
        <v>96885576</v>
      </c>
    </row>
    <row r="33" spans="1:7">
      <c r="A33" s="199"/>
    </row>
    <row r="36" spans="1:7">
      <c r="A36" s="88" t="s">
        <v>531</v>
      </c>
      <c r="B36" s="89">
        <f>ROUND(B26*'Allocation Factors'!$G$14,0)</f>
        <v>26386777</v>
      </c>
      <c r="C36" s="89"/>
      <c r="D36" s="89">
        <f>ROUND(D26*'Allocation Factors'!$G$10,0)</f>
        <v>3095153</v>
      </c>
      <c r="G36" s="219"/>
    </row>
    <row r="37" spans="1:7">
      <c r="B37" s="379" t="s">
        <v>344</v>
      </c>
      <c r="C37" s="379"/>
      <c r="D37" s="379" t="s">
        <v>341</v>
      </c>
      <c r="G37" s="219"/>
    </row>
    <row r="38" spans="1:7">
      <c r="G38" s="94"/>
    </row>
    <row r="39" spans="1:7">
      <c r="G39" s="323"/>
    </row>
  </sheetData>
  <mergeCells count="3">
    <mergeCell ref="A1:F1"/>
    <mergeCell ref="A2:F2"/>
    <mergeCell ref="A3:F3"/>
  </mergeCells>
  <printOptions horizontalCentered="1"/>
  <pageMargins left="0.7" right="0.7" top="1" bottom="0.75" header="0.55000000000000004" footer="0.3"/>
  <pageSetup orientation="portrait" r:id="rId1"/>
  <headerFooter>
    <oddHeader xml:space="preserve">&amp;CKENTUCKY POWER COMPANY
JURISDICTIONAL COST OF SERVICE
12 MONTHS ENDED FEBRUARY 28, 2017&amp;RSECTION V
SCHEDULE 7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59"/>
  <sheetViews>
    <sheetView zoomScale="80" zoomScaleNormal="80" workbookViewId="0">
      <selection activeCell="Q19" sqref="Q19"/>
    </sheetView>
  </sheetViews>
  <sheetFormatPr defaultColWidth="9.140625" defaultRowHeight="12.75"/>
  <cols>
    <col min="1" max="1" width="5" style="88" bestFit="1" customWidth="1"/>
    <col min="2" max="2" width="10.7109375" style="88" bestFit="1" customWidth="1"/>
    <col min="3" max="3" width="9.7109375" style="88" customWidth="1"/>
    <col min="4" max="4" width="2.28515625" style="88" customWidth="1"/>
    <col min="5" max="5" width="11.5703125" style="88" bestFit="1" customWidth="1"/>
    <col min="6" max="6" width="2.28515625" style="88" customWidth="1"/>
    <col min="7" max="7" width="11.5703125" style="88" bestFit="1" customWidth="1"/>
    <col min="8" max="8" width="2.28515625" style="88" customWidth="1"/>
    <col min="9" max="9" width="10.5703125" style="88" bestFit="1" customWidth="1"/>
    <col min="10" max="10" width="2.28515625" style="88" customWidth="1"/>
    <col min="11" max="11" width="11.5703125" style="88" bestFit="1" customWidth="1"/>
    <col min="12" max="12" width="2.28515625" style="88" customWidth="1"/>
    <col min="13" max="13" width="12.85546875" style="88" customWidth="1"/>
    <col min="14" max="14" width="2.28515625" style="88" customWidth="1"/>
    <col min="15" max="15" width="13.5703125" style="88" customWidth="1"/>
    <col min="16" max="16" width="2.28515625" style="88" customWidth="1"/>
    <col min="17" max="17" width="11.5703125" style="88" customWidth="1"/>
    <col min="18" max="18" width="2.28515625" style="88" customWidth="1"/>
    <col min="19" max="19" width="11.42578125" style="88" customWidth="1"/>
    <col min="20" max="20" width="2.28515625" style="88" customWidth="1"/>
    <col min="21" max="21" width="11.140625" style="88" customWidth="1"/>
    <col min="22" max="22" width="2.28515625" style="88" customWidth="1"/>
    <col min="23" max="23" width="12.5703125" style="88" customWidth="1"/>
    <col min="24" max="24" width="2.28515625" style="88" customWidth="1"/>
    <col min="25" max="25" width="11.5703125" style="88" bestFit="1" customWidth="1"/>
    <col min="26" max="26" width="2.28515625" style="88" customWidth="1"/>
    <col min="27" max="27" width="11.5703125" style="88" bestFit="1" customWidth="1"/>
    <col min="28" max="28" width="2.28515625" style="88" customWidth="1"/>
    <col min="29" max="29" width="12.140625" style="88" bestFit="1" customWidth="1"/>
    <col min="30" max="30" width="2.28515625" style="88" customWidth="1"/>
    <col min="31" max="31" width="11.28515625" style="88" customWidth="1"/>
    <col min="32" max="32" width="2.28515625" style="88" customWidth="1"/>
    <col min="33" max="33" width="11.28515625" style="88" customWidth="1"/>
    <col min="34" max="16384" width="9.140625" style="88"/>
  </cols>
  <sheetData>
    <row r="5" spans="1:33">
      <c r="N5" s="256"/>
      <c r="AG5" s="100"/>
    </row>
    <row r="6" spans="1:33">
      <c r="A6" s="435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</row>
    <row r="7" spans="1:33">
      <c r="A7" s="430" t="s">
        <v>447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</row>
    <row r="8" spans="1:33">
      <c r="A8" s="430" t="s">
        <v>448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</row>
    <row r="9" spans="1:33">
      <c r="A9" s="435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</row>
    <row r="10" spans="1:33">
      <c r="N10" s="225"/>
    </row>
    <row r="12" spans="1:33">
      <c r="F12" s="225" t="s">
        <v>316</v>
      </c>
      <c r="J12" s="225" t="s">
        <v>21</v>
      </c>
      <c r="N12" s="225" t="s">
        <v>22</v>
      </c>
      <c r="R12" s="225" t="s">
        <v>121</v>
      </c>
      <c r="U12" s="436" t="s">
        <v>52</v>
      </c>
      <c r="V12" s="436"/>
      <c r="W12" s="436"/>
      <c r="Z12" s="225" t="s">
        <v>444</v>
      </c>
    </row>
    <row r="13" spans="1:33" ht="51">
      <c r="A13" s="103" t="s">
        <v>449</v>
      </c>
      <c r="B13" s="225" t="s">
        <v>450</v>
      </c>
      <c r="E13" s="103" t="s">
        <v>451</v>
      </c>
      <c r="F13" s="104"/>
      <c r="G13" s="103" t="s">
        <v>452</v>
      </c>
      <c r="H13" s="104"/>
      <c r="I13" s="103" t="s">
        <v>451</v>
      </c>
      <c r="J13" s="104"/>
      <c r="K13" s="103" t="s">
        <v>452</v>
      </c>
      <c r="L13" s="104"/>
      <c r="M13" s="103" t="s">
        <v>451</v>
      </c>
      <c r="N13" s="104"/>
      <c r="O13" s="103" t="s">
        <v>452</v>
      </c>
      <c r="P13" s="104"/>
      <c r="Q13" s="103" t="s">
        <v>451</v>
      </c>
      <c r="R13" s="104"/>
      <c r="S13" s="103" t="s">
        <v>452</v>
      </c>
      <c r="U13" s="103" t="s">
        <v>451</v>
      </c>
      <c r="V13" s="104"/>
      <c r="W13" s="103" t="s">
        <v>452</v>
      </c>
      <c r="Y13" s="103" t="s">
        <v>451</v>
      </c>
      <c r="Z13" s="104"/>
      <c r="AA13" s="103" t="s">
        <v>452</v>
      </c>
      <c r="AC13" s="103" t="s">
        <v>453</v>
      </c>
      <c r="AE13" s="103" t="s">
        <v>871</v>
      </c>
      <c r="AG13" s="103" t="s">
        <v>872</v>
      </c>
    </row>
    <row r="14" spans="1:33">
      <c r="A14" s="107">
        <v>-1</v>
      </c>
      <c r="B14" s="107">
        <v>-2</v>
      </c>
      <c r="E14" s="107">
        <v>-3</v>
      </c>
      <c r="G14" s="107">
        <v>-4</v>
      </c>
      <c r="I14" s="107">
        <v>-5</v>
      </c>
      <c r="K14" s="107">
        <v>-6</v>
      </c>
      <c r="M14" s="107">
        <v>-7</v>
      </c>
      <c r="O14" s="107">
        <v>-8</v>
      </c>
      <c r="Q14" s="107">
        <v>-9</v>
      </c>
      <c r="S14" s="107">
        <v>-10</v>
      </c>
      <c r="U14" s="107">
        <v>-11</v>
      </c>
      <c r="W14" s="107">
        <v>-12</v>
      </c>
      <c r="Y14" s="107">
        <v>-13</v>
      </c>
      <c r="AA14" s="107">
        <v>-14</v>
      </c>
      <c r="AC14" s="107">
        <v>-15</v>
      </c>
      <c r="AE14" s="107">
        <v>-16</v>
      </c>
      <c r="AG14" s="107">
        <v>-17</v>
      </c>
    </row>
    <row r="15" spans="1:33">
      <c r="A15" s="107"/>
      <c r="B15" s="107"/>
      <c r="E15" s="107"/>
      <c r="G15" s="107"/>
      <c r="I15" s="107"/>
      <c r="K15" s="107"/>
      <c r="M15" s="107"/>
      <c r="O15" s="107"/>
      <c r="Q15" s="107"/>
      <c r="S15" s="107"/>
      <c r="Y15" s="107"/>
      <c r="AA15" s="107"/>
      <c r="AC15" s="107"/>
      <c r="AE15" s="107"/>
    </row>
    <row r="16" spans="1:33">
      <c r="A16" s="107"/>
      <c r="B16" s="107"/>
      <c r="E16" s="107"/>
      <c r="G16" s="107"/>
      <c r="I16" s="107"/>
      <c r="K16" s="107"/>
      <c r="M16" s="107"/>
      <c r="O16" s="107"/>
      <c r="Q16" s="107"/>
      <c r="S16" s="107"/>
      <c r="Y16" s="107"/>
      <c r="AA16" s="107"/>
      <c r="AC16" s="107"/>
      <c r="AE16" s="107"/>
    </row>
    <row r="17" spans="1:33">
      <c r="A17" s="362">
        <f>+A15+1</f>
        <v>1</v>
      </c>
      <c r="B17" s="361" t="s">
        <v>997</v>
      </c>
      <c r="C17" s="363">
        <v>2019</v>
      </c>
      <c r="E17" s="365">
        <v>33095.69</v>
      </c>
      <c r="F17" s="365"/>
      <c r="G17" s="365">
        <v>40489.14</v>
      </c>
      <c r="H17" s="365"/>
      <c r="I17" s="365">
        <v>54112.41</v>
      </c>
      <c r="J17" s="365"/>
      <c r="K17" s="365">
        <v>69076.13</v>
      </c>
      <c r="L17" s="365"/>
      <c r="M17" s="365">
        <v>37753.919999999998</v>
      </c>
      <c r="N17" s="365"/>
      <c r="O17" s="365">
        <v>48160.99</v>
      </c>
      <c r="P17" s="365"/>
      <c r="Q17" s="365">
        <v>3525.29</v>
      </c>
      <c r="R17" s="365"/>
      <c r="S17" s="365">
        <v>4502.8599999999997</v>
      </c>
      <c r="T17" s="109"/>
      <c r="U17" s="367">
        <v>14108.42</v>
      </c>
      <c r="V17" s="367"/>
      <c r="W17" s="367">
        <v>18020.88</v>
      </c>
      <c r="X17" s="109"/>
      <c r="Y17" s="109">
        <f>E17+I17+M17+Q17+U17</f>
        <v>142595.73000000001</v>
      </c>
      <c r="Z17" s="109"/>
      <c r="AA17" s="109">
        <f>G17+K17+O17+S17+W17</f>
        <v>180250</v>
      </c>
      <c r="AB17" s="109"/>
      <c r="AC17" s="109">
        <f>Y17+AA17</f>
        <v>322845.73</v>
      </c>
      <c r="AE17" s="263">
        <v>2.07837E-3</v>
      </c>
      <c r="AG17" s="263">
        <v>2.6547300000000001E-3</v>
      </c>
    </row>
    <row r="18" spans="1:33">
      <c r="A18" s="362"/>
      <c r="B18" s="361" t="s">
        <v>455</v>
      </c>
      <c r="C18" s="361" t="s">
        <v>455</v>
      </c>
      <c r="E18" s="366"/>
      <c r="F18" s="365"/>
      <c r="G18" s="366"/>
      <c r="H18" s="365"/>
      <c r="I18" s="366"/>
      <c r="J18" s="365"/>
      <c r="K18" s="366"/>
      <c r="L18" s="365"/>
      <c r="M18" s="366"/>
      <c r="N18" s="365"/>
      <c r="O18" s="366"/>
      <c r="P18" s="365"/>
      <c r="Q18" s="366"/>
      <c r="R18" s="365"/>
      <c r="S18" s="366"/>
      <c r="U18" s="22"/>
      <c r="V18" s="22"/>
      <c r="W18" s="22"/>
      <c r="Y18" s="107"/>
      <c r="Z18" s="109"/>
      <c r="AA18" s="109"/>
      <c r="AB18" s="109"/>
      <c r="AC18" s="109"/>
      <c r="AE18" s="107"/>
    </row>
    <row r="19" spans="1:33">
      <c r="A19" s="362">
        <f>+A17+1</f>
        <v>2</v>
      </c>
      <c r="B19" s="361" t="s">
        <v>456</v>
      </c>
      <c r="C19" s="363">
        <v>2019</v>
      </c>
      <c r="E19" s="365">
        <v>44940.51</v>
      </c>
      <c r="F19" s="365"/>
      <c r="G19" s="365">
        <v>55976.13</v>
      </c>
      <c r="H19" s="365"/>
      <c r="I19" s="365">
        <v>62610.93</v>
      </c>
      <c r="J19" s="365"/>
      <c r="K19" s="365">
        <v>77911.16</v>
      </c>
      <c r="L19" s="365"/>
      <c r="M19" s="365">
        <v>29718.67</v>
      </c>
      <c r="N19" s="365"/>
      <c r="O19" s="365">
        <v>34057.22</v>
      </c>
      <c r="P19" s="365"/>
      <c r="Q19" s="365">
        <v>3139.02</v>
      </c>
      <c r="R19" s="365"/>
      <c r="S19" s="365">
        <v>3779.68</v>
      </c>
      <c r="T19" s="109"/>
      <c r="U19" s="367">
        <v>14769.279999999999</v>
      </c>
      <c r="V19" s="367"/>
      <c r="W19" s="367">
        <v>18396</v>
      </c>
      <c r="X19" s="109"/>
      <c r="Y19" s="109">
        <f>E19+I19+M19+Q19+U19</f>
        <v>155178.40999999997</v>
      </c>
      <c r="Z19" s="109"/>
      <c r="AA19" s="109">
        <f>G19+K19+O19+S19+W19</f>
        <v>190120.19</v>
      </c>
      <c r="AB19" s="109"/>
      <c r="AC19" s="109">
        <f>Y19+AA19</f>
        <v>345298.6</v>
      </c>
      <c r="AE19" s="263">
        <v>2.0831199999999999E-3</v>
      </c>
      <c r="AG19" s="263">
        <v>2.59465E-3</v>
      </c>
    </row>
    <row r="20" spans="1:33">
      <c r="A20" s="362"/>
      <c r="B20" s="361" t="s">
        <v>455</v>
      </c>
      <c r="C20" s="361" t="s">
        <v>455</v>
      </c>
      <c r="E20" s="366"/>
      <c r="F20" s="365"/>
      <c r="G20" s="366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365"/>
      <c r="S20" s="366"/>
      <c r="U20" s="367"/>
      <c r="V20" s="367"/>
      <c r="W20" s="367"/>
      <c r="Y20" s="107"/>
      <c r="Z20" s="109"/>
      <c r="AA20" s="109"/>
      <c r="AB20" s="109"/>
      <c r="AC20" s="109"/>
      <c r="AE20" s="107"/>
    </row>
    <row r="21" spans="1:33">
      <c r="A21" s="362">
        <f>+A19+1</f>
        <v>3</v>
      </c>
      <c r="B21" s="361" t="s">
        <v>457</v>
      </c>
      <c r="C21" s="363">
        <v>2019</v>
      </c>
      <c r="E21" s="365">
        <v>33001.360000000001</v>
      </c>
      <c r="F21" s="365"/>
      <c r="G21" s="365">
        <v>37290.42</v>
      </c>
      <c r="H21" s="365"/>
      <c r="I21" s="365">
        <v>73390.02</v>
      </c>
      <c r="J21" s="365"/>
      <c r="K21" s="365">
        <v>88354.67</v>
      </c>
      <c r="L21" s="365"/>
      <c r="M21" s="365">
        <v>38349.74</v>
      </c>
      <c r="N21" s="365"/>
      <c r="O21" s="365">
        <v>46161.16</v>
      </c>
      <c r="P21" s="365"/>
      <c r="Q21" s="365">
        <v>3758.41</v>
      </c>
      <c r="R21" s="365"/>
      <c r="S21" s="365">
        <v>4501.7299999999996</v>
      </c>
      <c r="T21" s="109"/>
      <c r="U21" s="367">
        <v>15395.82</v>
      </c>
      <c r="V21" s="367"/>
      <c r="W21" s="367">
        <v>18535.099999999999</v>
      </c>
      <c r="X21" s="109"/>
      <c r="Y21" s="109">
        <f>E21+I21+M21+Q21+U21</f>
        <v>163895.35</v>
      </c>
      <c r="Z21" s="109"/>
      <c r="AA21" s="109">
        <f>G21+K21+O21+S21+W21</f>
        <v>194843.08000000002</v>
      </c>
      <c r="AB21" s="109"/>
      <c r="AC21" s="109">
        <f>Y21+AA21</f>
        <v>358738.43000000005</v>
      </c>
      <c r="AE21" s="263">
        <v>2.0879800000000001E-3</v>
      </c>
      <c r="AG21" s="263">
        <v>2.51373E-3</v>
      </c>
    </row>
    <row r="22" spans="1:33">
      <c r="A22" s="362"/>
      <c r="B22" s="361" t="s">
        <v>455</v>
      </c>
      <c r="C22" s="361" t="s">
        <v>455</v>
      </c>
      <c r="E22" s="366"/>
      <c r="F22" s="365"/>
      <c r="G22" s="366"/>
      <c r="H22" s="365"/>
      <c r="I22" s="366"/>
      <c r="J22" s="365"/>
      <c r="K22" s="366"/>
      <c r="L22" s="365"/>
      <c r="M22" s="366"/>
      <c r="N22" s="365"/>
      <c r="O22" s="366"/>
      <c r="P22" s="365"/>
      <c r="Q22" s="366"/>
      <c r="R22" s="365"/>
      <c r="S22" s="366"/>
      <c r="U22" s="367"/>
      <c r="V22" s="367"/>
      <c r="W22" s="367"/>
      <c r="Y22" s="107"/>
      <c r="Z22" s="109"/>
      <c r="AA22" s="109"/>
      <c r="AB22" s="109"/>
      <c r="AC22" s="109"/>
      <c r="AE22" s="107"/>
    </row>
    <row r="23" spans="1:33">
      <c r="A23" s="362">
        <f>+A21+1</f>
        <v>4</v>
      </c>
      <c r="B23" s="361" t="s">
        <v>458</v>
      </c>
      <c r="C23" s="363">
        <v>2019</v>
      </c>
      <c r="E23" s="365">
        <v>32091.99</v>
      </c>
      <c r="F23" s="365"/>
      <c r="G23" s="365">
        <v>25711.24</v>
      </c>
      <c r="H23" s="365"/>
      <c r="I23" s="365">
        <v>78936.33</v>
      </c>
      <c r="J23" s="365"/>
      <c r="K23" s="365">
        <v>71353.7</v>
      </c>
      <c r="L23" s="365"/>
      <c r="M23" s="365">
        <v>27574.03</v>
      </c>
      <c r="N23" s="365"/>
      <c r="O23" s="365">
        <v>22386.43</v>
      </c>
      <c r="P23" s="365"/>
      <c r="Q23" s="365">
        <v>3549.15</v>
      </c>
      <c r="R23" s="365"/>
      <c r="S23" s="365">
        <v>2968.67</v>
      </c>
      <c r="T23" s="109"/>
      <c r="U23" s="367">
        <v>16365.12</v>
      </c>
      <c r="V23" s="367"/>
      <c r="W23" s="367">
        <v>14809.73</v>
      </c>
      <c r="X23" s="109"/>
      <c r="Y23" s="109">
        <f>E23+I23+M23+Q23+U23</f>
        <v>158516.62</v>
      </c>
      <c r="Z23" s="109"/>
      <c r="AA23" s="109">
        <f>G23+K23+O23+S23+W23</f>
        <v>137229.76999999999</v>
      </c>
      <c r="AB23" s="109"/>
      <c r="AC23" s="109">
        <f>Y23+AA23</f>
        <v>295746.39</v>
      </c>
      <c r="AE23" s="263">
        <v>2.1170400000000002E-3</v>
      </c>
      <c r="AG23" s="263">
        <v>1.9158300000000001E-3</v>
      </c>
    </row>
    <row r="24" spans="1:33">
      <c r="A24" s="362"/>
      <c r="B24" s="361" t="s">
        <v>455</v>
      </c>
      <c r="C24" s="361" t="s">
        <v>455</v>
      </c>
      <c r="E24" s="366"/>
      <c r="F24" s="365"/>
      <c r="G24" s="366"/>
      <c r="H24" s="365"/>
      <c r="I24" s="366"/>
      <c r="J24" s="365"/>
      <c r="K24" s="366"/>
      <c r="L24" s="365"/>
      <c r="M24" s="366"/>
      <c r="N24" s="365"/>
      <c r="O24" s="366"/>
      <c r="P24" s="365"/>
      <c r="Q24" s="366"/>
      <c r="R24" s="365"/>
      <c r="S24" s="366"/>
      <c r="U24" s="367"/>
      <c r="V24" s="367"/>
      <c r="W24" s="367"/>
      <c r="Y24" s="107"/>
      <c r="Z24" s="109"/>
      <c r="AA24" s="109"/>
      <c r="AB24" s="109"/>
      <c r="AC24" s="109"/>
      <c r="AE24" s="107"/>
    </row>
    <row r="25" spans="1:33">
      <c r="A25" s="362">
        <f>+A23+1</f>
        <v>5</v>
      </c>
      <c r="B25" s="361" t="s">
        <v>459</v>
      </c>
      <c r="C25" s="363">
        <v>2019</v>
      </c>
      <c r="E25" s="365">
        <v>42401.37</v>
      </c>
      <c r="F25" s="365"/>
      <c r="G25" s="365">
        <v>27998.639999999999</v>
      </c>
      <c r="H25" s="365"/>
      <c r="I25" s="365">
        <v>78480.509999999995</v>
      </c>
      <c r="J25" s="365"/>
      <c r="K25" s="365">
        <v>51712.04</v>
      </c>
      <c r="L25" s="365"/>
      <c r="M25" s="365">
        <v>-58848.2</v>
      </c>
      <c r="N25" s="365"/>
      <c r="O25" s="365">
        <v>-89799.25</v>
      </c>
      <c r="P25" s="365"/>
      <c r="Q25" s="365">
        <v>4212.7700000000004</v>
      </c>
      <c r="R25" s="365"/>
      <c r="S25" s="365">
        <v>2781.79</v>
      </c>
      <c r="T25" s="109"/>
      <c r="U25" s="367">
        <v>17411.400000000001</v>
      </c>
      <c r="V25" s="367"/>
      <c r="W25" s="367">
        <v>11497.189999999999</v>
      </c>
      <c r="X25" s="109"/>
      <c r="Y25" s="109">
        <f>E25+I25+M25+Q25+U25</f>
        <v>83657.850000000006</v>
      </c>
      <c r="Z25" s="109"/>
      <c r="AA25" s="109">
        <f>G25+K25+O25+S25+W25</f>
        <v>4190.4099999999917</v>
      </c>
      <c r="AB25" s="109"/>
      <c r="AC25" s="109">
        <f>Y25+AA25</f>
        <v>87848.26</v>
      </c>
      <c r="AE25" s="263">
        <v>2.1128100000000001E-3</v>
      </c>
      <c r="AG25" s="263">
        <v>1.39514E-3</v>
      </c>
    </row>
    <row r="26" spans="1:33">
      <c r="A26" s="362"/>
      <c r="B26" s="361" t="s">
        <v>455</v>
      </c>
      <c r="C26" s="361" t="s">
        <v>455</v>
      </c>
      <c r="E26" s="366"/>
      <c r="F26" s="365"/>
      <c r="G26" s="366"/>
      <c r="H26" s="365"/>
      <c r="I26" s="366"/>
      <c r="J26" s="365"/>
      <c r="K26" s="366"/>
      <c r="L26" s="365"/>
      <c r="M26" s="366"/>
      <c r="N26" s="365"/>
      <c r="O26" s="366"/>
      <c r="P26" s="365"/>
      <c r="Q26" s="366"/>
      <c r="R26" s="365"/>
      <c r="S26" s="366"/>
      <c r="U26" s="367"/>
      <c r="V26" s="367"/>
      <c r="W26" s="367"/>
      <c r="Y26" s="107"/>
      <c r="Z26" s="109"/>
      <c r="AA26" s="109"/>
      <c r="AB26" s="109"/>
      <c r="AC26" s="109"/>
      <c r="AE26" s="107"/>
    </row>
    <row r="27" spans="1:33">
      <c r="A27" s="362">
        <f>+A25+1</f>
        <v>6</v>
      </c>
      <c r="B27" s="361" t="s">
        <v>460</v>
      </c>
      <c r="C27" s="363">
        <v>2019</v>
      </c>
      <c r="E27" s="365">
        <v>43857.26</v>
      </c>
      <c r="F27" s="365"/>
      <c r="G27" s="365">
        <v>29942.560000000001</v>
      </c>
      <c r="H27" s="365"/>
      <c r="I27" s="365">
        <v>81707.8</v>
      </c>
      <c r="J27" s="365"/>
      <c r="K27" s="365">
        <v>55669.53</v>
      </c>
      <c r="L27" s="365"/>
      <c r="M27" s="365">
        <v>26024.12</v>
      </c>
      <c r="N27" s="365"/>
      <c r="O27" s="365">
        <v>17628.68</v>
      </c>
      <c r="P27" s="365"/>
      <c r="Q27" s="365">
        <v>2447.5899999999997</v>
      </c>
      <c r="R27" s="365"/>
      <c r="S27" s="365">
        <v>594.28000000000009</v>
      </c>
      <c r="T27" s="109"/>
      <c r="U27" s="367">
        <v>17626.05</v>
      </c>
      <c r="V27" s="367"/>
      <c r="W27" s="367">
        <v>12034.48</v>
      </c>
      <c r="X27" s="109"/>
      <c r="Y27" s="109">
        <f>E27+I27+M27+Q27+U27</f>
        <v>171662.81999999998</v>
      </c>
      <c r="Z27" s="109"/>
      <c r="AA27" s="109">
        <f>G27+K27+O27+S27+W27</f>
        <v>115869.52999999998</v>
      </c>
      <c r="AB27" s="109"/>
      <c r="AC27" s="109">
        <f>Y27+AA27</f>
        <v>287532.34999999998</v>
      </c>
      <c r="AE27" s="263">
        <v>2.0397900000000001E-3</v>
      </c>
      <c r="AG27" s="263">
        <v>1.3927E-3</v>
      </c>
    </row>
    <row r="28" spans="1:33">
      <c r="A28" s="362"/>
      <c r="B28" s="361" t="s">
        <v>455</v>
      </c>
      <c r="C28" s="363"/>
      <c r="E28" s="366"/>
      <c r="F28" s="365"/>
      <c r="G28" s="366"/>
      <c r="H28" s="365"/>
      <c r="I28" s="366"/>
      <c r="J28" s="365"/>
      <c r="K28" s="366"/>
      <c r="L28" s="365"/>
      <c r="M28" s="366"/>
      <c r="N28" s="365"/>
      <c r="O28" s="366"/>
      <c r="P28" s="365"/>
      <c r="Q28" s="366"/>
      <c r="R28" s="365"/>
      <c r="S28" s="366"/>
      <c r="U28" s="367"/>
      <c r="V28" s="367"/>
      <c r="W28" s="367"/>
      <c r="Y28" s="107"/>
      <c r="Z28" s="109"/>
      <c r="AA28" s="109"/>
      <c r="AB28" s="109"/>
      <c r="AC28" s="109"/>
      <c r="AE28" s="107"/>
    </row>
    <row r="29" spans="1:33">
      <c r="A29" s="362">
        <f>+A27+1</f>
        <v>7</v>
      </c>
      <c r="B29" s="361" t="s">
        <v>461</v>
      </c>
      <c r="C29" s="363">
        <v>2019</v>
      </c>
      <c r="E29" s="365">
        <v>30066.21</v>
      </c>
      <c r="F29" s="365"/>
      <c r="G29" s="365">
        <v>19388.189999999999</v>
      </c>
      <c r="H29" s="365"/>
      <c r="I29" s="365">
        <v>75571.460000000006</v>
      </c>
      <c r="J29" s="365"/>
      <c r="K29" s="365">
        <v>52124.49</v>
      </c>
      <c r="L29" s="365"/>
      <c r="M29" s="365">
        <v>25779.98</v>
      </c>
      <c r="N29" s="365"/>
      <c r="O29" s="365">
        <v>17651.13</v>
      </c>
      <c r="P29" s="365"/>
      <c r="Q29" s="365">
        <v>4781.2000000000007</v>
      </c>
      <c r="R29" s="365"/>
      <c r="S29" s="365">
        <v>3297.7000000000003</v>
      </c>
      <c r="T29" s="109"/>
      <c r="U29" s="367">
        <v>17219.21</v>
      </c>
      <c r="V29" s="367"/>
      <c r="W29" s="367">
        <v>11876.45</v>
      </c>
      <c r="X29" s="109"/>
      <c r="Y29" s="109">
        <f>E29+I29+M29+Q29+U29</f>
        <v>153418.06000000003</v>
      </c>
      <c r="Z29" s="109"/>
      <c r="AA29" s="109">
        <f>G29+K29+O29+S29+W29</f>
        <v>104337.95999999999</v>
      </c>
      <c r="AB29" s="109"/>
      <c r="AC29" s="109">
        <f>Y29+AA29</f>
        <v>257756.02000000002</v>
      </c>
      <c r="AE29" s="263">
        <v>1.92859E-3</v>
      </c>
      <c r="AG29" s="263">
        <v>1.33019E-3</v>
      </c>
    </row>
    <row r="30" spans="1:33">
      <c r="A30" s="362"/>
      <c r="B30" s="361" t="s">
        <v>455</v>
      </c>
      <c r="C30" s="361" t="s">
        <v>455</v>
      </c>
      <c r="E30" s="366"/>
      <c r="F30" s="365"/>
      <c r="G30" s="366"/>
      <c r="H30" s="365"/>
      <c r="I30" s="366"/>
      <c r="J30" s="365"/>
      <c r="K30" s="366"/>
      <c r="L30" s="365"/>
      <c r="M30" s="366"/>
      <c r="N30" s="365"/>
      <c r="O30" s="366"/>
      <c r="P30" s="365"/>
      <c r="Q30" s="366"/>
      <c r="R30" s="365"/>
      <c r="S30" s="366"/>
      <c r="U30" s="367"/>
      <c r="V30" s="367"/>
      <c r="W30" s="367"/>
      <c r="Y30" s="107"/>
      <c r="Z30" s="109"/>
      <c r="AA30" s="109"/>
      <c r="AB30" s="109"/>
      <c r="AC30" s="109"/>
      <c r="AE30" s="107"/>
    </row>
    <row r="31" spans="1:33">
      <c r="A31" s="362">
        <f>+A29+1</f>
        <v>8</v>
      </c>
      <c r="B31" s="361" t="s">
        <v>462</v>
      </c>
      <c r="C31" s="363">
        <v>2019</v>
      </c>
      <c r="E31" s="365">
        <v>-12635.87</v>
      </c>
      <c r="F31" s="365"/>
      <c r="G31" s="365">
        <v>-14435.09</v>
      </c>
      <c r="H31" s="365"/>
      <c r="I31" s="365">
        <v>68870.289999999994</v>
      </c>
      <c r="J31" s="365"/>
      <c r="K31" s="365">
        <v>33093.51</v>
      </c>
      <c r="L31" s="365"/>
      <c r="M31" s="365">
        <v>21607.82</v>
      </c>
      <c r="N31" s="365"/>
      <c r="O31" s="365">
        <v>9942.5300000000007</v>
      </c>
      <c r="P31" s="365"/>
      <c r="Q31" s="365">
        <v>4816.16</v>
      </c>
      <c r="R31" s="365"/>
      <c r="S31" s="365">
        <v>2298.3200000000002</v>
      </c>
      <c r="T31" s="109"/>
      <c r="U31" s="367">
        <v>17468.61</v>
      </c>
      <c r="V31" s="367"/>
      <c r="W31" s="367">
        <v>8393.9699999999993</v>
      </c>
      <c r="X31" s="109"/>
      <c r="Y31" s="109">
        <f>E31+I31+M31+Q31+U31</f>
        <v>100127.01</v>
      </c>
      <c r="Z31" s="109"/>
      <c r="AA31" s="109">
        <f>G31+K31+O31+S31+W31</f>
        <v>39293.240000000005</v>
      </c>
      <c r="AB31" s="109"/>
      <c r="AC31" s="109">
        <f>Y31+AA31</f>
        <v>139420.25</v>
      </c>
      <c r="AE31" s="263">
        <v>1.9022799999999999E-3</v>
      </c>
      <c r="AG31" s="263">
        <v>9.1407999999999995E-4</v>
      </c>
    </row>
    <row r="32" spans="1:33">
      <c r="A32" s="362"/>
      <c r="B32" s="361" t="s">
        <v>455</v>
      </c>
      <c r="C32" s="361"/>
      <c r="E32" s="366"/>
      <c r="F32" s="365"/>
      <c r="G32" s="366"/>
      <c r="H32" s="365"/>
      <c r="I32" s="366"/>
      <c r="J32" s="365"/>
      <c r="K32" s="366"/>
      <c r="L32" s="365"/>
      <c r="M32" s="366"/>
      <c r="N32" s="365"/>
      <c r="O32" s="366"/>
      <c r="P32" s="365"/>
      <c r="Q32" s="366"/>
      <c r="R32" s="365"/>
      <c r="S32" s="366"/>
      <c r="U32" s="367"/>
      <c r="V32" s="367"/>
      <c r="W32" s="367"/>
      <c r="Y32" s="107"/>
      <c r="Z32" s="109"/>
      <c r="AA32" s="109"/>
      <c r="AB32" s="109"/>
      <c r="AC32" s="109"/>
      <c r="AE32" s="107"/>
    </row>
    <row r="33" spans="1:33">
      <c r="A33" s="362">
        <f>+A31+1</f>
        <v>9</v>
      </c>
      <c r="B33" s="361" t="s">
        <v>463</v>
      </c>
      <c r="C33" s="363">
        <v>2019</v>
      </c>
      <c r="E33" s="365">
        <v>15184.86</v>
      </c>
      <c r="F33" s="365"/>
      <c r="G33" s="365">
        <v>697.64</v>
      </c>
      <c r="H33" s="365"/>
      <c r="I33" s="365">
        <v>27213.24</v>
      </c>
      <c r="J33" s="365"/>
      <c r="K33" s="365">
        <v>-10610.65</v>
      </c>
      <c r="L33" s="365"/>
      <c r="M33" s="365">
        <v>14664.14</v>
      </c>
      <c r="N33" s="365"/>
      <c r="O33" s="365">
        <v>-360.68</v>
      </c>
      <c r="P33" s="365"/>
      <c r="Q33" s="365">
        <v>2651.78</v>
      </c>
      <c r="R33" s="365"/>
      <c r="S33" s="365">
        <v>-5227.83</v>
      </c>
      <c r="T33" s="109"/>
      <c r="U33" s="367">
        <v>10105.849999999999</v>
      </c>
      <c r="V33" s="367"/>
      <c r="W33" s="367">
        <v>561.91</v>
      </c>
      <c r="X33" s="109"/>
      <c r="Y33" s="109">
        <f>E33+I33+M33+Q33+U33</f>
        <v>69819.87</v>
      </c>
      <c r="Z33" s="109"/>
      <c r="AA33" s="109">
        <f>G33+K33+O33+S33+W33</f>
        <v>-14939.61</v>
      </c>
      <c r="AB33" s="109"/>
      <c r="AC33" s="109">
        <f>Y33+AA33</f>
        <v>54880.259999999995</v>
      </c>
      <c r="AE33" s="263">
        <v>1.6758299999999999E-3</v>
      </c>
      <c r="AG33" s="263">
        <v>9.3179999999999999E-5</v>
      </c>
    </row>
    <row r="34" spans="1:33">
      <c r="A34" s="362"/>
      <c r="B34" s="361" t="s">
        <v>455</v>
      </c>
      <c r="C34" s="361" t="s">
        <v>455</v>
      </c>
      <c r="E34" s="366"/>
      <c r="F34" s="365"/>
      <c r="G34" s="366"/>
      <c r="H34" s="365"/>
      <c r="I34" s="366"/>
      <c r="J34" s="365"/>
      <c r="K34" s="366"/>
      <c r="L34" s="365"/>
      <c r="M34" s="366"/>
      <c r="N34" s="365"/>
      <c r="O34" s="366"/>
      <c r="P34" s="365"/>
      <c r="Q34" s="366"/>
      <c r="R34" s="365"/>
      <c r="S34" s="366"/>
      <c r="U34" s="22"/>
      <c r="V34" s="22"/>
      <c r="W34" s="22"/>
      <c r="Y34" s="107"/>
      <c r="Z34" s="109"/>
      <c r="AA34" s="109"/>
      <c r="AB34" s="109"/>
      <c r="AC34" s="109"/>
      <c r="AE34" s="107"/>
    </row>
    <row r="35" spans="1:33">
      <c r="A35" s="362">
        <f>+A33+1</f>
        <v>10</v>
      </c>
      <c r="B35" s="364" t="s">
        <v>464</v>
      </c>
      <c r="C35" s="363">
        <v>2020</v>
      </c>
      <c r="E35" s="365">
        <v>12701.1</v>
      </c>
      <c r="F35" s="365"/>
      <c r="G35" s="365">
        <v>-3361.63</v>
      </c>
      <c r="H35" s="365"/>
      <c r="I35" s="365">
        <v>42749.04</v>
      </c>
      <c r="J35" s="365"/>
      <c r="K35" s="365">
        <v>-7480.84</v>
      </c>
      <c r="L35" s="365"/>
      <c r="M35" s="365">
        <v>11967.36</v>
      </c>
      <c r="N35" s="365"/>
      <c r="O35" s="365">
        <v>-1615.94</v>
      </c>
      <c r="P35" s="365"/>
      <c r="Q35" s="365">
        <v>10765.21</v>
      </c>
      <c r="R35" s="365"/>
      <c r="S35" s="365">
        <v>-275.18</v>
      </c>
      <c r="T35" s="109"/>
      <c r="U35" s="367">
        <v>4791.74</v>
      </c>
      <c r="V35" s="281"/>
      <c r="W35" s="281"/>
      <c r="X35" s="109"/>
      <c r="Y35" s="109">
        <f>E35+I35+M35+Q35+U35</f>
        <v>82974.45</v>
      </c>
      <c r="Z35" s="109"/>
      <c r="AA35" s="109">
        <f>G35+K35+O35+S35+W35</f>
        <v>-12733.590000000002</v>
      </c>
      <c r="AB35" s="109"/>
      <c r="AC35" s="109">
        <f>Y35+AA35</f>
        <v>70240.86</v>
      </c>
      <c r="AE35" s="263">
        <v>1.6772E-3</v>
      </c>
      <c r="AG35" s="263">
        <v>0</v>
      </c>
    </row>
    <row r="36" spans="1:33">
      <c r="A36" s="362"/>
      <c r="B36" s="361" t="s">
        <v>455</v>
      </c>
      <c r="C36" s="361"/>
      <c r="E36" s="366"/>
      <c r="F36" s="365"/>
      <c r="G36" s="366"/>
      <c r="H36" s="365"/>
      <c r="I36" s="366"/>
      <c r="J36" s="365"/>
      <c r="K36" s="366"/>
      <c r="L36" s="365"/>
      <c r="M36" s="366"/>
      <c r="N36" s="365"/>
      <c r="O36" s="366"/>
      <c r="P36" s="365"/>
      <c r="Q36" s="366"/>
      <c r="R36" s="365"/>
      <c r="S36" s="366"/>
      <c r="U36" s="367"/>
      <c r="V36" s="22"/>
      <c r="W36" s="22"/>
      <c r="Y36" s="107"/>
      <c r="Z36" s="109"/>
      <c r="AA36" s="109"/>
      <c r="AB36" s="109"/>
      <c r="AC36" s="109"/>
      <c r="AE36" s="107"/>
    </row>
    <row r="37" spans="1:33">
      <c r="A37" s="362">
        <f>+A35+1</f>
        <v>11</v>
      </c>
      <c r="B37" s="364" t="s">
        <v>465</v>
      </c>
      <c r="C37" s="363">
        <v>2020</v>
      </c>
      <c r="E37" s="365">
        <v>19295</v>
      </c>
      <c r="F37" s="365"/>
      <c r="G37" s="365">
        <v>-38.340000000000003</v>
      </c>
      <c r="H37" s="365"/>
      <c r="I37" s="365">
        <v>43076.53</v>
      </c>
      <c r="J37" s="365"/>
      <c r="K37" s="365">
        <v>-5160.45</v>
      </c>
      <c r="L37" s="365"/>
      <c r="M37" s="365">
        <v>14484.52</v>
      </c>
      <c r="N37" s="365"/>
      <c r="O37" s="365">
        <v>-74.44</v>
      </c>
      <c r="P37" s="365"/>
      <c r="Q37" s="365">
        <v>10921.289999999999</v>
      </c>
      <c r="R37" s="365"/>
      <c r="S37" s="365">
        <v>-113.48</v>
      </c>
      <c r="T37" s="109"/>
      <c r="U37" s="367">
        <v>4791.41</v>
      </c>
      <c r="V37" s="281"/>
      <c r="W37" s="281"/>
      <c r="X37" s="109"/>
      <c r="Y37" s="109">
        <f>E37+I37+M37+Q37+U37</f>
        <v>92568.75</v>
      </c>
      <c r="Z37" s="109"/>
      <c r="AA37" s="109">
        <f>G37+K37+O37+S37+W37</f>
        <v>-5386.7099999999991</v>
      </c>
      <c r="AB37" s="109"/>
      <c r="AC37" s="109">
        <f>Y37+AA37</f>
        <v>87182.040000000008</v>
      </c>
      <c r="AE37" s="263">
        <v>1.6500900000000001E-3</v>
      </c>
      <c r="AG37" s="263">
        <v>0</v>
      </c>
    </row>
    <row r="38" spans="1:33">
      <c r="A38" s="362"/>
      <c r="B38" s="361"/>
      <c r="C38" s="361" t="s">
        <v>455</v>
      </c>
      <c r="E38" s="366"/>
      <c r="F38" s="365"/>
      <c r="G38" s="366"/>
      <c r="H38" s="365"/>
      <c r="I38" s="366"/>
      <c r="J38" s="365"/>
      <c r="K38" s="366"/>
      <c r="L38" s="365"/>
      <c r="M38" s="366"/>
      <c r="N38" s="365"/>
      <c r="O38" s="366"/>
      <c r="P38" s="365"/>
      <c r="Q38" s="366"/>
      <c r="R38" s="365"/>
      <c r="S38" s="366"/>
      <c r="U38" s="367"/>
      <c r="V38" s="22"/>
      <c r="W38" s="22"/>
      <c r="Y38" s="107"/>
      <c r="Z38" s="109"/>
      <c r="AA38" s="109"/>
      <c r="AB38" s="109"/>
      <c r="AC38" s="109"/>
      <c r="AE38" s="107"/>
    </row>
    <row r="39" spans="1:33">
      <c r="A39" s="362">
        <f>+A37+1</f>
        <v>12</v>
      </c>
      <c r="B39" s="361" t="s">
        <v>466</v>
      </c>
      <c r="C39" s="363">
        <v>2020</v>
      </c>
      <c r="E39" s="365">
        <v>7729.35</v>
      </c>
      <c r="F39" s="365"/>
      <c r="G39" s="365">
        <v>-1539.41</v>
      </c>
      <c r="H39" s="365"/>
      <c r="I39" s="365">
        <v>53696.990000000005</v>
      </c>
      <c r="J39" s="365"/>
      <c r="K39" s="365">
        <v>-0.22</v>
      </c>
      <c r="L39" s="365"/>
      <c r="M39" s="365">
        <v>4888.3</v>
      </c>
      <c r="N39" s="365"/>
      <c r="O39" s="365">
        <v>-3098.88</v>
      </c>
      <c r="P39" s="365"/>
      <c r="Q39" s="365">
        <v>10070.369999999999</v>
      </c>
      <c r="R39" s="365"/>
      <c r="S39" s="365">
        <v>0</v>
      </c>
      <c r="T39" s="109"/>
      <c r="U39" s="367">
        <v>4481.8500000000004</v>
      </c>
      <c r="V39" s="281"/>
      <c r="W39" s="281"/>
      <c r="X39" s="109"/>
      <c r="Y39" s="109">
        <f>E39+I39+M39+Q39+U39</f>
        <v>80866.86</v>
      </c>
      <c r="Z39" s="109"/>
      <c r="AA39" s="109">
        <f>G39+K39+O39+S39+W39</f>
        <v>-4638.51</v>
      </c>
      <c r="AB39" s="109"/>
      <c r="AC39" s="109">
        <f>Y39+AA39</f>
        <v>76228.350000000006</v>
      </c>
      <c r="AE39" s="263">
        <v>1.5224399999999999E-3</v>
      </c>
      <c r="AG39" s="263">
        <v>0</v>
      </c>
    </row>
    <row r="40" spans="1:33">
      <c r="A40" s="107"/>
      <c r="E40" s="110" t="s">
        <v>467</v>
      </c>
      <c r="G40" s="110" t="s">
        <v>467</v>
      </c>
      <c r="I40" s="110" t="s">
        <v>467</v>
      </c>
      <c r="K40" s="110" t="s">
        <v>467</v>
      </c>
      <c r="M40" s="110" t="s">
        <v>467</v>
      </c>
      <c r="O40" s="110" t="s">
        <v>467</v>
      </c>
      <c r="Q40" s="110" t="s">
        <v>467</v>
      </c>
      <c r="S40" s="110" t="s">
        <v>467</v>
      </c>
      <c r="U40" s="110" t="s">
        <v>467</v>
      </c>
      <c r="W40" s="110" t="s">
        <v>467</v>
      </c>
      <c r="Y40" s="110" t="s">
        <v>467</v>
      </c>
      <c r="AA40" s="110" t="s">
        <v>467</v>
      </c>
      <c r="AC40" s="110" t="s">
        <v>467</v>
      </c>
      <c r="AE40" s="112"/>
    </row>
    <row r="41" spans="1:33">
      <c r="A41" s="107"/>
      <c r="AE41" s="239"/>
      <c r="AF41" s="239"/>
    </row>
    <row r="42" spans="1:33">
      <c r="A42" s="107">
        <v>13</v>
      </c>
      <c r="B42" s="256" t="s">
        <v>468</v>
      </c>
      <c r="E42" s="109">
        <f>SUM(E17:E39)</f>
        <v>301728.82999999996</v>
      </c>
      <c r="G42" s="109">
        <f>SUM(G17:G39)</f>
        <v>218119.49000000002</v>
      </c>
      <c r="I42" s="109">
        <f>SUM(I17:I39)</f>
        <v>740415.55</v>
      </c>
      <c r="K42" s="109">
        <f>SUM(K17:K39)</f>
        <v>476043.06999999995</v>
      </c>
      <c r="M42" s="109">
        <f>SUM(M17:M39)</f>
        <v>193964.39999999994</v>
      </c>
      <c r="O42" s="109">
        <f>SUM(O17:O39)</f>
        <v>101038.94999999998</v>
      </c>
      <c r="Q42" s="109">
        <f>SUM(Q17:Q39)</f>
        <v>64638.240000000005</v>
      </c>
      <c r="S42" s="109">
        <f>SUM(S17:S39)</f>
        <v>19108.539999999997</v>
      </c>
      <c r="U42" s="109">
        <f>SUM(U17:U39)</f>
        <v>154534.76</v>
      </c>
      <c r="W42" s="214">
        <f>SUM(W17:W39)</f>
        <v>114125.71</v>
      </c>
      <c r="Y42" s="109">
        <f>SUM(Y17:Y39)</f>
        <v>1455281.7799999998</v>
      </c>
      <c r="AA42" s="109">
        <f>SUM(AA17:AA39)</f>
        <v>928435.76000000013</v>
      </c>
      <c r="AC42" s="109">
        <f>SUM(AC17:AC39)</f>
        <v>2383717.5399999996</v>
      </c>
      <c r="AE42" s="239"/>
      <c r="AF42" s="239"/>
    </row>
    <row r="43" spans="1:33">
      <c r="A43" s="107"/>
      <c r="E43" s="110" t="s">
        <v>469</v>
      </c>
      <c r="G43" s="110" t="s">
        <v>469</v>
      </c>
      <c r="I43" s="110" t="s">
        <v>469</v>
      </c>
      <c r="K43" s="110" t="s">
        <v>469</v>
      </c>
      <c r="M43" s="110" t="s">
        <v>469</v>
      </c>
      <c r="O43" s="110" t="s">
        <v>469</v>
      </c>
      <c r="Q43" s="110" t="s">
        <v>469</v>
      </c>
      <c r="S43" s="110" t="s">
        <v>469</v>
      </c>
      <c r="U43" s="110" t="s">
        <v>469</v>
      </c>
      <c r="W43" s="110" t="s">
        <v>469</v>
      </c>
      <c r="Y43" s="110" t="s">
        <v>469</v>
      </c>
      <c r="AA43" s="110" t="s">
        <v>469</v>
      </c>
      <c r="AC43" s="110" t="s">
        <v>470</v>
      </c>
      <c r="AE43" s="112"/>
    </row>
    <row r="44" spans="1:33">
      <c r="A44" s="107"/>
      <c r="AE44" s="112"/>
    </row>
    <row r="45" spans="1:33">
      <c r="A45" s="107"/>
      <c r="AE45" s="112"/>
    </row>
    <row r="46" spans="1:33">
      <c r="A46" s="107"/>
      <c r="Y46" s="239"/>
      <c r="Z46" s="239"/>
      <c r="AA46" s="239"/>
      <c r="AE46" s="112"/>
    </row>
    <row r="47" spans="1:33">
      <c r="A47" s="107"/>
      <c r="Y47" s="239"/>
      <c r="Z47" s="239"/>
      <c r="AA47" s="239"/>
      <c r="AE47" s="112"/>
    </row>
    <row r="48" spans="1:33">
      <c r="A48" s="107"/>
      <c r="Y48" s="239"/>
      <c r="Z48" s="239"/>
      <c r="AA48" s="239"/>
      <c r="AE48" s="112"/>
    </row>
    <row r="49" spans="1:33">
      <c r="A49" s="107"/>
      <c r="Y49" s="239"/>
      <c r="Z49" s="239"/>
      <c r="AA49" s="239"/>
      <c r="AE49" s="112"/>
    </row>
    <row r="50" spans="1:33">
      <c r="A50" s="107"/>
      <c r="AE50" s="112"/>
    </row>
    <row r="51" spans="1:33" ht="12.75" customHeight="1">
      <c r="A51" s="107"/>
      <c r="AE51" s="112"/>
      <c r="AG51" s="233"/>
    </row>
    <row r="52" spans="1:33">
      <c r="A52" s="107"/>
      <c r="AG52" s="233"/>
    </row>
    <row r="53" spans="1:33">
      <c r="A53" s="107"/>
      <c r="AG53" s="233"/>
    </row>
    <row r="54" spans="1:33">
      <c r="A54" s="107"/>
      <c r="AG54" s="233"/>
    </row>
    <row r="55" spans="1:33">
      <c r="A55" s="107"/>
      <c r="AG55" s="233"/>
    </row>
    <row r="56" spans="1:33">
      <c r="AG56" s="233"/>
    </row>
    <row r="57" spans="1:33">
      <c r="AG57" s="233"/>
    </row>
    <row r="58" spans="1:33">
      <c r="AG58" s="233"/>
    </row>
    <row r="59" spans="1:33">
      <c r="AG59" s="233"/>
    </row>
  </sheetData>
  <mergeCells count="5">
    <mergeCell ref="A7:AG7"/>
    <mergeCell ref="A8:AG8"/>
    <mergeCell ref="A6:AG6"/>
    <mergeCell ref="A9:AG9"/>
    <mergeCell ref="U12:W12"/>
  </mergeCells>
  <printOptions horizontalCentered="1"/>
  <pageMargins left="0.7" right="0.7" top="0.75" bottom="0.75" header="0.55000000000000004" footer="0.3"/>
  <pageSetup scale="64" orientation="landscape" r:id="rId1"/>
  <headerFooter>
    <oddHeader xml:space="preserve">&amp;CKENTUCKY POWER COMPANY
TEST YEAR ENDED FEBRUARY 28, 2017&amp;RSECTION V
SCHEDULE 8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1"/>
  <sheetViews>
    <sheetView zoomScale="90" zoomScaleNormal="90" workbookViewId="0">
      <pane xSplit="4" ySplit="11" topLeftCell="E12" activePane="bottomRight" state="frozen"/>
      <selection activeCell="E47" sqref="E47:E48"/>
      <selection pane="topRight" activeCell="E47" sqref="E47:E48"/>
      <selection pane="bottomLeft" activeCell="E47" sqref="E47:E48"/>
      <selection pane="bottomRight" activeCell="L25" sqref="L25"/>
    </sheetView>
  </sheetViews>
  <sheetFormatPr defaultColWidth="9.140625" defaultRowHeight="12.75"/>
  <cols>
    <col min="1" max="1" width="2.28515625" style="88" customWidth="1"/>
    <col min="2" max="2" width="5" style="379" bestFit="1" customWidth="1"/>
    <col min="3" max="3" width="33.85546875" style="88" bestFit="1" customWidth="1"/>
    <col min="4" max="4" width="2.28515625" style="88" customWidth="1"/>
    <col min="5" max="14" width="10.7109375" style="88" customWidth="1"/>
    <col min="15" max="15" width="10.42578125" style="88" customWidth="1"/>
    <col min="16" max="16" width="10.7109375" style="88" customWidth="1"/>
    <col min="17" max="17" width="12.7109375" style="88" customWidth="1"/>
    <col min="18" max="18" width="2.28515625" style="88" customWidth="1"/>
    <col min="19" max="19" width="10.85546875" style="88" bestFit="1" customWidth="1"/>
    <col min="20" max="16384" width="9.140625" style="88"/>
  </cols>
  <sheetData>
    <row r="1" spans="2:18">
      <c r="Q1" s="100"/>
    </row>
    <row r="2" spans="2:18">
      <c r="Q2" s="100"/>
    </row>
    <row r="3" spans="2:18">
      <c r="I3" s="379"/>
    </row>
    <row r="4" spans="2:18">
      <c r="I4" s="205" t="s">
        <v>845</v>
      </c>
    </row>
    <row r="5" spans="2:18">
      <c r="I5" s="101"/>
    </row>
    <row r="8" spans="2:18" ht="25.5">
      <c r="B8" s="103" t="s">
        <v>449</v>
      </c>
      <c r="C8" s="382" t="s">
        <v>336</v>
      </c>
      <c r="E8" s="103" t="s">
        <v>705</v>
      </c>
      <c r="F8" s="103" t="s">
        <v>706</v>
      </c>
      <c r="G8" s="103" t="s">
        <v>707</v>
      </c>
      <c r="H8" s="103" t="s">
        <v>708</v>
      </c>
      <c r="I8" s="103" t="s">
        <v>709</v>
      </c>
      <c r="J8" s="103" t="s">
        <v>710</v>
      </c>
      <c r="K8" s="103" t="s">
        <v>711</v>
      </c>
      <c r="L8" s="103" t="s">
        <v>712</v>
      </c>
      <c r="M8" s="103" t="s">
        <v>713</v>
      </c>
      <c r="N8" s="103" t="s">
        <v>714</v>
      </c>
      <c r="O8" s="103" t="s">
        <v>715</v>
      </c>
      <c r="P8" s="103" t="s">
        <v>716</v>
      </c>
      <c r="Q8" s="103" t="s">
        <v>717</v>
      </c>
    </row>
    <row r="9" spans="2:18">
      <c r="B9" s="107"/>
    </row>
    <row r="10" spans="2:18" ht="26.1" customHeight="1">
      <c r="B10" s="107">
        <v>1</v>
      </c>
      <c r="C10" s="88" t="s">
        <v>718</v>
      </c>
      <c r="E10" s="103" t="s">
        <v>980</v>
      </c>
      <c r="F10" s="103" t="s">
        <v>982</v>
      </c>
      <c r="G10" s="103" t="s">
        <v>983</v>
      </c>
      <c r="H10" s="103" t="s">
        <v>984</v>
      </c>
      <c r="I10" s="103" t="s">
        <v>985</v>
      </c>
      <c r="J10" s="103" t="s">
        <v>986</v>
      </c>
      <c r="K10" s="103" t="s">
        <v>987</v>
      </c>
      <c r="L10" s="103" t="s">
        <v>988</v>
      </c>
      <c r="M10" s="103" t="s">
        <v>989</v>
      </c>
      <c r="N10" s="103" t="s">
        <v>990</v>
      </c>
      <c r="O10" s="103" t="s">
        <v>991</v>
      </c>
      <c r="P10" s="103" t="s">
        <v>992</v>
      </c>
      <c r="Q10" s="103" t="s">
        <v>719</v>
      </c>
      <c r="R10" s="382"/>
    </row>
    <row r="11" spans="2:18" ht="26.1" customHeight="1">
      <c r="B11" s="107">
        <f>+B10+1</f>
        <v>2</v>
      </c>
      <c r="C11" s="88" t="s">
        <v>720</v>
      </c>
      <c r="E11" s="375" t="s">
        <v>981</v>
      </c>
      <c r="F11" s="375" t="s">
        <v>721</v>
      </c>
      <c r="G11" s="375" t="s">
        <v>721</v>
      </c>
      <c r="H11" s="375" t="s">
        <v>721</v>
      </c>
      <c r="I11" s="375" t="s">
        <v>721</v>
      </c>
      <c r="J11" s="375" t="s">
        <v>721</v>
      </c>
      <c r="K11" s="375" t="s">
        <v>721</v>
      </c>
      <c r="L11" s="375" t="s">
        <v>722</v>
      </c>
      <c r="M11" s="375" t="s">
        <v>722</v>
      </c>
      <c r="N11" s="375" t="s">
        <v>722</v>
      </c>
      <c r="O11" s="375" t="s">
        <v>722</v>
      </c>
      <c r="P11" s="375" t="s">
        <v>722</v>
      </c>
      <c r="Q11" s="375" t="s">
        <v>723</v>
      </c>
      <c r="R11" s="245"/>
    </row>
    <row r="12" spans="2:18" ht="12.75" customHeight="1">
      <c r="B12" s="107"/>
      <c r="E12" s="375" t="s">
        <v>724</v>
      </c>
      <c r="F12" s="375" t="s">
        <v>724</v>
      </c>
      <c r="G12" s="375" t="s">
        <v>724</v>
      </c>
      <c r="H12" s="375" t="s">
        <v>724</v>
      </c>
      <c r="I12" s="375" t="s">
        <v>724</v>
      </c>
      <c r="J12" s="375" t="s">
        <v>724</v>
      </c>
      <c r="K12" s="375" t="s">
        <v>724</v>
      </c>
      <c r="L12" s="375" t="s">
        <v>724</v>
      </c>
      <c r="M12" s="375" t="s">
        <v>724</v>
      </c>
      <c r="N12" s="375" t="s">
        <v>724</v>
      </c>
      <c r="O12" s="375" t="s">
        <v>724</v>
      </c>
      <c r="P12" s="375" t="s">
        <v>724</v>
      </c>
      <c r="Q12" s="375" t="s">
        <v>724</v>
      </c>
    </row>
    <row r="13" spans="2:18" ht="12.75" customHeight="1">
      <c r="B13" s="10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2:18" ht="12.75" customHeight="1">
      <c r="B14" s="107">
        <f>+B11+1</f>
        <v>3</v>
      </c>
      <c r="C14" s="88" t="s">
        <v>725</v>
      </c>
      <c r="E14" s="224">
        <v>944</v>
      </c>
      <c r="F14" s="224">
        <v>908</v>
      </c>
      <c r="G14" s="224">
        <v>960</v>
      </c>
      <c r="H14" s="224">
        <v>985</v>
      </c>
      <c r="I14" s="224">
        <v>993</v>
      </c>
      <c r="J14" s="224">
        <v>976</v>
      </c>
      <c r="K14" s="224">
        <v>946</v>
      </c>
      <c r="L14" s="224">
        <v>1110</v>
      </c>
      <c r="M14" s="224">
        <v>1087</v>
      </c>
      <c r="N14" s="224">
        <v>1168</v>
      </c>
      <c r="O14" s="224">
        <v>1067</v>
      </c>
      <c r="P14" s="224">
        <v>955</v>
      </c>
      <c r="Q14" s="224">
        <f>SUM(E14:P14)</f>
        <v>12099</v>
      </c>
    </row>
    <row r="15" spans="2:18" ht="12.75" customHeight="1">
      <c r="B15" s="107">
        <f>+B14+1</f>
        <v>4</v>
      </c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>
        <f>ROUND(Q14/12,3)</f>
        <v>1008.25</v>
      </c>
    </row>
    <row r="16" spans="2:18" ht="12.75" customHeight="1">
      <c r="B16" s="107">
        <f>+B15+1</f>
        <v>5</v>
      </c>
      <c r="C16" s="88" t="s">
        <v>726</v>
      </c>
      <c r="E16" s="224">
        <v>0</v>
      </c>
      <c r="F16" s="224">
        <v>0</v>
      </c>
      <c r="G16" s="224">
        <v>274.2</v>
      </c>
      <c r="H16" s="224">
        <v>360.7</v>
      </c>
      <c r="I16" s="224">
        <v>153.69999999999999</v>
      </c>
      <c r="J16" s="224">
        <v>43</v>
      </c>
      <c r="K16" s="224">
        <v>206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f>SUM(E16:P16)</f>
        <v>1037.5999999999999</v>
      </c>
    </row>
    <row r="17" spans="2:19" ht="12.75" customHeight="1">
      <c r="B17" s="107">
        <f>+B16+1</f>
        <v>6</v>
      </c>
      <c r="C17" s="88" t="s">
        <v>727</v>
      </c>
      <c r="E17" s="418">
        <v>1.0341260000000001</v>
      </c>
      <c r="F17" s="418">
        <v>1.0341260000000001</v>
      </c>
      <c r="G17" s="418">
        <v>1.0341260000000001</v>
      </c>
      <c r="H17" s="418">
        <v>1.0341260000000001</v>
      </c>
      <c r="I17" s="418">
        <v>1.0341260000000001</v>
      </c>
      <c r="J17" s="418">
        <v>1.0341260000000001</v>
      </c>
      <c r="K17" s="418">
        <v>1.0341260000000001</v>
      </c>
      <c r="L17" s="418">
        <v>1.0341260000000001</v>
      </c>
      <c r="M17" s="418">
        <v>1.0341260000000001</v>
      </c>
      <c r="N17" s="418">
        <v>1.0341260000000001</v>
      </c>
      <c r="O17" s="418">
        <v>1.0341260000000001</v>
      </c>
      <c r="P17" s="418">
        <v>1.0341260000000001</v>
      </c>
      <c r="Q17" s="224"/>
    </row>
    <row r="18" spans="2:19" ht="12.75" customHeight="1">
      <c r="B18" s="107">
        <f>+B17+1</f>
        <v>7</v>
      </c>
      <c r="C18" s="88" t="s">
        <v>728</v>
      </c>
      <c r="E18" s="224">
        <f>ROUND(E16*E17,3)</f>
        <v>0</v>
      </c>
      <c r="F18" s="224">
        <f t="shared" ref="F18:P18" si="0">ROUND(F16*F17,3)</f>
        <v>0</v>
      </c>
      <c r="G18" s="224">
        <f t="shared" si="0"/>
        <v>283.55700000000002</v>
      </c>
      <c r="H18" s="224">
        <f t="shared" si="0"/>
        <v>373.00900000000001</v>
      </c>
      <c r="I18" s="224">
        <f t="shared" si="0"/>
        <v>158.94499999999999</v>
      </c>
      <c r="J18" s="224">
        <f t="shared" si="0"/>
        <v>44.466999999999999</v>
      </c>
      <c r="K18" s="224">
        <f t="shared" si="0"/>
        <v>213.03</v>
      </c>
      <c r="L18" s="224">
        <f t="shared" si="0"/>
        <v>0</v>
      </c>
      <c r="M18" s="224">
        <f t="shared" si="0"/>
        <v>0</v>
      </c>
      <c r="N18" s="224">
        <f t="shared" si="0"/>
        <v>0</v>
      </c>
      <c r="O18" s="224">
        <f t="shared" si="0"/>
        <v>0</v>
      </c>
      <c r="P18" s="224">
        <f t="shared" si="0"/>
        <v>0</v>
      </c>
      <c r="Q18" s="224">
        <f>SUM(E18:P18)</f>
        <v>1073.008</v>
      </c>
    </row>
    <row r="19" spans="2:19" ht="12.75" customHeight="1">
      <c r="B19" s="10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224">
        <f>ROUND(Q18/12,3)</f>
        <v>89.417000000000002</v>
      </c>
      <c r="S19" s="224"/>
    </row>
    <row r="20" spans="2:19" ht="12.75" customHeight="1">
      <c r="B20" s="107">
        <v>8</v>
      </c>
      <c r="C20" s="88" t="s">
        <v>885</v>
      </c>
      <c r="E20" s="224">
        <f t="shared" ref="E20:P20" si="1">+E14-(E18-E16)</f>
        <v>944</v>
      </c>
      <c r="F20" s="224">
        <f t="shared" si="1"/>
        <v>908</v>
      </c>
      <c r="G20" s="224">
        <f t="shared" si="1"/>
        <v>950.64300000000003</v>
      </c>
      <c r="H20" s="224">
        <f t="shared" si="1"/>
        <v>972.69100000000003</v>
      </c>
      <c r="I20" s="224">
        <f t="shared" si="1"/>
        <v>987.755</v>
      </c>
      <c r="J20" s="224">
        <f t="shared" si="1"/>
        <v>974.53300000000002</v>
      </c>
      <c r="K20" s="224">
        <f t="shared" si="1"/>
        <v>938.97</v>
      </c>
      <c r="L20" s="224">
        <f t="shared" si="1"/>
        <v>1110</v>
      </c>
      <c r="M20" s="224">
        <f t="shared" si="1"/>
        <v>1087</v>
      </c>
      <c r="N20" s="224">
        <f t="shared" si="1"/>
        <v>1168</v>
      </c>
      <c r="O20" s="224">
        <f t="shared" si="1"/>
        <v>1067</v>
      </c>
      <c r="P20" s="224">
        <f t="shared" si="1"/>
        <v>955</v>
      </c>
      <c r="Q20" s="224">
        <f>SUM(E20:P20)</f>
        <v>12063.592000000001</v>
      </c>
    </row>
    <row r="21" spans="2:19" ht="12.75" customHeight="1">
      <c r="B21" s="107">
        <f>+B20+1</f>
        <v>9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224">
        <f>ROUND(Q20/12,3)</f>
        <v>1005.299</v>
      </c>
    </row>
    <row r="22" spans="2:19" ht="12.75" customHeight="1">
      <c r="B22" s="10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9" ht="12.75" customHeight="1">
      <c r="B23" s="107"/>
      <c r="C23" s="382" t="s">
        <v>729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9" ht="12.75" customHeight="1">
      <c r="B24" s="10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9" ht="30" customHeight="1">
      <c r="B25" s="107">
        <f>+B21+1</f>
        <v>10</v>
      </c>
      <c r="C25" s="88" t="s">
        <v>730</v>
      </c>
      <c r="E25" s="224">
        <f>'Olive Hill - Vanceburg'!E10/1000</f>
        <v>3.5960000000000001</v>
      </c>
      <c r="F25" s="224">
        <f>'Olive Hill - Vanceburg'!E11/1000</f>
        <v>3.8090000000000002</v>
      </c>
      <c r="G25" s="224">
        <f>'Olive Hill - Vanceburg'!E12/1000</f>
        <v>4.2869999999999999</v>
      </c>
      <c r="H25" s="224">
        <f>'Olive Hill - Vanceburg'!E13/1000</f>
        <v>4.7679999999999998</v>
      </c>
      <c r="I25" s="224">
        <f>'Olive Hill - Vanceburg'!$E14/1000</f>
        <v>4.4249999999999998</v>
      </c>
      <c r="J25" s="224">
        <f>'Olive Hill - Vanceburg'!$E15/1000</f>
        <v>4.32</v>
      </c>
      <c r="K25" s="224">
        <f>'Olive Hill - Vanceburg'!$E16/1000</f>
        <v>4.0359999999999996</v>
      </c>
      <c r="L25" s="224">
        <f>'Olive Hill - Vanceburg'!$E17/1000</f>
        <v>4.4470000000000001</v>
      </c>
      <c r="M25" s="224">
        <f>'Olive Hill - Vanceburg'!$E18/1000</f>
        <v>4.67</v>
      </c>
      <c r="N25" s="224">
        <f>'Olive Hill - Vanceburg'!$E19/1000</f>
        <v>4.766</v>
      </c>
      <c r="O25" s="224">
        <f>'Olive Hill - Vanceburg'!$E20/1000</f>
        <v>4.63</v>
      </c>
      <c r="P25" s="224">
        <f>'Olive Hill - Vanceburg'!$E21/1000</f>
        <v>4.008</v>
      </c>
      <c r="Q25" s="224">
        <f>SUM(E25:P25)</f>
        <v>51.762000000000008</v>
      </c>
    </row>
    <row r="26" spans="2:19" ht="12.75" customHeight="1">
      <c r="B26" s="107">
        <f>+B25+1</f>
        <v>11</v>
      </c>
      <c r="C26" s="3" t="s">
        <v>727</v>
      </c>
      <c r="E26" s="418">
        <v>1.0551999999999999</v>
      </c>
      <c r="F26" s="418">
        <f>+$E$26</f>
        <v>1.0551999999999999</v>
      </c>
      <c r="G26" s="418">
        <f t="shared" ref="G26:P26" si="2">+$E$26</f>
        <v>1.0551999999999999</v>
      </c>
      <c r="H26" s="418">
        <f t="shared" si="2"/>
        <v>1.0551999999999999</v>
      </c>
      <c r="I26" s="418">
        <f t="shared" si="2"/>
        <v>1.0551999999999999</v>
      </c>
      <c r="J26" s="418">
        <f t="shared" si="2"/>
        <v>1.0551999999999999</v>
      </c>
      <c r="K26" s="418">
        <f t="shared" si="2"/>
        <v>1.0551999999999999</v>
      </c>
      <c r="L26" s="418">
        <f t="shared" si="2"/>
        <v>1.0551999999999999</v>
      </c>
      <c r="M26" s="418">
        <f t="shared" si="2"/>
        <v>1.0551999999999999</v>
      </c>
      <c r="N26" s="418">
        <f t="shared" si="2"/>
        <v>1.0551999999999999</v>
      </c>
      <c r="O26" s="418">
        <f t="shared" si="2"/>
        <v>1.0551999999999999</v>
      </c>
      <c r="P26" s="418">
        <f t="shared" si="2"/>
        <v>1.0551999999999999</v>
      </c>
      <c r="Q26" s="224"/>
    </row>
    <row r="27" spans="2:19" ht="12.75" customHeight="1">
      <c r="B27" s="107">
        <f>+B26+1</f>
        <v>12</v>
      </c>
      <c r="C27" s="88" t="s">
        <v>731</v>
      </c>
      <c r="E27" s="224">
        <f t="shared" ref="E27:P27" si="3">ROUND(E25*E26,3)</f>
        <v>3.794</v>
      </c>
      <c r="F27" s="224">
        <f t="shared" si="3"/>
        <v>4.0190000000000001</v>
      </c>
      <c r="G27" s="224">
        <f t="shared" si="3"/>
        <v>4.524</v>
      </c>
      <c r="H27" s="224">
        <f t="shared" si="3"/>
        <v>5.0309999999999997</v>
      </c>
      <c r="I27" s="224">
        <f t="shared" si="3"/>
        <v>4.6689999999999996</v>
      </c>
      <c r="J27" s="224">
        <f t="shared" si="3"/>
        <v>4.5579999999999998</v>
      </c>
      <c r="K27" s="224">
        <f t="shared" si="3"/>
        <v>4.2590000000000003</v>
      </c>
      <c r="L27" s="224">
        <f t="shared" si="3"/>
        <v>4.6920000000000002</v>
      </c>
      <c r="M27" s="224">
        <f t="shared" si="3"/>
        <v>4.9279999999999999</v>
      </c>
      <c r="N27" s="224">
        <f t="shared" si="3"/>
        <v>5.0289999999999999</v>
      </c>
      <c r="O27" s="224">
        <f t="shared" si="3"/>
        <v>4.8860000000000001</v>
      </c>
      <c r="P27" s="224">
        <f t="shared" si="3"/>
        <v>4.2290000000000001</v>
      </c>
      <c r="Q27" s="224">
        <f>SUM(E27:P27)</f>
        <v>54.618000000000002</v>
      </c>
    </row>
    <row r="28" spans="2:19" ht="12.75" customHeight="1">
      <c r="B28" s="107">
        <f>+B27+1</f>
        <v>13</v>
      </c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>
        <f>ROUND(Q27/12,3)</f>
        <v>4.5519999999999996</v>
      </c>
    </row>
    <row r="29" spans="2:19" ht="12.75" customHeight="1">
      <c r="B29" s="107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</row>
    <row r="30" spans="2:19" ht="30" customHeight="1">
      <c r="B30" s="107">
        <f>+B28+1</f>
        <v>14</v>
      </c>
      <c r="C30" s="88" t="s">
        <v>732</v>
      </c>
      <c r="E30" s="224">
        <f>'Olive Hill - Vanceburg'!H10/1000</f>
        <v>9.4220000000000006</v>
      </c>
      <c r="F30" s="224">
        <f>'Olive Hill - Vanceburg'!H11/1000</f>
        <v>9.6790000000000003</v>
      </c>
      <c r="G30" s="224">
        <f>'Olive Hill - Vanceburg'!H12/1000</f>
        <v>10.050000000000001</v>
      </c>
      <c r="H30" s="224">
        <f>'Olive Hill - Vanceburg'!H13/1000</f>
        <v>10.894</v>
      </c>
      <c r="I30" s="224">
        <f>'Olive Hill - Vanceburg'!H14/1000</f>
        <v>10.723000000000001</v>
      </c>
      <c r="J30" s="224">
        <f>'Olive Hill - Vanceburg'!H15/1000</f>
        <v>10.209</v>
      </c>
      <c r="K30" s="224">
        <f>'Olive Hill - Vanceburg'!H16/1000</f>
        <v>9.9550000000000001</v>
      </c>
      <c r="L30" s="224">
        <f>'Olive Hill - Vanceburg'!H17/1000</f>
        <v>10.79</v>
      </c>
      <c r="M30" s="224">
        <f>'Olive Hill - Vanceburg'!H18/1000</f>
        <v>11.005000000000001</v>
      </c>
      <c r="N30" s="224">
        <f>'Olive Hill - Vanceburg'!H19/1000</f>
        <v>11.403</v>
      </c>
      <c r="O30" s="224">
        <f>'Olive Hill - Vanceburg'!H20/1000</f>
        <v>10.867000000000001</v>
      </c>
      <c r="P30" s="224">
        <f>'Olive Hill - Vanceburg'!H21/1000</f>
        <v>8.5640000000000001</v>
      </c>
      <c r="Q30" s="224">
        <f>SUM(E30:P30)</f>
        <v>123.56100000000001</v>
      </c>
    </row>
    <row r="31" spans="2:19" ht="12.75" customHeight="1">
      <c r="B31" s="107">
        <f>+B30+1</f>
        <v>15</v>
      </c>
      <c r="C31" s="3" t="s">
        <v>727</v>
      </c>
      <c r="E31" s="418">
        <v>1.0341260000000001</v>
      </c>
      <c r="F31" s="418">
        <f>+$E$31</f>
        <v>1.0341260000000001</v>
      </c>
      <c r="G31" s="418">
        <f t="shared" ref="G31:P31" si="4">+$E$31</f>
        <v>1.0341260000000001</v>
      </c>
      <c r="H31" s="418">
        <f t="shared" si="4"/>
        <v>1.0341260000000001</v>
      </c>
      <c r="I31" s="418">
        <f t="shared" si="4"/>
        <v>1.0341260000000001</v>
      </c>
      <c r="J31" s="418">
        <f t="shared" si="4"/>
        <v>1.0341260000000001</v>
      </c>
      <c r="K31" s="418">
        <f t="shared" si="4"/>
        <v>1.0341260000000001</v>
      </c>
      <c r="L31" s="418">
        <f t="shared" si="4"/>
        <v>1.0341260000000001</v>
      </c>
      <c r="M31" s="418">
        <f t="shared" si="4"/>
        <v>1.0341260000000001</v>
      </c>
      <c r="N31" s="418">
        <f t="shared" si="4"/>
        <v>1.0341260000000001</v>
      </c>
      <c r="O31" s="418">
        <f t="shared" si="4"/>
        <v>1.0341260000000001</v>
      </c>
      <c r="P31" s="418">
        <f t="shared" si="4"/>
        <v>1.0341260000000001</v>
      </c>
      <c r="Q31" s="224"/>
    </row>
    <row r="32" spans="2:19" ht="12.75" customHeight="1">
      <c r="B32" s="107">
        <f>+B31+1</f>
        <v>16</v>
      </c>
      <c r="C32" s="88" t="s">
        <v>733</v>
      </c>
      <c r="E32" s="224">
        <f>ROUND(E30*E31,3)</f>
        <v>9.7439999999999998</v>
      </c>
      <c r="F32" s="224">
        <f t="shared" ref="F32:P32" si="5">ROUND(F30*F31,3)</f>
        <v>10.009</v>
      </c>
      <c r="G32" s="224">
        <f t="shared" si="5"/>
        <v>10.393000000000001</v>
      </c>
      <c r="H32" s="224">
        <f t="shared" si="5"/>
        <v>11.266</v>
      </c>
      <c r="I32" s="224">
        <f t="shared" si="5"/>
        <v>11.089</v>
      </c>
      <c r="J32" s="224">
        <f t="shared" si="5"/>
        <v>10.557</v>
      </c>
      <c r="K32" s="224">
        <f t="shared" si="5"/>
        <v>10.295</v>
      </c>
      <c r="L32" s="224">
        <f t="shared" si="5"/>
        <v>11.157999999999999</v>
      </c>
      <c r="M32" s="224">
        <f t="shared" si="5"/>
        <v>11.381</v>
      </c>
      <c r="N32" s="224">
        <f t="shared" si="5"/>
        <v>11.792</v>
      </c>
      <c r="O32" s="224">
        <f t="shared" si="5"/>
        <v>11.238</v>
      </c>
      <c r="P32" s="224">
        <f t="shared" si="5"/>
        <v>8.8559999999999999</v>
      </c>
      <c r="Q32" s="224">
        <f>SUM(E32:P32)</f>
        <v>127.77799999999999</v>
      </c>
    </row>
    <row r="33" spans="2:17" ht="12.75" customHeight="1">
      <c r="B33" s="107">
        <f>+B32+1</f>
        <v>17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>
        <f>ROUND(Q32/12,3)</f>
        <v>10.648</v>
      </c>
    </row>
    <row r="34" spans="2:17">
      <c r="B34" s="107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</row>
    <row r="35" spans="2:17">
      <c r="B35" s="107">
        <f>+B33+1</f>
        <v>18</v>
      </c>
      <c r="C35" s="88" t="s">
        <v>734</v>
      </c>
      <c r="E35" s="14">
        <f>+E27+E32</f>
        <v>13.538</v>
      </c>
      <c r="F35" s="14">
        <f t="shared" ref="F35:P35" si="6">+F27+F32</f>
        <v>14.028</v>
      </c>
      <c r="G35" s="14">
        <f t="shared" si="6"/>
        <v>14.917000000000002</v>
      </c>
      <c r="H35" s="14">
        <f t="shared" si="6"/>
        <v>16.297000000000001</v>
      </c>
      <c r="I35" s="14">
        <f t="shared" si="6"/>
        <v>15.757999999999999</v>
      </c>
      <c r="J35" s="14">
        <f t="shared" si="6"/>
        <v>15.115</v>
      </c>
      <c r="K35" s="14">
        <f t="shared" si="6"/>
        <v>14.554</v>
      </c>
      <c r="L35" s="14">
        <f t="shared" si="6"/>
        <v>15.85</v>
      </c>
      <c r="M35" s="14">
        <f t="shared" si="6"/>
        <v>16.309000000000001</v>
      </c>
      <c r="N35" s="14">
        <f t="shared" si="6"/>
        <v>16.820999999999998</v>
      </c>
      <c r="O35" s="14">
        <f t="shared" si="6"/>
        <v>16.123999999999999</v>
      </c>
      <c r="P35" s="14">
        <f t="shared" si="6"/>
        <v>13.085000000000001</v>
      </c>
      <c r="Q35" s="224">
        <f>SUM(E35:P35)</f>
        <v>182.39599999999999</v>
      </c>
    </row>
    <row r="36" spans="2:17">
      <c r="B36" s="107">
        <f>+B35+1</f>
        <v>19</v>
      </c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24">
        <f>ROUND(Q35/12,3)</f>
        <v>15.2</v>
      </c>
    </row>
    <row r="37" spans="2:17">
      <c r="B37" s="107"/>
    </row>
    <row r="38" spans="2:17">
      <c r="B38" s="107">
        <f>+B36+1</f>
        <v>20</v>
      </c>
      <c r="C38" s="108" t="s">
        <v>735</v>
      </c>
      <c r="F38" s="224">
        <f>+Q36</f>
        <v>15.2</v>
      </c>
      <c r="G38" s="325" t="s">
        <v>736</v>
      </c>
      <c r="H38" s="224">
        <f>+$Q$21</f>
        <v>1005.299</v>
      </c>
      <c r="I38" s="325" t="s">
        <v>737</v>
      </c>
      <c r="J38" s="3">
        <f>ROUND(F38/H38,3)</f>
        <v>1.4999999999999999E-2</v>
      </c>
      <c r="L38" s="224"/>
      <c r="M38" s="325"/>
      <c r="N38" s="224"/>
      <c r="O38" s="325"/>
    </row>
    <row r="39" spans="2:17">
      <c r="B39" s="107"/>
    </row>
    <row r="40" spans="2:17">
      <c r="B40" s="107">
        <f>+B38+1</f>
        <v>21</v>
      </c>
      <c r="C40" s="88" t="s">
        <v>738</v>
      </c>
      <c r="E40" s="14">
        <f>+E20-E35</f>
        <v>930.46199999999999</v>
      </c>
      <c r="F40" s="14">
        <f t="shared" ref="F40:O40" si="7">+F20-F35</f>
        <v>893.97199999999998</v>
      </c>
      <c r="G40" s="14">
        <f t="shared" si="7"/>
        <v>935.726</v>
      </c>
      <c r="H40" s="14">
        <f t="shared" si="7"/>
        <v>956.39400000000001</v>
      </c>
      <c r="I40" s="14">
        <f t="shared" si="7"/>
        <v>971.99699999999996</v>
      </c>
      <c r="J40" s="14">
        <f t="shared" si="7"/>
        <v>959.41800000000001</v>
      </c>
      <c r="K40" s="14">
        <f t="shared" si="7"/>
        <v>924.41600000000005</v>
      </c>
      <c r="L40" s="14">
        <f t="shared" si="7"/>
        <v>1094.1500000000001</v>
      </c>
      <c r="M40" s="14">
        <f t="shared" si="7"/>
        <v>1070.691</v>
      </c>
      <c r="N40" s="14">
        <f t="shared" si="7"/>
        <v>1151.1790000000001</v>
      </c>
      <c r="O40" s="14">
        <f t="shared" si="7"/>
        <v>1050.876</v>
      </c>
      <c r="P40" s="14">
        <f>+P20-P35</f>
        <v>941.91499999999996</v>
      </c>
      <c r="Q40" s="224">
        <f>SUM(E40:P40)</f>
        <v>11881.196</v>
      </c>
    </row>
    <row r="41" spans="2:17">
      <c r="B41" s="107">
        <f>+B40+1</f>
        <v>22</v>
      </c>
      <c r="P41" s="112"/>
      <c r="Q41" s="224">
        <f>ROUND(Q40/12,3)</f>
        <v>990.1</v>
      </c>
    </row>
    <row r="42" spans="2:17">
      <c r="B42" s="107"/>
      <c r="P42" s="112"/>
    </row>
    <row r="43" spans="2:17" ht="12.75" customHeight="1">
      <c r="B43" s="107">
        <f>+B41+1</f>
        <v>23</v>
      </c>
      <c r="C43" s="108" t="s">
        <v>739</v>
      </c>
      <c r="F43" s="14">
        <f>+Q41</f>
        <v>990.1</v>
      </c>
      <c r="G43" s="258" t="s">
        <v>736</v>
      </c>
      <c r="H43" s="14">
        <f>+$Q$21</f>
        <v>1005.299</v>
      </c>
      <c r="I43" s="325" t="s">
        <v>737</v>
      </c>
      <c r="J43" s="3">
        <f>ROUND(F43/H43,3)</f>
        <v>0.98499999999999999</v>
      </c>
      <c r="Q43" s="233"/>
    </row>
    <row r="44" spans="2:17" ht="17.25" customHeight="1">
      <c r="B44" s="107"/>
      <c r="F44" s="14"/>
      <c r="G44" s="14"/>
      <c r="H44" s="14"/>
      <c r="Q44" s="233"/>
    </row>
    <row r="45" spans="2:17" ht="25.5" customHeight="1">
      <c r="B45" s="107" t="s">
        <v>567</v>
      </c>
      <c r="C45" s="88" t="s">
        <v>740</v>
      </c>
      <c r="Q45" s="233"/>
    </row>
    <row r="46" spans="2:17" ht="26.25" customHeight="1">
      <c r="Q46" s="233"/>
    </row>
    <row r="47" spans="2:17">
      <c r="Q47" s="233"/>
    </row>
    <row r="48" spans="2:17">
      <c r="Q48" s="233"/>
    </row>
    <row r="49" spans="17:17">
      <c r="Q49" s="233"/>
    </row>
    <row r="50" spans="17:17">
      <c r="Q50" s="233"/>
    </row>
    <row r="51" spans="17:17">
      <c r="Q51" s="233"/>
    </row>
  </sheetData>
  <printOptions horizontalCentered="1"/>
  <pageMargins left="0" right="0" top="1" bottom="0.5" header="0.5" footer="0"/>
  <pageSetup scale="70" orientation="landscape" r:id="rId1"/>
  <headerFooter alignWithMargins="0">
    <oddHeader xml:space="preserve">&amp;CKENTUCKY POWER COMPANY
TEST YEAR ENDED FEBRUARY 28, 2017&amp;RSECTION V
SCHEDULE 9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7"/>
  <sheetViews>
    <sheetView zoomScale="90" zoomScaleNormal="90" workbookViewId="0">
      <pane ySplit="7" topLeftCell="A29" activePane="bottomLeft" state="frozen"/>
      <selection activeCell="F31" sqref="F31"/>
      <selection pane="bottomLeft" activeCell="K44" sqref="K44"/>
    </sheetView>
  </sheetViews>
  <sheetFormatPr defaultColWidth="9.140625" defaultRowHeight="12.75"/>
  <cols>
    <col min="1" max="1" width="2.28515625" style="88" customWidth="1"/>
    <col min="2" max="2" width="6.140625" style="379" bestFit="1" customWidth="1"/>
    <col min="3" max="3" width="5.7109375" style="379" customWidth="1"/>
    <col min="4" max="4" width="29.42578125" style="88" bestFit="1" customWidth="1"/>
    <col min="5" max="5" width="2.28515625" style="88" customWidth="1"/>
    <col min="6" max="6" width="14.140625" style="88" customWidth="1"/>
    <col min="7" max="8" width="12.7109375" style="88" customWidth="1"/>
    <col min="9" max="9" width="2.28515625" style="88" customWidth="1"/>
    <col min="10" max="14" width="12.7109375" style="88" customWidth="1"/>
    <col min="15" max="17" width="8.7109375" style="88" customWidth="1"/>
    <col min="18" max="16384" width="9.140625" style="88"/>
  </cols>
  <sheetData>
    <row r="1" spans="2:17">
      <c r="I1" s="379"/>
      <c r="N1" s="100"/>
    </row>
    <row r="2" spans="2:17">
      <c r="N2" s="100"/>
    </row>
    <row r="3" spans="2:17">
      <c r="I3" s="101"/>
    </row>
    <row r="4" spans="2:17">
      <c r="I4" s="205" t="s">
        <v>846</v>
      </c>
    </row>
    <row r="5" spans="2:17">
      <c r="I5" s="382"/>
    </row>
    <row r="6" spans="2:17" ht="25.5">
      <c r="B6" s="103" t="s">
        <v>449</v>
      </c>
      <c r="C6" s="103"/>
      <c r="D6" s="226" t="s">
        <v>873</v>
      </c>
      <c r="F6" s="105" t="s">
        <v>741</v>
      </c>
      <c r="G6" s="103" t="s">
        <v>742</v>
      </c>
      <c r="H6" s="103" t="s">
        <v>743</v>
      </c>
      <c r="I6" s="103"/>
      <c r="J6" s="103" t="s">
        <v>744</v>
      </c>
      <c r="K6" s="103"/>
      <c r="L6" s="103"/>
      <c r="M6" s="103"/>
      <c r="N6" s="103"/>
      <c r="O6" s="103"/>
      <c r="P6" s="103"/>
    </row>
    <row r="7" spans="2:17">
      <c r="B7" s="103" t="s">
        <v>12</v>
      </c>
      <c r="C7" s="103"/>
      <c r="D7" s="107">
        <f>+B7-1</f>
        <v>-2</v>
      </c>
      <c r="F7" s="107">
        <f>+D7-1</f>
        <v>-3</v>
      </c>
      <c r="G7" s="107">
        <f>+F7-1</f>
        <v>-4</v>
      </c>
      <c r="H7" s="107">
        <f t="shared" ref="H7:N7" si="0">+G7-1</f>
        <v>-5</v>
      </c>
      <c r="I7" s="107"/>
      <c r="J7" s="107">
        <f>+H7-1</f>
        <v>-6</v>
      </c>
      <c r="K7" s="107">
        <f t="shared" si="0"/>
        <v>-7</v>
      </c>
      <c r="L7" s="107">
        <f t="shared" si="0"/>
        <v>-8</v>
      </c>
      <c r="M7" s="107">
        <f t="shared" si="0"/>
        <v>-9</v>
      </c>
      <c r="N7" s="107">
        <f t="shared" si="0"/>
        <v>-10</v>
      </c>
      <c r="O7" s="107"/>
      <c r="P7" s="103"/>
    </row>
    <row r="8" spans="2:17">
      <c r="B8" s="103"/>
      <c r="C8" s="103"/>
      <c r="D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3"/>
    </row>
    <row r="9" spans="2:17">
      <c r="B9" s="107"/>
      <c r="C9" s="227" t="s">
        <v>745</v>
      </c>
    </row>
    <row r="10" spans="2:17" ht="12.75" customHeight="1">
      <c r="B10" s="107">
        <v>1</v>
      </c>
      <c r="C10" s="107"/>
      <c r="D10" s="88" t="s">
        <v>762</v>
      </c>
      <c r="F10" s="228">
        <v>716195</v>
      </c>
      <c r="G10" s="229">
        <f>'Olive Hill - Vanceburg'!R22</f>
        <v>3.4099999999999998E-2</v>
      </c>
      <c r="H10" s="228">
        <f>ROUND(F10*G10,0)</f>
        <v>24422</v>
      </c>
      <c r="I10" s="228"/>
      <c r="J10" s="228">
        <f>+F10+H10</f>
        <v>740617</v>
      </c>
      <c r="K10" s="103"/>
      <c r="L10" s="103"/>
      <c r="M10" s="103"/>
      <c r="N10" s="103"/>
      <c r="O10" s="103"/>
      <c r="P10" s="103"/>
      <c r="Q10" s="382"/>
    </row>
    <row r="11" spans="2:17" ht="12.75" customHeight="1">
      <c r="B11" s="107"/>
      <c r="C11" s="107"/>
      <c r="F11" s="228"/>
      <c r="G11" s="229"/>
      <c r="H11" s="228"/>
      <c r="I11" s="228"/>
      <c r="J11" s="228"/>
      <c r="K11" s="103"/>
      <c r="L11" s="103"/>
      <c r="M11" s="103"/>
      <c r="N11" s="103"/>
      <c r="O11" s="103"/>
      <c r="P11" s="103"/>
      <c r="Q11" s="382"/>
    </row>
    <row r="12" spans="2:17" ht="30" customHeight="1">
      <c r="B12" s="107">
        <f>+B10+1</f>
        <v>2</v>
      </c>
      <c r="C12" s="107"/>
      <c r="D12" s="88" t="s">
        <v>746</v>
      </c>
      <c r="F12" s="10">
        <f>'Olive Hill - Vanceburg'!I24/1000</f>
        <v>55949.735000000001</v>
      </c>
      <c r="G12" s="229">
        <f>'Olive Hill - Vanceburg'!R22</f>
        <v>3.4099999999999998E-2</v>
      </c>
      <c r="H12" s="228">
        <f>ROUND(F12*G12,0)</f>
        <v>1908</v>
      </c>
      <c r="I12" s="228"/>
      <c r="J12" s="228">
        <f>+F12+H12</f>
        <v>57857.735000000001</v>
      </c>
      <c r="K12" s="103"/>
      <c r="L12" s="103"/>
      <c r="M12" s="103"/>
      <c r="N12" s="103"/>
      <c r="O12" s="103"/>
      <c r="P12" s="103"/>
      <c r="Q12" s="382"/>
    </row>
    <row r="13" spans="2:17" ht="11.45" customHeight="1">
      <c r="B13" s="107"/>
      <c r="C13" s="107"/>
      <c r="F13" s="10"/>
      <c r="G13" s="229"/>
      <c r="H13" s="228"/>
      <c r="I13" s="228"/>
      <c r="J13" s="228"/>
      <c r="K13" s="103"/>
      <c r="L13" s="103"/>
      <c r="M13" s="103"/>
      <c r="N13" s="103"/>
      <c r="O13" s="103"/>
      <c r="P13" s="103"/>
      <c r="Q13" s="382"/>
    </row>
    <row r="14" spans="2:17" ht="12.75" customHeight="1">
      <c r="B14" s="107"/>
      <c r="C14" s="227" t="s">
        <v>747</v>
      </c>
      <c r="F14" s="10"/>
      <c r="G14" s="110"/>
      <c r="H14" s="10"/>
      <c r="I14" s="10"/>
      <c r="J14" s="10"/>
      <c r="K14" s="224"/>
      <c r="L14" s="224"/>
      <c r="M14" s="224"/>
      <c r="N14" s="224"/>
      <c r="O14" s="224"/>
      <c r="P14" s="224"/>
    </row>
    <row r="15" spans="2:17" ht="30" customHeight="1">
      <c r="B15" s="107">
        <f>+B12+1</f>
        <v>3</v>
      </c>
      <c r="C15" s="107"/>
      <c r="D15" s="88" t="s">
        <v>748</v>
      </c>
      <c r="F15" s="10">
        <f>'Olive Hill - Vanceburg'!F24/1000</f>
        <v>22156.691999999999</v>
      </c>
      <c r="G15" s="229">
        <f>'Olive Hill - Vanceburg'!R24</f>
        <v>5.552E-2</v>
      </c>
      <c r="H15" s="228">
        <f>ROUND(F15*G15,0)</f>
        <v>1230</v>
      </c>
      <c r="I15" s="228"/>
      <c r="J15" s="228">
        <f>+F15+H15</f>
        <v>23386.691999999999</v>
      </c>
      <c r="K15" s="224"/>
      <c r="L15" s="224"/>
      <c r="M15" s="224"/>
      <c r="N15" s="224"/>
      <c r="O15" s="224"/>
      <c r="P15" s="224"/>
    </row>
    <row r="16" spans="2:17" ht="12.75" customHeight="1">
      <c r="B16" s="107"/>
      <c r="C16" s="107"/>
      <c r="F16" s="224"/>
      <c r="G16" s="224"/>
      <c r="H16" s="38"/>
      <c r="I16" s="38"/>
      <c r="J16" s="38"/>
      <c r="K16" s="224"/>
      <c r="L16" s="224"/>
      <c r="M16" s="224"/>
      <c r="N16" s="224"/>
      <c r="O16" s="224"/>
      <c r="P16" s="224"/>
    </row>
    <row r="17" spans="2:16" ht="12.75" customHeight="1">
      <c r="B17" s="107"/>
      <c r="C17" s="107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</row>
    <row r="18" spans="2:16" ht="39" customHeight="1">
      <c r="B18" s="107"/>
      <c r="C18" s="107"/>
      <c r="F18" s="103" t="s">
        <v>749</v>
      </c>
      <c r="G18" s="105" t="s">
        <v>750</v>
      </c>
      <c r="H18" s="103" t="s">
        <v>751</v>
      </c>
      <c r="I18" s="103"/>
      <c r="J18" s="103" t="s">
        <v>752</v>
      </c>
      <c r="K18" s="103" t="s">
        <v>753</v>
      </c>
      <c r="L18" s="103" t="s">
        <v>891</v>
      </c>
      <c r="M18" s="103" t="s">
        <v>886</v>
      </c>
      <c r="N18" s="103" t="s">
        <v>754</v>
      </c>
      <c r="O18" s="224"/>
      <c r="P18" s="224"/>
    </row>
    <row r="19" spans="2:16" ht="12.75" customHeight="1">
      <c r="B19" s="107"/>
      <c r="C19" s="107"/>
      <c r="F19" s="107">
        <f>+F7</f>
        <v>-3</v>
      </c>
      <c r="G19" s="107">
        <f>+G7</f>
        <v>-4</v>
      </c>
      <c r="H19" s="107">
        <f>+H7</f>
        <v>-5</v>
      </c>
      <c r="I19" s="107"/>
      <c r="J19" s="107">
        <f>+J7</f>
        <v>-6</v>
      </c>
      <c r="K19" s="107">
        <f>+K7</f>
        <v>-7</v>
      </c>
      <c r="L19" s="107">
        <f>+L7</f>
        <v>-8</v>
      </c>
      <c r="M19" s="107">
        <f>+M7</f>
        <v>-9</v>
      </c>
      <c r="N19" s="107">
        <f>+N7</f>
        <v>-10</v>
      </c>
      <c r="O19" s="224"/>
      <c r="P19" s="224"/>
    </row>
    <row r="20" spans="2:16" ht="12.75" customHeight="1">
      <c r="B20" s="107"/>
      <c r="C20" s="107"/>
      <c r="F20" s="230"/>
      <c r="G20" s="103"/>
      <c r="H20" s="103"/>
      <c r="I20" s="103"/>
      <c r="J20" s="103"/>
      <c r="K20" s="103"/>
      <c r="L20" s="103"/>
      <c r="M20" s="103"/>
      <c r="N20" s="103"/>
      <c r="O20" s="224"/>
      <c r="P20" s="224"/>
    </row>
    <row r="21" spans="2:16" ht="12.75" customHeight="1">
      <c r="B21" s="107"/>
      <c r="C21" s="231" t="s">
        <v>755</v>
      </c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</row>
    <row r="22" spans="2:16" ht="12.75" customHeight="1">
      <c r="B22" s="107">
        <f>+B15+1</f>
        <v>4</v>
      </c>
      <c r="C22" s="107"/>
      <c r="D22" s="88" t="s">
        <v>756</v>
      </c>
      <c r="F22" s="38">
        <v>3243609</v>
      </c>
      <c r="G22" s="38">
        <v>0</v>
      </c>
      <c r="H22" s="38">
        <f>+F22-G22</f>
        <v>3243609</v>
      </c>
      <c r="I22" s="38"/>
      <c r="J22" s="224"/>
      <c r="K22" s="224"/>
      <c r="L22" s="224"/>
      <c r="M22" s="224"/>
      <c r="N22" s="224"/>
      <c r="O22" s="224"/>
      <c r="P22" s="224"/>
    </row>
    <row r="23" spans="2:16" ht="12.75" customHeight="1">
      <c r="B23" s="107">
        <f>+B22+1</f>
        <v>5</v>
      </c>
      <c r="C23" s="107"/>
      <c r="D23" s="88" t="s">
        <v>757</v>
      </c>
      <c r="F23" s="38">
        <v>3317109</v>
      </c>
      <c r="G23" s="38">
        <v>0</v>
      </c>
      <c r="H23" s="38">
        <f>+F23-G23</f>
        <v>3317109</v>
      </c>
      <c r="I23" s="38"/>
      <c r="J23" s="224"/>
      <c r="K23" s="224"/>
      <c r="L23" s="224"/>
      <c r="M23" s="224"/>
      <c r="N23" s="224"/>
      <c r="O23" s="224"/>
      <c r="P23" s="224"/>
    </row>
    <row r="24" spans="2:16" ht="12.75" customHeight="1">
      <c r="B24" s="107">
        <f>+B23+1</f>
        <v>6</v>
      </c>
      <c r="C24" s="107"/>
      <c r="D24" s="88" t="s">
        <v>758</v>
      </c>
      <c r="F24" s="38">
        <v>0</v>
      </c>
      <c r="G24" s="38">
        <v>0</v>
      </c>
      <c r="H24" s="38">
        <f>+F24-G24</f>
        <v>0</v>
      </c>
      <c r="I24" s="38"/>
      <c r="J24" s="224"/>
      <c r="K24" s="224"/>
      <c r="L24" s="224"/>
      <c r="M24" s="224"/>
      <c r="N24" s="224"/>
      <c r="O24" s="224"/>
      <c r="P24" s="224"/>
    </row>
    <row r="25" spans="2:16" ht="12.75" customHeight="1">
      <c r="B25" s="107"/>
      <c r="C25" s="107"/>
      <c r="F25" s="110" t="s">
        <v>724</v>
      </c>
      <c r="G25" s="110" t="s">
        <v>724</v>
      </c>
      <c r="H25" s="110" t="s">
        <v>724</v>
      </c>
      <c r="I25" s="110"/>
      <c r="J25" s="110"/>
      <c r="K25" s="110"/>
      <c r="L25" s="110"/>
      <c r="M25" s="110"/>
      <c r="N25" s="110"/>
      <c r="O25" s="110"/>
      <c r="P25" s="224"/>
    </row>
    <row r="26" spans="2:16" ht="12.75" customHeight="1">
      <c r="B26" s="107">
        <f>+B24+1</f>
        <v>7</v>
      </c>
      <c r="C26" s="107"/>
      <c r="D26" s="379" t="s">
        <v>759</v>
      </c>
      <c r="F26" s="38">
        <f>SUM(F22:F25)</f>
        <v>6560718</v>
      </c>
      <c r="G26" s="38">
        <f>SUM(G22:G25)</f>
        <v>0</v>
      </c>
      <c r="H26" s="38">
        <f>SUM(H22:H25)</f>
        <v>6560718</v>
      </c>
      <c r="I26" s="38"/>
      <c r="J26" s="38"/>
      <c r="K26" s="38"/>
      <c r="L26" s="38"/>
      <c r="M26" s="38"/>
      <c r="N26" s="38"/>
      <c r="O26" s="38"/>
      <c r="P26" s="224"/>
    </row>
    <row r="27" spans="2:16" ht="12.75" customHeight="1">
      <c r="B27" s="107"/>
      <c r="C27" s="107"/>
      <c r="F27" s="110" t="s">
        <v>724</v>
      </c>
      <c r="G27" s="110" t="s">
        <v>724</v>
      </c>
      <c r="H27" s="110" t="s">
        <v>724</v>
      </c>
      <c r="I27" s="110"/>
      <c r="J27" s="110"/>
      <c r="K27" s="110"/>
      <c r="L27" s="110"/>
      <c r="M27" s="110"/>
      <c r="N27" s="110"/>
      <c r="O27" s="38"/>
      <c r="P27" s="224"/>
    </row>
    <row r="28" spans="2:16" ht="12.75" customHeight="1">
      <c r="B28" s="107"/>
      <c r="C28" s="107"/>
      <c r="F28" s="242"/>
      <c r="G28" s="38"/>
      <c r="H28" s="38"/>
      <c r="I28" s="38"/>
      <c r="J28" s="38"/>
      <c r="K28" s="38"/>
      <c r="L28" s="38"/>
      <c r="M28" s="38"/>
      <c r="N28" s="38"/>
      <c r="O28" s="38"/>
      <c r="P28" s="224"/>
    </row>
    <row r="29" spans="2:16" ht="12.75" customHeight="1">
      <c r="B29" s="107"/>
      <c r="C29" s="231" t="s">
        <v>760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2:16" ht="12.75" customHeight="1">
      <c r="B30" s="107">
        <f>+B26+1</f>
        <v>8</v>
      </c>
      <c r="C30" s="107"/>
      <c r="D30" s="88" t="s">
        <v>761</v>
      </c>
      <c r="F30" s="38">
        <v>5481269</v>
      </c>
      <c r="G30" s="38">
        <v>0</v>
      </c>
      <c r="H30" s="38">
        <f>+F30-G30</f>
        <v>5481269</v>
      </c>
      <c r="I30" s="38"/>
      <c r="J30" s="38">
        <v>0</v>
      </c>
      <c r="K30" s="38">
        <v>0</v>
      </c>
      <c r="L30" s="38">
        <v>0</v>
      </c>
      <c r="M30" s="38">
        <f>+J30+K30+L30</f>
        <v>0</v>
      </c>
      <c r="N30" s="38">
        <f>+H30-M30</f>
        <v>5481269</v>
      </c>
      <c r="O30" s="224"/>
      <c r="P30" s="224"/>
    </row>
    <row r="31" spans="2:16" ht="12.75" customHeight="1">
      <c r="B31" s="107"/>
      <c r="C31" s="10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24"/>
    </row>
    <row r="32" spans="2:16" ht="12.75" customHeight="1">
      <c r="B32" s="107">
        <f>+B30+1</f>
        <v>9</v>
      </c>
      <c r="C32" s="107"/>
      <c r="D32" s="88" t="s">
        <v>762</v>
      </c>
      <c r="F32" s="38">
        <f>+F10</f>
        <v>716195</v>
      </c>
      <c r="G32" s="38">
        <f>+F10</f>
        <v>716195</v>
      </c>
      <c r="H32" s="38">
        <f t="shared" ref="H32:H37" si="1">+F32-G32</f>
        <v>0</v>
      </c>
      <c r="I32" s="38"/>
      <c r="J32" s="38">
        <v>0</v>
      </c>
      <c r="K32" s="38">
        <v>0</v>
      </c>
      <c r="L32" s="38">
        <v>0</v>
      </c>
      <c r="M32" s="38">
        <f>+J32+K32+L32</f>
        <v>0</v>
      </c>
      <c r="N32" s="38">
        <f>+H32-M32</f>
        <v>0</v>
      </c>
      <c r="O32" s="224"/>
      <c r="P32" s="224"/>
    </row>
    <row r="33" spans="2:20" ht="30" customHeight="1">
      <c r="B33" s="107">
        <f>+B32+1</f>
        <v>10</v>
      </c>
      <c r="C33" s="107"/>
      <c r="D33" s="232" t="s">
        <v>763</v>
      </c>
      <c r="F33" s="38">
        <f>+F15</f>
        <v>22156.691999999999</v>
      </c>
      <c r="G33" s="38">
        <v>0</v>
      </c>
      <c r="H33" s="38">
        <f>+F33-G33</f>
        <v>22156.691999999999</v>
      </c>
      <c r="I33" s="38"/>
      <c r="J33" s="38">
        <f>+H33</f>
        <v>22156.691999999999</v>
      </c>
      <c r="K33" s="38">
        <v>0</v>
      </c>
      <c r="L33" s="38">
        <v>0</v>
      </c>
      <c r="M33" s="38">
        <f>+J33+K33+L33</f>
        <v>22156.691999999999</v>
      </c>
      <c r="N33" s="38">
        <f>+H33-M33</f>
        <v>0</v>
      </c>
      <c r="O33" s="224"/>
      <c r="P33" s="224"/>
    </row>
    <row r="34" spans="2:20" ht="30" customHeight="1">
      <c r="B34" s="107">
        <f>+B33+1</f>
        <v>11</v>
      </c>
      <c r="C34" s="107"/>
      <c r="D34" s="232" t="s">
        <v>764</v>
      </c>
      <c r="F34" s="38">
        <f>+F12</f>
        <v>55949.735000000001</v>
      </c>
      <c r="G34" s="38">
        <v>0</v>
      </c>
      <c r="H34" s="38">
        <f t="shared" si="1"/>
        <v>55949.735000000001</v>
      </c>
      <c r="I34" s="38"/>
      <c r="J34" s="38">
        <v>0</v>
      </c>
      <c r="K34" s="38">
        <f>+H34</f>
        <v>55949.735000000001</v>
      </c>
      <c r="L34" s="38">
        <v>0</v>
      </c>
      <c r="M34" s="38">
        <f>+J34+K34+L34</f>
        <v>55949.735000000001</v>
      </c>
      <c r="N34" s="38">
        <f>+H34-M34</f>
        <v>0</v>
      </c>
      <c r="O34" s="224"/>
      <c r="P34" s="224"/>
    </row>
    <row r="35" spans="2:20" ht="25.5">
      <c r="B35" s="107">
        <f>+B34+1</f>
        <v>12</v>
      </c>
      <c r="C35" s="107"/>
      <c r="D35" s="103" t="s">
        <v>765</v>
      </c>
      <c r="F35" s="10">
        <f>SUM(F32:F34)</f>
        <v>794301.42700000003</v>
      </c>
      <c r="G35" s="10">
        <f>SUM(G32:G34)</f>
        <v>716195</v>
      </c>
      <c r="H35" s="10">
        <f t="shared" ref="H35:N35" si="2">SUM(H32:H34)</f>
        <v>78106.426999999996</v>
      </c>
      <c r="I35" s="10"/>
      <c r="J35" s="10">
        <f t="shared" si="2"/>
        <v>22156.691999999999</v>
      </c>
      <c r="K35" s="10">
        <f t="shared" si="2"/>
        <v>55949.735000000001</v>
      </c>
      <c r="L35" s="10">
        <f t="shared" si="2"/>
        <v>0</v>
      </c>
      <c r="M35" s="10">
        <f>SUM(M32:M34)</f>
        <v>78106.426999999996</v>
      </c>
      <c r="N35" s="10">
        <f t="shared" si="2"/>
        <v>0</v>
      </c>
      <c r="O35" s="110"/>
      <c r="P35" s="224"/>
    </row>
    <row r="36" spans="2:20">
      <c r="B36" s="107"/>
      <c r="C36" s="107"/>
      <c r="D36" s="379"/>
      <c r="F36" s="10"/>
      <c r="G36" s="10"/>
      <c r="H36" s="10"/>
      <c r="I36" s="10"/>
      <c r="J36" s="10"/>
      <c r="K36" s="10"/>
      <c r="L36" s="10"/>
      <c r="M36" s="10"/>
      <c r="N36" s="10"/>
      <c r="O36" s="110"/>
      <c r="P36" s="224"/>
    </row>
    <row r="37" spans="2:20">
      <c r="B37" s="107">
        <f>+B35+1</f>
        <v>13</v>
      </c>
      <c r="C37" s="107"/>
      <c r="D37" s="88" t="s">
        <v>766</v>
      </c>
      <c r="F37" s="38">
        <v>303626</v>
      </c>
      <c r="G37" s="38">
        <f>+H10</f>
        <v>24422</v>
      </c>
      <c r="H37" s="38">
        <f t="shared" si="1"/>
        <v>279204</v>
      </c>
      <c r="I37" s="38"/>
      <c r="J37" s="38">
        <f>+H15</f>
        <v>1230</v>
      </c>
      <c r="K37" s="38">
        <f>+H12</f>
        <v>1908</v>
      </c>
      <c r="L37" s="38">
        <v>0</v>
      </c>
      <c r="M37" s="38">
        <f>+J37+K37+L37</f>
        <v>3138</v>
      </c>
      <c r="N37" s="38">
        <f>+H37-M37</f>
        <v>276066</v>
      </c>
    </row>
    <row r="38" spans="2:20">
      <c r="B38" s="107"/>
      <c r="C38" s="107"/>
      <c r="F38" s="110" t="s">
        <v>724</v>
      </c>
      <c r="G38" s="110" t="s">
        <v>724</v>
      </c>
      <c r="H38" s="110" t="s">
        <v>724</v>
      </c>
      <c r="I38" s="110"/>
      <c r="J38" s="110" t="s">
        <v>724</v>
      </c>
      <c r="K38" s="110" t="s">
        <v>724</v>
      </c>
      <c r="L38" s="110" t="s">
        <v>724</v>
      </c>
      <c r="M38" s="110" t="s">
        <v>724</v>
      </c>
      <c r="N38" s="110" t="s">
        <v>724</v>
      </c>
      <c r="P38" s="233"/>
    </row>
    <row r="39" spans="2:20" ht="25.5" customHeight="1">
      <c r="B39" s="107">
        <f>+B37+1</f>
        <v>14</v>
      </c>
      <c r="C39" s="107"/>
      <c r="D39" s="103" t="s">
        <v>767</v>
      </c>
      <c r="F39" s="38">
        <f>+F30+F35+F37</f>
        <v>6579196.4270000001</v>
      </c>
      <c r="G39" s="38">
        <f>+G30+G35+G37</f>
        <v>740617</v>
      </c>
      <c r="H39" s="38">
        <f>+H30+H35+H37</f>
        <v>5838579.4270000001</v>
      </c>
      <c r="I39" s="38"/>
      <c r="J39" s="38">
        <f>+J30+J35+J37</f>
        <v>23386.691999999999</v>
      </c>
      <c r="K39" s="38">
        <f>+K30+K35+K37</f>
        <v>57857.735000000001</v>
      </c>
      <c r="L39" s="38">
        <f>+L30+L35+L37</f>
        <v>0</v>
      </c>
      <c r="M39" s="38">
        <f>+M30+M35+M37</f>
        <v>81244.426999999996</v>
      </c>
      <c r="N39" s="38">
        <f>+N30+N35+N37</f>
        <v>5757335</v>
      </c>
      <c r="O39" s="38"/>
      <c r="P39" s="233"/>
      <c r="Q39" s="38"/>
      <c r="R39" s="38"/>
      <c r="S39" s="38"/>
      <c r="T39" s="38"/>
    </row>
    <row r="40" spans="2:20">
      <c r="B40" s="107"/>
      <c r="C40" s="107"/>
      <c r="F40" s="110" t="s">
        <v>724</v>
      </c>
      <c r="G40" s="110" t="s">
        <v>724</v>
      </c>
      <c r="H40" s="110" t="s">
        <v>724</v>
      </c>
      <c r="I40" s="110"/>
      <c r="J40" s="110" t="s">
        <v>724</v>
      </c>
      <c r="K40" s="110" t="s">
        <v>724</v>
      </c>
      <c r="L40" s="110" t="s">
        <v>724</v>
      </c>
      <c r="M40" s="110" t="s">
        <v>724</v>
      </c>
      <c r="N40" s="110" t="s">
        <v>724</v>
      </c>
      <c r="O40" s="224"/>
      <c r="P40" s="233"/>
    </row>
    <row r="41" spans="2:20">
      <c r="B41" s="107">
        <f>+B39+1</f>
        <v>15</v>
      </c>
      <c r="C41" s="107"/>
      <c r="D41" s="108" t="s">
        <v>768</v>
      </c>
      <c r="F41" s="38"/>
      <c r="G41" s="38"/>
      <c r="H41" s="224">
        <v>1</v>
      </c>
      <c r="I41" s="224"/>
      <c r="J41" s="224"/>
      <c r="K41" s="224"/>
      <c r="L41" s="224"/>
      <c r="M41" s="234">
        <f>ROUND(M39/H39,3)</f>
        <v>1.4E-2</v>
      </c>
      <c r="N41" s="234">
        <f>+H41-M41</f>
        <v>0.98599999999999999</v>
      </c>
      <c r="P41" s="233"/>
    </row>
    <row r="42" spans="2:20">
      <c r="B42" s="107"/>
      <c r="C42" s="107"/>
      <c r="F42" s="110"/>
      <c r="G42" s="110"/>
      <c r="H42" s="110" t="s">
        <v>594</v>
      </c>
      <c r="I42" s="110"/>
      <c r="J42" s="110" t="s">
        <v>594</v>
      </c>
      <c r="K42" s="110" t="s">
        <v>594</v>
      </c>
      <c r="L42" s="110" t="s">
        <v>594</v>
      </c>
      <c r="M42" s="110" t="s">
        <v>594</v>
      </c>
      <c r="N42" s="110" t="s">
        <v>594</v>
      </c>
      <c r="P42" s="233"/>
    </row>
    <row r="43" spans="2:20">
      <c r="B43" s="107"/>
      <c r="C43" s="107"/>
      <c r="D43" s="108"/>
      <c r="F43" s="38"/>
      <c r="G43" s="38"/>
      <c r="H43" s="107"/>
      <c r="I43" s="107"/>
      <c r="J43" s="38"/>
      <c r="K43" s="107"/>
      <c r="L43" s="38"/>
      <c r="M43" s="38"/>
      <c r="N43" s="38"/>
      <c r="P43" s="233"/>
    </row>
    <row r="44" spans="2:20" ht="59.25" customHeight="1">
      <c r="B44" s="107"/>
      <c r="C44" s="107"/>
      <c r="F44" s="38"/>
      <c r="G44" s="38"/>
      <c r="H44" s="38"/>
      <c r="I44" s="38"/>
      <c r="J44" s="38"/>
      <c r="K44" s="38"/>
      <c r="L44" s="38"/>
      <c r="M44" s="38"/>
      <c r="N44" s="38"/>
    </row>
    <row r="45" spans="2:20">
      <c r="B45" s="107"/>
      <c r="C45" s="107"/>
      <c r="F45" s="38"/>
      <c r="G45" s="38"/>
      <c r="H45" s="38"/>
      <c r="I45" s="38"/>
      <c r="J45" s="38"/>
      <c r="K45" s="38"/>
      <c r="L45" s="38"/>
      <c r="M45" s="38"/>
      <c r="N45" s="38"/>
    </row>
    <row r="46" spans="2:20">
      <c r="B46" s="107"/>
      <c r="C46" s="107"/>
      <c r="F46" s="38"/>
    </row>
    <row r="47" spans="2:20">
      <c r="F47" s="38"/>
    </row>
  </sheetData>
  <printOptions horizontalCentered="1"/>
  <pageMargins left="0" right="0" top="0.75" bottom="0" header="0.5" footer="0"/>
  <pageSetup scale="74" orientation="landscape" r:id="rId1"/>
  <headerFooter alignWithMargins="0">
    <oddHeader xml:space="preserve">&amp;CKENTUCKY POWER COMPANY
TEST YEAR ENDED FEBRUARY 28, 2017&amp;RSECTION V
SCHEDULE 10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130" zoomScaleNormal="130" workbookViewId="0">
      <selection activeCell="G16" sqref="G16"/>
    </sheetView>
  </sheetViews>
  <sheetFormatPr defaultRowHeight="12.75"/>
  <cols>
    <col min="1" max="1" width="5.140625" bestFit="1" customWidth="1"/>
    <col min="2" max="2" width="2.140625" customWidth="1"/>
    <col min="3" max="3" width="25.140625" customWidth="1"/>
    <col min="4" max="4" width="2.140625" customWidth="1"/>
    <col min="5" max="5" width="10.42578125" bestFit="1" customWidth="1"/>
    <col min="6" max="6" width="2.140625" customWidth="1"/>
    <col min="7" max="7" width="10" customWidth="1"/>
    <col min="8" max="8" width="2.140625" customWidth="1"/>
    <col min="9" max="9" width="14.140625" bestFit="1" customWidth="1"/>
    <col min="10" max="10" width="2.140625" customWidth="1"/>
    <col min="11" max="11" width="14" bestFit="1" customWidth="1"/>
    <col min="13" max="13" width="15" bestFit="1" customWidth="1"/>
    <col min="16" max="16" width="12.5703125" customWidth="1"/>
  </cols>
  <sheetData>
    <row r="1" spans="1:13">
      <c r="A1" s="34"/>
      <c r="B1" s="3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>
      <c r="A2" s="437"/>
      <c r="B2" s="438"/>
      <c r="C2" s="438"/>
      <c r="D2" s="438"/>
      <c r="E2" s="438"/>
      <c r="F2" s="438"/>
      <c r="G2" s="438"/>
      <c r="H2" s="438"/>
      <c r="I2" s="438"/>
      <c r="J2" s="26"/>
      <c r="K2" s="26"/>
      <c r="L2" s="26"/>
      <c r="M2" s="26"/>
    </row>
    <row r="3" spans="1:13">
      <c r="A3" s="439" t="s">
        <v>847</v>
      </c>
      <c r="B3" s="439"/>
      <c r="C3" s="439"/>
      <c r="D3" s="439"/>
      <c r="E3" s="439"/>
      <c r="F3" s="439"/>
      <c r="G3" s="439"/>
      <c r="H3" s="439"/>
      <c r="I3" s="439"/>
      <c r="J3" s="26"/>
      <c r="K3" s="26"/>
      <c r="L3" s="26"/>
      <c r="M3" s="26"/>
    </row>
    <row r="5" spans="1:13">
      <c r="A5" s="437"/>
      <c r="B5" s="440"/>
      <c r="C5" s="440"/>
      <c r="D5" s="440"/>
      <c r="E5" s="440"/>
      <c r="F5" s="440"/>
      <c r="G5" s="440"/>
      <c r="H5" s="440"/>
      <c r="I5" s="440"/>
      <c r="J5" s="26"/>
      <c r="K5" s="26"/>
      <c r="L5" s="26"/>
      <c r="M5" s="26"/>
    </row>
    <row r="7" spans="1:13" ht="25.5">
      <c r="A7" s="32" t="s">
        <v>335</v>
      </c>
      <c r="B7" s="26"/>
      <c r="C7" s="36" t="s">
        <v>336</v>
      </c>
      <c r="D7" s="26"/>
      <c r="E7" s="36" t="s">
        <v>337</v>
      </c>
      <c r="F7" s="26"/>
      <c r="G7" s="36" t="s">
        <v>338</v>
      </c>
      <c r="H7" s="26"/>
      <c r="I7" s="36" t="s">
        <v>339</v>
      </c>
      <c r="J7" s="26"/>
      <c r="K7" s="26"/>
      <c r="L7" s="26"/>
      <c r="M7" s="26"/>
    </row>
    <row r="8" spans="1:13">
      <c r="A8" s="33">
        <v>-1</v>
      </c>
      <c r="B8" s="33"/>
      <c r="C8" s="37">
        <v>-2</v>
      </c>
      <c r="D8" s="33"/>
      <c r="E8" s="37">
        <v>-3</v>
      </c>
      <c r="F8" s="33"/>
      <c r="G8" s="37">
        <v>-4</v>
      </c>
      <c r="H8" s="33"/>
      <c r="I8" s="37">
        <v>-5</v>
      </c>
      <c r="J8" s="33"/>
      <c r="K8" s="33"/>
      <c r="L8" s="33"/>
      <c r="M8" s="33"/>
    </row>
    <row r="9" spans="1:13">
      <c r="A9" s="26"/>
      <c r="B9" s="26"/>
      <c r="C9" s="28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>
      <c r="A10" s="29">
        <v>1</v>
      </c>
      <c r="B10" s="26"/>
      <c r="C10" s="248" t="s">
        <v>340</v>
      </c>
      <c r="D10" s="247"/>
      <c r="E10" s="247" t="s">
        <v>341</v>
      </c>
      <c r="F10" s="247"/>
      <c r="G10" s="68">
        <f>'Sch 9'!J43</f>
        <v>0.98499999999999999</v>
      </c>
      <c r="H10" s="247"/>
      <c r="I10" s="249" t="s">
        <v>854</v>
      </c>
      <c r="J10" s="247"/>
      <c r="K10" s="247"/>
      <c r="L10" s="26"/>
      <c r="M10" s="26"/>
    </row>
    <row r="11" spans="1:13">
      <c r="A11" s="29"/>
      <c r="B11" s="26"/>
      <c r="C11" s="28"/>
      <c r="D11" s="26"/>
      <c r="E11" s="26"/>
      <c r="F11" s="26"/>
      <c r="G11" s="68"/>
      <c r="H11" s="26"/>
      <c r="I11" s="31"/>
      <c r="J11" s="26"/>
      <c r="K11" s="26"/>
      <c r="L11" s="26"/>
      <c r="M11" s="26"/>
    </row>
    <row r="12" spans="1:13">
      <c r="A12" s="29">
        <v>2</v>
      </c>
      <c r="B12" s="26"/>
      <c r="C12" s="28" t="s">
        <v>342</v>
      </c>
      <c r="D12" s="26"/>
      <c r="E12" s="26" t="s">
        <v>343</v>
      </c>
      <c r="F12" s="26"/>
      <c r="G12" s="68">
        <f>'Sch 9'!J43</f>
        <v>0.98499999999999999</v>
      </c>
      <c r="H12" s="26"/>
      <c r="I12" s="31" t="s">
        <v>854</v>
      </c>
      <c r="J12" s="26"/>
      <c r="K12" s="26"/>
      <c r="L12" s="26"/>
      <c r="M12" s="26"/>
    </row>
    <row r="13" spans="1:13">
      <c r="A13" s="29"/>
      <c r="B13" s="26"/>
      <c r="C13" s="28"/>
      <c r="D13" s="26"/>
      <c r="E13" s="26"/>
      <c r="F13" s="26"/>
      <c r="G13" s="68"/>
      <c r="H13" s="26"/>
      <c r="I13" s="31"/>
      <c r="J13" s="26"/>
      <c r="K13" s="26"/>
      <c r="L13" s="26"/>
      <c r="M13" s="26"/>
    </row>
    <row r="14" spans="1:13">
      <c r="A14" s="29">
        <v>3</v>
      </c>
      <c r="B14" s="26"/>
      <c r="C14" s="28" t="s">
        <v>154</v>
      </c>
      <c r="D14" s="26"/>
      <c r="E14" s="26" t="s">
        <v>344</v>
      </c>
      <c r="F14" s="26"/>
      <c r="G14" s="68">
        <f>'Sch 10'!N41</f>
        <v>0.98599999999999999</v>
      </c>
      <c r="H14" s="26"/>
      <c r="I14" s="31" t="s">
        <v>855</v>
      </c>
      <c r="J14" s="26"/>
      <c r="K14" s="26"/>
      <c r="L14" s="26"/>
      <c r="M14" s="26"/>
    </row>
    <row r="15" spans="1:13">
      <c r="A15" s="29"/>
      <c r="B15" s="26"/>
      <c r="C15" s="28"/>
      <c r="D15" s="26"/>
      <c r="E15" s="26"/>
      <c r="F15" s="26"/>
      <c r="G15" s="30"/>
      <c r="H15" s="26"/>
      <c r="I15" s="31"/>
      <c r="J15" s="26"/>
      <c r="K15" s="26"/>
      <c r="L15" s="26"/>
      <c r="M15" s="26"/>
    </row>
    <row r="16" spans="1:13">
      <c r="A16" s="29">
        <v>4</v>
      </c>
      <c r="B16" s="26"/>
      <c r="C16" s="28" t="s">
        <v>345</v>
      </c>
      <c r="D16" s="26"/>
      <c r="E16" s="26" t="s">
        <v>346</v>
      </c>
      <c r="F16" s="26"/>
      <c r="G16" s="30">
        <f>ROUND(('Sch 4'!E173)/('Sch 4'!C173),3)</f>
        <v>0.98499999999999999</v>
      </c>
      <c r="H16" s="26"/>
      <c r="I16" s="31" t="s">
        <v>858</v>
      </c>
      <c r="J16" s="26"/>
      <c r="K16" s="26"/>
      <c r="L16" s="26"/>
      <c r="M16" s="26"/>
    </row>
    <row r="17" spans="1:16">
      <c r="A17" s="29"/>
      <c r="B17" s="26"/>
      <c r="C17" s="28"/>
      <c r="D17" s="26"/>
      <c r="E17" s="26"/>
      <c r="F17" s="26"/>
      <c r="G17" s="30"/>
      <c r="H17" s="26"/>
      <c r="I17" s="26"/>
    </row>
    <row r="18" spans="1:16">
      <c r="A18" s="29">
        <v>5</v>
      </c>
      <c r="B18" s="26"/>
      <c r="C18" s="28" t="s">
        <v>347</v>
      </c>
      <c r="D18" s="26"/>
      <c r="E18" s="26" t="s">
        <v>348</v>
      </c>
      <c r="F18" s="26"/>
      <c r="G18" s="30">
        <f>ROUND(('Sch 4'!E175)/('Sch 4'!C175),3)</f>
        <v>0.999</v>
      </c>
      <c r="H18" s="26"/>
      <c r="I18" s="31" t="s">
        <v>859</v>
      </c>
    </row>
    <row r="19" spans="1:16">
      <c r="A19" s="29"/>
      <c r="B19" s="26"/>
      <c r="C19" s="28"/>
      <c r="D19" s="26"/>
      <c r="E19" s="26"/>
      <c r="F19" s="26"/>
      <c r="G19" s="30"/>
      <c r="H19" s="26"/>
      <c r="I19" s="26"/>
    </row>
    <row r="20" spans="1:16">
      <c r="A20" s="29">
        <v>6</v>
      </c>
      <c r="B20" s="26"/>
      <c r="C20" s="28" t="s">
        <v>349</v>
      </c>
      <c r="D20" s="26"/>
      <c r="E20" s="26" t="s">
        <v>350</v>
      </c>
      <c r="F20" s="26"/>
      <c r="G20" s="30">
        <f>ROUND(('Sch 4'!E177)/('Sch 4'!C177),3)</f>
        <v>0.99299999999999999</v>
      </c>
      <c r="H20" s="26"/>
      <c r="I20" s="31" t="s">
        <v>860</v>
      </c>
    </row>
    <row r="21" spans="1:16">
      <c r="A21" s="29"/>
      <c r="B21" s="26"/>
      <c r="C21" s="28"/>
      <c r="D21" s="26"/>
      <c r="E21" s="26"/>
      <c r="F21" s="26"/>
      <c r="G21" s="30"/>
      <c r="H21" s="26"/>
      <c r="I21" s="26"/>
    </row>
    <row r="22" spans="1:16">
      <c r="A22" s="29">
        <v>7</v>
      </c>
      <c r="B22" s="26"/>
      <c r="C22" s="28" t="s">
        <v>351</v>
      </c>
      <c r="D22" s="26"/>
      <c r="E22" s="26" t="s">
        <v>352</v>
      </c>
      <c r="F22" s="26"/>
      <c r="G22" s="68">
        <f>ROUND('Sch 4'!E181/'Sch 4'!C181,3)</f>
        <v>0.98499999999999999</v>
      </c>
      <c r="H22" s="26"/>
      <c r="I22" s="31" t="s">
        <v>969</v>
      </c>
      <c r="K22" s="39"/>
      <c r="L22" s="69"/>
      <c r="M22" s="46"/>
    </row>
    <row r="23" spans="1:16">
      <c r="A23" s="29"/>
      <c r="B23" s="26"/>
      <c r="C23" s="28"/>
      <c r="D23" s="26"/>
      <c r="E23" s="26"/>
      <c r="F23" s="26"/>
      <c r="G23" s="30"/>
      <c r="H23" s="26"/>
      <c r="I23" s="26"/>
      <c r="M23" s="46"/>
    </row>
    <row r="24" spans="1:16">
      <c r="A24" s="29">
        <v>8</v>
      </c>
      <c r="B24" s="26"/>
      <c r="C24" s="28" t="s">
        <v>353</v>
      </c>
      <c r="D24" s="26"/>
      <c r="E24" s="27" t="s">
        <v>354</v>
      </c>
      <c r="F24" s="26"/>
      <c r="G24" s="68">
        <f>ROUND('Sch 4'!E179/'Sch 4'!C179,3)</f>
        <v>0.98499999999999999</v>
      </c>
      <c r="H24" s="26"/>
      <c r="I24" s="31" t="s">
        <v>861</v>
      </c>
      <c r="K24" s="79"/>
      <c r="M24" s="80"/>
    </row>
    <row r="25" spans="1:16">
      <c r="A25" s="29"/>
      <c r="B25" s="26"/>
      <c r="C25" s="28"/>
      <c r="D25" s="26"/>
      <c r="E25" s="26"/>
      <c r="F25" s="26"/>
      <c r="G25" s="30"/>
      <c r="H25" s="26"/>
      <c r="I25" s="26"/>
      <c r="M25" s="46"/>
    </row>
    <row r="26" spans="1:16">
      <c r="A26" s="29">
        <v>9</v>
      </c>
      <c r="B26" s="26"/>
      <c r="C26" s="248" t="s">
        <v>297</v>
      </c>
      <c r="D26" s="247"/>
      <c r="E26" s="247" t="s">
        <v>355</v>
      </c>
      <c r="F26" s="247"/>
      <c r="G26" s="68">
        <f>ROUND('Sch 4'!E45/('Sch 4'!C45-('Sch 4'!C169-'Sch 4'!C199)),3)</f>
        <v>0.98499999999999999</v>
      </c>
      <c r="H26" s="247"/>
      <c r="I26" s="249" t="s">
        <v>862</v>
      </c>
      <c r="J26" s="94"/>
      <c r="K26" s="1"/>
      <c r="L26" s="73"/>
      <c r="M26" s="81"/>
      <c r="P26" s="39"/>
    </row>
    <row r="27" spans="1:16">
      <c r="A27" s="29"/>
      <c r="B27" s="26"/>
      <c r="C27" s="28"/>
      <c r="D27" s="26"/>
      <c r="E27" s="26"/>
      <c r="F27" s="26"/>
      <c r="G27" s="30"/>
      <c r="H27" s="26"/>
      <c r="I27" s="26"/>
      <c r="K27" s="1"/>
      <c r="L27" s="40"/>
      <c r="M27" s="81"/>
      <c r="P27" s="70"/>
    </row>
    <row r="28" spans="1:16">
      <c r="A28" s="29">
        <v>10</v>
      </c>
      <c r="B28" s="26"/>
      <c r="C28" s="28" t="s">
        <v>356</v>
      </c>
      <c r="D28" s="26"/>
      <c r="E28" s="26" t="s">
        <v>357</v>
      </c>
      <c r="F28" s="26"/>
      <c r="G28" s="68">
        <f>ROUND('Sch 4'!E439/'Sch 4'!C439,3)</f>
        <v>0.98</v>
      </c>
      <c r="H28" s="26"/>
      <c r="I28" s="31" t="s">
        <v>857</v>
      </c>
      <c r="K28" s="1"/>
      <c r="L28" s="40"/>
      <c r="M28" s="82"/>
    </row>
    <row r="29" spans="1:16">
      <c r="A29" s="29"/>
      <c r="B29" s="26"/>
      <c r="C29" s="28"/>
      <c r="D29" s="26"/>
      <c r="E29" s="26"/>
      <c r="F29" s="26"/>
      <c r="G29" s="68"/>
      <c r="H29" s="26"/>
      <c r="I29" s="26"/>
      <c r="K29" s="72"/>
      <c r="L29" s="72"/>
      <c r="M29" s="82"/>
    </row>
    <row r="30" spans="1:16">
      <c r="A30" s="29">
        <v>11</v>
      </c>
      <c r="B30" s="26"/>
      <c r="C30" s="28" t="s">
        <v>358</v>
      </c>
      <c r="D30" s="26"/>
      <c r="E30" s="26" t="s">
        <v>359</v>
      </c>
      <c r="F30" s="26"/>
      <c r="G30" s="68">
        <f>ROUND('Sch 4'!E441/'Sch 4'!C441,3)</f>
        <v>0.99</v>
      </c>
      <c r="H30" s="26"/>
      <c r="I30" s="31" t="s">
        <v>856</v>
      </c>
      <c r="K30" s="72"/>
      <c r="L30" s="72"/>
      <c r="M30" s="82"/>
    </row>
    <row r="31" spans="1:16">
      <c r="A31" s="29"/>
      <c r="B31" s="26"/>
      <c r="C31" s="28"/>
      <c r="D31" s="26"/>
      <c r="E31" s="26"/>
      <c r="F31" s="26"/>
      <c r="G31" s="30"/>
      <c r="H31" s="26"/>
      <c r="I31" s="26"/>
      <c r="K31" s="74"/>
      <c r="L31" s="72"/>
      <c r="M31" s="82"/>
    </row>
    <row r="32" spans="1:16">
      <c r="A32" s="29">
        <v>12</v>
      </c>
      <c r="B32" s="26"/>
      <c r="C32" s="28" t="s">
        <v>360</v>
      </c>
      <c r="D32" s="26"/>
      <c r="E32" s="26" t="s">
        <v>361</v>
      </c>
      <c r="F32" s="26"/>
      <c r="G32" s="67">
        <f>ROUND('Sch 4'!E303/'Sch 4'!C303,3)</f>
        <v>0.98299999999999998</v>
      </c>
      <c r="H32" s="26"/>
      <c r="I32" s="31" t="s">
        <v>970</v>
      </c>
      <c r="K32" s="72"/>
      <c r="L32" s="72"/>
      <c r="M32" s="82"/>
    </row>
    <row r="33" spans="1:16">
      <c r="A33" s="29"/>
      <c r="B33" s="26"/>
      <c r="C33" s="28"/>
      <c r="D33" s="26"/>
      <c r="E33" s="26"/>
      <c r="F33" s="26"/>
      <c r="G33" s="46"/>
      <c r="H33" s="26"/>
      <c r="I33" s="26"/>
      <c r="K33" s="72"/>
      <c r="L33" s="72"/>
      <c r="M33" s="82"/>
    </row>
    <row r="34" spans="1:16" ht="12.75" customHeight="1">
      <c r="A34" s="29">
        <v>13</v>
      </c>
      <c r="B34" s="26"/>
      <c r="C34" s="28" t="s">
        <v>362</v>
      </c>
      <c r="D34" s="26"/>
      <c r="E34" s="28" t="s">
        <v>362</v>
      </c>
      <c r="F34" s="26"/>
      <c r="G34" s="46">
        <v>1</v>
      </c>
      <c r="H34" s="26"/>
      <c r="I34" s="31" t="s">
        <v>363</v>
      </c>
      <c r="K34" s="72"/>
      <c r="L34" s="72"/>
      <c r="M34" s="82"/>
    </row>
    <row r="35" spans="1:16">
      <c r="A35" s="29"/>
      <c r="B35" s="26"/>
      <c r="C35" s="28"/>
      <c r="D35" s="26"/>
      <c r="E35" s="26"/>
      <c r="F35" s="26"/>
      <c r="G35" s="30"/>
      <c r="H35" s="26"/>
      <c r="I35" s="31"/>
      <c r="K35" s="72"/>
      <c r="L35" s="72"/>
      <c r="M35" s="82"/>
      <c r="P35" s="70"/>
    </row>
    <row r="36" spans="1:16">
      <c r="A36" s="29">
        <f>A34+1</f>
        <v>14</v>
      </c>
      <c r="B36" s="26"/>
      <c r="C36" s="28" t="s">
        <v>703</v>
      </c>
      <c r="D36" s="26"/>
      <c r="E36" s="26" t="s">
        <v>704</v>
      </c>
      <c r="F36" s="26"/>
      <c r="G36" s="30">
        <f>165242/165244</f>
        <v>0.99998789668611265</v>
      </c>
      <c r="H36" s="26"/>
      <c r="I36" s="31" t="s">
        <v>363</v>
      </c>
      <c r="K36" s="72"/>
      <c r="L36" s="72"/>
      <c r="M36" s="82"/>
    </row>
    <row r="37" spans="1:16">
      <c r="A37" s="29"/>
      <c r="B37" s="26"/>
      <c r="C37" s="28"/>
      <c r="D37" s="26"/>
      <c r="E37" s="26"/>
      <c r="F37" s="26"/>
      <c r="G37" s="30"/>
      <c r="H37" s="26"/>
      <c r="I37" s="31"/>
      <c r="K37" s="72"/>
      <c r="L37" s="72"/>
      <c r="M37" s="72"/>
    </row>
    <row r="38" spans="1:16">
      <c r="A38" s="29">
        <v>15</v>
      </c>
      <c r="B38" s="26"/>
      <c r="C38" s="28" t="s">
        <v>927</v>
      </c>
      <c r="D38" s="26"/>
      <c r="E38" s="26" t="s">
        <v>927</v>
      </c>
      <c r="F38" s="26"/>
      <c r="G38" s="30">
        <f>ROUND(('Sch 6'!K55*'Allocation Factors'!G10)+('Sch 6'!M55*'Allocation Factors'!G14),3)</f>
        <v>0.98499999999999999</v>
      </c>
      <c r="H38" s="26"/>
      <c r="I38" s="31" t="s">
        <v>928</v>
      </c>
      <c r="K38" s="72"/>
      <c r="L38" s="72"/>
      <c r="M38" s="72"/>
    </row>
    <row r="39" spans="1:16">
      <c r="A39" s="29"/>
      <c r="B39" s="26"/>
      <c r="C39" s="28"/>
      <c r="D39" s="26"/>
      <c r="E39" s="26"/>
      <c r="F39" s="26"/>
      <c r="G39" s="30"/>
      <c r="H39" s="26"/>
      <c r="I39" s="31"/>
      <c r="K39" s="40"/>
      <c r="L39" s="72"/>
      <c r="M39" s="40"/>
    </row>
    <row r="40" spans="1:16">
      <c r="A40" s="29"/>
      <c r="B40" s="26"/>
      <c r="C40" s="28"/>
      <c r="D40" s="26"/>
      <c r="E40" s="26"/>
      <c r="F40" s="26"/>
      <c r="G40" s="30"/>
      <c r="H40" s="26"/>
      <c r="I40" s="31"/>
      <c r="K40" s="40"/>
      <c r="L40" s="72"/>
      <c r="M40" s="40"/>
    </row>
    <row r="41" spans="1:16">
      <c r="A41" s="29"/>
      <c r="B41" s="26"/>
      <c r="C41" s="28"/>
      <c r="D41" s="26"/>
      <c r="E41" s="26"/>
      <c r="F41" s="26"/>
      <c r="G41" s="30"/>
      <c r="H41" s="45"/>
      <c r="I41" s="31"/>
      <c r="J41" s="71"/>
      <c r="K41" s="40"/>
      <c r="L41" s="72"/>
      <c r="M41" s="40"/>
    </row>
    <row r="42" spans="1:16">
      <c r="A42" s="29"/>
      <c r="B42" s="26"/>
      <c r="C42" s="28"/>
      <c r="D42" s="26"/>
      <c r="E42" s="26"/>
      <c r="F42" s="26"/>
      <c r="G42" s="30"/>
      <c r="H42" s="26"/>
      <c r="I42" s="31"/>
      <c r="K42" s="75"/>
      <c r="L42" s="40"/>
      <c r="M42" s="75"/>
    </row>
    <row r="43" spans="1:16">
      <c r="A43" s="29"/>
      <c r="B43" s="26"/>
      <c r="C43" s="28"/>
      <c r="D43" s="26"/>
      <c r="E43" s="77"/>
      <c r="F43" s="77"/>
      <c r="G43" s="76"/>
      <c r="H43" s="77"/>
      <c r="I43" s="78"/>
      <c r="J43" s="40"/>
      <c r="K43" s="40"/>
      <c r="L43" s="40"/>
      <c r="M43" s="40"/>
      <c r="N43" s="40"/>
      <c r="O43" s="40"/>
    </row>
    <row r="44" spans="1:16">
      <c r="A44" s="29"/>
      <c r="B44" s="26"/>
      <c r="C44" s="28"/>
      <c r="D44" s="26"/>
      <c r="E44" s="77"/>
      <c r="F44" s="77"/>
      <c r="G44" s="76"/>
      <c r="H44" s="77"/>
      <c r="I44" s="78"/>
      <c r="J44" s="40"/>
      <c r="K44" s="75"/>
      <c r="L44" s="40"/>
      <c r="M44" s="75"/>
      <c r="N44" s="40"/>
      <c r="O44" s="40"/>
    </row>
    <row r="45" spans="1:16">
      <c r="A45" s="29"/>
      <c r="B45" s="26"/>
      <c r="C45" s="28"/>
      <c r="D45" s="26"/>
      <c r="E45" s="77"/>
      <c r="F45" s="77"/>
      <c r="G45" s="76"/>
      <c r="H45" s="77"/>
      <c r="I45" s="78"/>
      <c r="J45" s="40"/>
      <c r="K45" s="40"/>
      <c r="L45" s="40"/>
      <c r="M45" s="75"/>
      <c r="N45" s="40"/>
      <c r="O45" s="40"/>
    </row>
    <row r="46" spans="1:16" s="71" customFormat="1">
      <c r="A46" s="29"/>
      <c r="B46" s="45"/>
      <c r="C46" s="28"/>
      <c r="D46" s="45"/>
      <c r="E46" s="77"/>
      <c r="F46" s="77"/>
      <c r="G46" s="76"/>
      <c r="H46" s="77"/>
      <c r="I46" s="78"/>
      <c r="J46" s="40"/>
      <c r="K46" s="40"/>
      <c r="L46" s="40"/>
      <c r="M46" s="75"/>
      <c r="N46" s="40"/>
      <c r="O46" s="40"/>
    </row>
    <row r="47" spans="1:16" s="71" customFormat="1">
      <c r="A47" s="29"/>
      <c r="B47" s="45"/>
      <c r="C47" s="28"/>
      <c r="D47" s="45"/>
      <c r="E47" s="77"/>
      <c r="F47" s="77"/>
      <c r="G47" s="76"/>
      <c r="H47" s="77"/>
      <c r="I47" s="78"/>
      <c r="J47" s="40"/>
      <c r="K47" s="1"/>
      <c r="L47" s="40"/>
      <c r="M47" s="75"/>
      <c r="N47" s="40"/>
      <c r="O47" s="40"/>
    </row>
    <row r="48" spans="1:16">
      <c r="A48" s="29"/>
      <c r="B48" s="26"/>
      <c r="C48" s="28"/>
      <c r="D48" s="26"/>
      <c r="E48" s="77"/>
      <c r="F48" s="77"/>
      <c r="G48" s="76"/>
      <c r="H48" s="77"/>
      <c r="I48" s="78"/>
      <c r="J48" s="40"/>
      <c r="K48" s="1"/>
      <c r="L48" s="40"/>
      <c r="M48" s="75"/>
      <c r="N48" s="40"/>
      <c r="O48" s="40"/>
    </row>
    <row r="49" spans="1:15">
      <c r="A49" s="29"/>
      <c r="B49" s="26"/>
      <c r="C49" s="28"/>
      <c r="D49" s="26"/>
      <c r="E49" s="77"/>
      <c r="F49" s="77"/>
      <c r="G49" s="76"/>
      <c r="H49" s="77"/>
      <c r="I49" s="78"/>
      <c r="J49" s="40"/>
      <c r="K49" s="1"/>
      <c r="L49" s="40"/>
      <c r="M49" s="75"/>
      <c r="N49" s="40"/>
      <c r="O49" s="40"/>
    </row>
    <row r="50" spans="1:15">
      <c r="A50" s="29"/>
      <c r="B50" s="26"/>
      <c r="C50" s="28"/>
      <c r="D50" s="26"/>
      <c r="E50" s="77"/>
      <c r="F50" s="77"/>
      <c r="G50" s="76"/>
      <c r="H50" s="77"/>
      <c r="I50" s="78"/>
      <c r="J50" s="40"/>
      <c r="K50" s="1"/>
      <c r="L50" s="40"/>
      <c r="M50" s="75"/>
      <c r="N50" s="40"/>
      <c r="O50" s="40"/>
    </row>
    <row r="51" spans="1:15">
      <c r="E51" s="40"/>
      <c r="F51" s="40"/>
      <c r="G51" s="76"/>
      <c r="H51" s="77"/>
      <c r="I51" s="78"/>
      <c r="J51" s="40"/>
      <c r="K51" s="1"/>
      <c r="L51" s="40"/>
      <c r="M51" s="75"/>
      <c r="N51" s="40"/>
      <c r="O51" s="40"/>
    </row>
    <row r="52" spans="1:15">
      <c r="E52" s="40"/>
      <c r="F52" s="40"/>
      <c r="G52" s="76"/>
      <c r="H52" s="77"/>
      <c r="I52" s="78"/>
      <c r="J52" s="40"/>
      <c r="K52" s="72"/>
      <c r="L52" s="40"/>
      <c r="M52" s="72"/>
      <c r="N52" s="40"/>
      <c r="O52" s="40"/>
    </row>
    <row r="53" spans="1:15">
      <c r="E53" s="40"/>
      <c r="F53" s="40"/>
      <c r="G53" s="76"/>
      <c r="H53" s="77"/>
      <c r="I53" s="78"/>
      <c r="J53" s="40"/>
      <c r="K53" s="72"/>
      <c r="L53" s="40"/>
      <c r="M53" s="72"/>
      <c r="N53" s="40"/>
      <c r="O53" s="40"/>
    </row>
    <row r="54" spans="1:15">
      <c r="E54" s="40"/>
      <c r="F54" s="40"/>
      <c r="G54" s="76"/>
      <c r="H54" s="77"/>
      <c r="I54" s="78"/>
      <c r="J54" s="40"/>
      <c r="K54" s="72"/>
      <c r="L54" s="40"/>
      <c r="M54" s="72"/>
      <c r="N54" s="40"/>
      <c r="O54" s="40"/>
    </row>
    <row r="55" spans="1:15">
      <c r="E55" s="40"/>
      <c r="F55" s="40"/>
      <c r="G55" s="40"/>
      <c r="H55" s="40"/>
      <c r="I55" s="40"/>
      <c r="J55" s="40"/>
      <c r="K55" s="75"/>
      <c r="L55" s="40"/>
      <c r="M55" s="75"/>
      <c r="N55" s="40"/>
      <c r="O55" s="40"/>
    </row>
    <row r="56" spans="1:15"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>
      <c r="E57" s="40"/>
      <c r="F57" s="40"/>
      <c r="G57" s="76"/>
      <c r="H57" s="40"/>
      <c r="I57" s="40"/>
      <c r="J57" s="40"/>
      <c r="K57" s="1"/>
      <c r="L57" s="40"/>
      <c r="M57" s="1"/>
      <c r="N57" s="40"/>
      <c r="O57" s="40"/>
    </row>
    <row r="58" spans="1:15"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>
      <c r="E59" s="40"/>
      <c r="F59" s="40"/>
      <c r="G59" s="40"/>
      <c r="H59" s="40"/>
      <c r="I59" s="40"/>
      <c r="J59" s="40"/>
      <c r="K59" s="40"/>
      <c r="L59" s="40"/>
      <c r="M59" s="1"/>
      <c r="N59" s="40"/>
      <c r="O59" s="40"/>
    </row>
    <row r="60" spans="1:15">
      <c r="E60" s="40"/>
      <c r="F60" s="40"/>
      <c r="G60" s="40"/>
      <c r="H60" s="40"/>
      <c r="I60" s="40"/>
      <c r="J60" s="40"/>
      <c r="K60" s="40"/>
      <c r="L60" s="40"/>
      <c r="M60" s="1"/>
      <c r="N60" s="40"/>
      <c r="O60" s="40"/>
    </row>
    <row r="61" spans="1:15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>
      <c r="E62" s="40"/>
      <c r="F62" s="40"/>
      <c r="G62" s="40"/>
      <c r="H62" s="40"/>
      <c r="I62" s="40"/>
      <c r="J62" s="40"/>
      <c r="K62" s="75"/>
      <c r="L62" s="40"/>
      <c r="M62" s="75"/>
      <c r="N62" s="40"/>
      <c r="O62" s="40"/>
    </row>
    <row r="63" spans="1:15"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</sheetData>
  <mergeCells count="3">
    <mergeCell ref="A2:I2"/>
    <mergeCell ref="A3:I3"/>
    <mergeCell ref="A5:I5"/>
  </mergeCells>
  <printOptions horizontalCentered="1" verticalCentered="1"/>
  <pageMargins left="1" right="1" top="1" bottom="1" header="0.55000000000000004" footer="0.55000000000000004"/>
  <pageSetup scale="94" orientation="portrait" r:id="rId1"/>
  <headerFooter>
    <oddHeader xml:space="preserve">&amp;CKENTUCKY POWER COMPANY
TEST YEAR ENDED FEBRUARY 28, 2017&amp;RSECTION  V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pane xSplit="4" ySplit="8" topLeftCell="E9" activePane="bottomRight" state="frozen"/>
      <selection activeCell="B4" sqref="B4:G4"/>
      <selection pane="topRight" activeCell="B4" sqref="B4:G4"/>
      <selection pane="bottomLeft" activeCell="B4" sqref="B4:G4"/>
      <selection pane="bottomRight" activeCell="K41" sqref="K41"/>
    </sheetView>
  </sheetViews>
  <sheetFormatPr defaultColWidth="9.140625" defaultRowHeight="12.75"/>
  <cols>
    <col min="1" max="1" width="5.42578125" style="88" customWidth="1"/>
    <col min="2" max="2" width="11.28515625" style="88" bestFit="1" customWidth="1"/>
    <col min="3" max="3" width="5.7109375" style="88" bestFit="1" customWidth="1"/>
    <col min="4" max="4" width="2.28515625" style="88" customWidth="1"/>
    <col min="5" max="5" width="15.140625" style="88" customWidth="1"/>
    <col min="6" max="6" width="15.5703125" style="88" customWidth="1"/>
    <col min="7" max="7" width="2.28515625" style="88" customWidth="1"/>
    <col min="8" max="8" width="15" style="88" customWidth="1"/>
    <col min="9" max="9" width="16.7109375" style="88" customWidth="1"/>
    <col min="10" max="10" width="3.7109375" style="88" customWidth="1"/>
    <col min="11" max="11" width="40.7109375" style="88" customWidth="1"/>
    <col min="12" max="13" width="3.7109375" style="88" customWidth="1"/>
    <col min="14" max="14" width="12.7109375" style="88" customWidth="1"/>
    <col min="15" max="15" width="2.28515625" style="88" customWidth="1"/>
    <col min="16" max="16" width="12.7109375" style="88" customWidth="1"/>
    <col min="17" max="17" width="2.28515625" style="88" customWidth="1"/>
    <col min="18" max="18" width="15.7109375" style="88" customWidth="1"/>
    <col min="19" max="19" width="2.28515625" style="88" customWidth="1"/>
    <col min="20" max="20" width="12.140625" style="88" bestFit="1" customWidth="1"/>
    <col min="21" max="16384" width="9.140625" style="88"/>
  </cols>
  <sheetData>
    <row r="1" spans="1:19">
      <c r="A1" s="427" t="s">
        <v>400</v>
      </c>
      <c r="B1" s="424"/>
      <c r="C1" s="424"/>
      <c r="D1" s="424"/>
      <c r="E1" s="424"/>
      <c r="F1" s="424"/>
      <c r="G1" s="424"/>
      <c r="H1" s="424"/>
      <c r="I1" s="424"/>
      <c r="K1" s="239"/>
    </row>
    <row r="2" spans="1:19">
      <c r="A2" s="427"/>
      <c r="B2" s="424"/>
      <c r="C2" s="424"/>
      <c r="D2" s="424"/>
      <c r="E2" s="424"/>
      <c r="F2" s="424"/>
      <c r="G2" s="424"/>
      <c r="H2" s="424"/>
      <c r="I2" s="424"/>
      <c r="K2" s="239"/>
    </row>
    <row r="3" spans="1:19">
      <c r="A3" s="427" t="s">
        <v>976</v>
      </c>
      <c r="B3" s="424"/>
      <c r="C3" s="424"/>
      <c r="D3" s="424"/>
      <c r="E3" s="424"/>
      <c r="F3" s="424"/>
      <c r="G3" s="424"/>
      <c r="H3" s="424"/>
      <c r="I3" s="424"/>
      <c r="K3" s="239"/>
    </row>
    <row r="4" spans="1:19">
      <c r="K4" s="239"/>
    </row>
    <row r="5" spans="1:19">
      <c r="K5" s="239"/>
    </row>
    <row r="6" spans="1:19">
      <c r="K6" s="326" t="s">
        <v>979</v>
      </c>
    </row>
    <row r="7" spans="1:19">
      <c r="E7" s="427" t="s">
        <v>769</v>
      </c>
      <c r="F7" s="427"/>
      <c r="G7" s="239"/>
      <c r="H7" s="427" t="s">
        <v>770</v>
      </c>
      <c r="I7" s="427"/>
      <c r="K7" s="239"/>
    </row>
    <row r="8" spans="1:19" ht="25.5">
      <c r="A8" s="106" t="s">
        <v>560</v>
      </c>
      <c r="B8" s="106" t="s">
        <v>688</v>
      </c>
      <c r="C8" s="106" t="s">
        <v>771</v>
      </c>
      <c r="D8" s="104"/>
      <c r="E8" s="377" t="s">
        <v>832</v>
      </c>
      <c r="F8" s="377" t="s">
        <v>154</v>
      </c>
      <c r="H8" s="377" t="s">
        <v>833</v>
      </c>
      <c r="I8" s="377" t="s">
        <v>154</v>
      </c>
      <c r="K8" s="106" t="s">
        <v>772</v>
      </c>
      <c r="N8" s="377" t="s">
        <v>773</v>
      </c>
      <c r="O8" s="377"/>
      <c r="R8" s="377" t="s">
        <v>774</v>
      </c>
      <c r="S8" s="377"/>
    </row>
    <row r="9" spans="1:19">
      <c r="K9" s="239"/>
    </row>
    <row r="10" spans="1:19">
      <c r="A10" s="107">
        <v>1</v>
      </c>
      <c r="B10" s="110" t="s">
        <v>454</v>
      </c>
      <c r="C10" s="375" t="s">
        <v>977</v>
      </c>
      <c r="E10" s="38">
        <v>3596</v>
      </c>
      <c r="F10" s="38">
        <v>1467704</v>
      </c>
      <c r="G10" s="241"/>
      <c r="H10" s="38">
        <v>9422</v>
      </c>
      <c r="I10" s="38">
        <v>4054490</v>
      </c>
      <c r="K10" s="377"/>
      <c r="N10" s="377"/>
      <c r="O10" s="377"/>
      <c r="R10" s="377"/>
      <c r="S10" s="377"/>
    </row>
    <row r="11" spans="1:19">
      <c r="A11" s="107">
        <f>+A10+1</f>
        <v>2</v>
      </c>
      <c r="B11" s="110" t="s">
        <v>456</v>
      </c>
      <c r="C11" s="375" t="s">
        <v>977</v>
      </c>
      <c r="E11" s="38">
        <v>3809</v>
      </c>
      <c r="F11" s="38">
        <v>1593814</v>
      </c>
      <c r="G11" s="241"/>
      <c r="H11" s="38">
        <v>9679</v>
      </c>
      <c r="I11" s="38">
        <v>4225981</v>
      </c>
      <c r="K11" s="239"/>
    </row>
    <row r="12" spans="1:19">
      <c r="A12" s="107">
        <f t="shared" ref="A12:A21" si="0">+A11+1</f>
        <v>3</v>
      </c>
      <c r="B12" s="110" t="s">
        <v>457</v>
      </c>
      <c r="C12" s="375" t="s">
        <v>977</v>
      </c>
      <c r="E12" s="38">
        <v>4287</v>
      </c>
      <c r="F12" s="38">
        <v>1686036</v>
      </c>
      <c r="G12" s="241"/>
      <c r="H12" s="38">
        <v>10050</v>
      </c>
      <c r="I12" s="38">
        <v>4292112</v>
      </c>
      <c r="K12" s="239"/>
      <c r="N12" s="112"/>
      <c r="O12" s="112"/>
      <c r="R12" s="112"/>
      <c r="S12" s="112"/>
    </row>
    <row r="13" spans="1:19">
      <c r="A13" s="107">
        <f t="shared" si="0"/>
        <v>4</v>
      </c>
      <c r="B13" s="110" t="s">
        <v>458</v>
      </c>
      <c r="C13" s="375" t="s">
        <v>977</v>
      </c>
      <c r="E13" s="38">
        <v>4768</v>
      </c>
      <c r="F13" s="38">
        <v>2180303</v>
      </c>
      <c r="G13" s="241"/>
      <c r="H13" s="38">
        <v>10894</v>
      </c>
      <c r="I13" s="38">
        <v>5392701</v>
      </c>
      <c r="K13" s="239"/>
      <c r="N13" s="112"/>
      <c r="O13" s="112"/>
      <c r="R13" s="112"/>
      <c r="S13" s="112"/>
    </row>
    <row r="14" spans="1:19">
      <c r="A14" s="107">
        <f t="shared" si="0"/>
        <v>5</v>
      </c>
      <c r="B14" s="110" t="s">
        <v>459</v>
      </c>
      <c r="C14" s="375" t="s">
        <v>977</v>
      </c>
      <c r="E14" s="38">
        <v>4425</v>
      </c>
      <c r="F14" s="38">
        <v>1978998</v>
      </c>
      <c r="G14" s="241"/>
      <c r="H14" s="38">
        <v>10723</v>
      </c>
      <c r="I14" s="38">
        <v>4854703</v>
      </c>
      <c r="K14" s="239"/>
      <c r="N14" s="112"/>
      <c r="O14" s="112"/>
      <c r="R14" s="112"/>
      <c r="S14" s="112"/>
    </row>
    <row r="15" spans="1:19">
      <c r="A15" s="107">
        <f t="shared" si="0"/>
        <v>6</v>
      </c>
      <c r="B15" s="110" t="s">
        <v>460</v>
      </c>
      <c r="C15" s="375" t="s">
        <v>977</v>
      </c>
      <c r="E15" s="38">
        <v>4320</v>
      </c>
      <c r="F15" s="38">
        <v>1784771</v>
      </c>
      <c r="G15" s="241"/>
      <c r="H15" s="38">
        <v>10209</v>
      </c>
      <c r="I15" s="38">
        <v>4423413</v>
      </c>
      <c r="K15" s="239"/>
      <c r="N15" s="112"/>
      <c r="O15" s="112"/>
      <c r="R15" s="112"/>
      <c r="S15" s="112"/>
    </row>
    <row r="16" spans="1:19">
      <c r="A16" s="107">
        <f t="shared" si="0"/>
        <v>7</v>
      </c>
      <c r="B16" s="110" t="s">
        <v>461</v>
      </c>
      <c r="C16" s="375" t="s">
        <v>977</v>
      </c>
      <c r="E16" s="38">
        <v>4036</v>
      </c>
      <c r="F16" s="38">
        <v>1499609</v>
      </c>
      <c r="G16" s="241"/>
      <c r="H16" s="38">
        <v>9955</v>
      </c>
      <c r="I16" s="38">
        <v>3945784</v>
      </c>
      <c r="K16" s="239"/>
    </row>
    <row r="17" spans="1:20">
      <c r="A17" s="107">
        <f t="shared" si="0"/>
        <v>8</v>
      </c>
      <c r="B17" s="110" t="s">
        <v>462</v>
      </c>
      <c r="C17" s="375" t="s">
        <v>977</v>
      </c>
      <c r="E17" s="38">
        <v>4447</v>
      </c>
      <c r="F17" s="38">
        <v>1963501</v>
      </c>
      <c r="G17" s="241"/>
      <c r="H17" s="38">
        <v>10790</v>
      </c>
      <c r="I17" s="38">
        <v>4740961</v>
      </c>
      <c r="K17" s="239"/>
    </row>
    <row r="18" spans="1:20">
      <c r="A18" s="107">
        <f t="shared" si="0"/>
        <v>9</v>
      </c>
      <c r="B18" s="110" t="s">
        <v>463</v>
      </c>
      <c r="C18" s="375" t="s">
        <v>977</v>
      </c>
      <c r="E18" s="38">
        <v>4670</v>
      </c>
      <c r="F18" s="38">
        <v>2172285</v>
      </c>
      <c r="G18" s="241"/>
      <c r="H18" s="38">
        <v>11005</v>
      </c>
      <c r="I18" s="38">
        <v>5182655</v>
      </c>
      <c r="K18" s="327" t="s">
        <v>775</v>
      </c>
    </row>
    <row r="19" spans="1:20">
      <c r="A19" s="107">
        <f t="shared" si="0"/>
        <v>10</v>
      </c>
      <c r="B19" s="110" t="s">
        <v>464</v>
      </c>
      <c r="C19" s="375" t="s">
        <v>978</v>
      </c>
      <c r="E19" s="38">
        <v>4766</v>
      </c>
      <c r="F19" s="38">
        <v>2131014</v>
      </c>
      <c r="G19" s="241"/>
      <c r="H19" s="38">
        <v>11403</v>
      </c>
      <c r="I19" s="38">
        <v>5402503</v>
      </c>
      <c r="K19" s="239"/>
    </row>
    <row r="20" spans="1:20">
      <c r="A20" s="107">
        <f t="shared" si="0"/>
        <v>11</v>
      </c>
      <c r="B20" s="110" t="s">
        <v>465</v>
      </c>
      <c r="C20" s="375" t="s">
        <v>978</v>
      </c>
      <c r="E20" s="38">
        <v>4630</v>
      </c>
      <c r="F20" s="38">
        <v>2038241</v>
      </c>
      <c r="G20" s="241"/>
      <c r="H20" s="38">
        <v>10867</v>
      </c>
      <c r="I20" s="38">
        <v>5067074</v>
      </c>
      <c r="K20" s="377" t="s">
        <v>776</v>
      </c>
      <c r="N20" s="377" t="s">
        <v>777</v>
      </c>
      <c r="O20" s="377"/>
      <c r="R20" s="377" t="s">
        <v>777</v>
      </c>
      <c r="S20" s="377"/>
    </row>
    <row r="21" spans="1:20">
      <c r="A21" s="107">
        <f t="shared" si="0"/>
        <v>12</v>
      </c>
      <c r="B21" s="110" t="s">
        <v>466</v>
      </c>
      <c r="C21" s="375" t="s">
        <v>978</v>
      </c>
      <c r="E21" s="38">
        <v>4008</v>
      </c>
      <c r="F21" s="38">
        <v>1660416</v>
      </c>
      <c r="G21" s="241"/>
      <c r="H21" s="38">
        <v>8564</v>
      </c>
      <c r="I21" s="38">
        <v>4367358</v>
      </c>
      <c r="K21" s="239"/>
      <c r="N21" s="112"/>
      <c r="O21" s="112"/>
      <c r="R21" s="112"/>
      <c r="S21" s="112"/>
    </row>
    <row r="22" spans="1:20" ht="25.5">
      <c r="A22" s="107"/>
      <c r="B22" s="375"/>
      <c r="C22" s="375"/>
      <c r="E22" s="10" t="s">
        <v>691</v>
      </c>
      <c r="F22" s="110" t="s">
        <v>541</v>
      </c>
      <c r="G22" s="241"/>
      <c r="H22" s="10" t="s">
        <v>691</v>
      </c>
      <c r="I22" s="10" t="s">
        <v>541</v>
      </c>
      <c r="K22" s="326" t="s">
        <v>21</v>
      </c>
      <c r="N22" s="328">
        <v>3.4099999999999998E-2</v>
      </c>
      <c r="O22" s="329"/>
      <c r="P22" s="330" t="s">
        <v>850</v>
      </c>
      <c r="Q22" s="329"/>
      <c r="R22" s="328">
        <v>3.4099999999999998E-2</v>
      </c>
      <c r="S22" s="114"/>
      <c r="T22" s="106" t="s">
        <v>853</v>
      </c>
    </row>
    <row r="23" spans="1:20">
      <c r="A23" s="107"/>
      <c r="B23" s="375"/>
      <c r="C23" s="375"/>
      <c r="E23" s="10"/>
      <c r="F23" s="110"/>
      <c r="G23" s="241"/>
      <c r="H23" s="10"/>
      <c r="I23" s="10"/>
      <c r="K23" s="239" t="s">
        <v>778</v>
      </c>
      <c r="N23" s="329">
        <v>5.552E-2</v>
      </c>
      <c r="O23" s="329"/>
      <c r="P23" s="329"/>
      <c r="Q23" s="329"/>
      <c r="R23" s="329">
        <v>5.552E-2</v>
      </c>
      <c r="S23" s="112"/>
      <c r="T23" s="239"/>
    </row>
    <row r="24" spans="1:20" ht="25.5">
      <c r="A24" s="107">
        <f>+A21+1</f>
        <v>13</v>
      </c>
      <c r="B24" s="375" t="s">
        <v>444</v>
      </c>
      <c r="C24" s="375"/>
      <c r="E24" s="38">
        <f>SUM(E10:E23)</f>
        <v>51762</v>
      </c>
      <c r="F24" s="38">
        <f>SUM(F10:F23)</f>
        <v>22156692</v>
      </c>
      <c r="G24" s="241"/>
      <c r="H24" s="38">
        <f>SUM(H10:H23)</f>
        <v>123561</v>
      </c>
      <c r="I24" s="38">
        <f>SUM(I10:I23)</f>
        <v>55949735</v>
      </c>
      <c r="K24" s="239" t="s">
        <v>779</v>
      </c>
      <c r="N24" s="328">
        <v>5.552E-2</v>
      </c>
      <c r="O24" s="328"/>
      <c r="P24" s="330" t="s">
        <v>851</v>
      </c>
      <c r="Q24" s="329"/>
      <c r="R24" s="328">
        <v>5.552E-2</v>
      </c>
      <c r="S24" s="114"/>
      <c r="T24" s="106" t="s">
        <v>852</v>
      </c>
    </row>
    <row r="25" spans="1:20">
      <c r="A25" s="107"/>
      <c r="B25" s="375"/>
      <c r="C25" s="375"/>
      <c r="K25" s="326"/>
      <c r="N25" s="114"/>
      <c r="O25" s="114"/>
      <c r="R25" s="114"/>
      <c r="S25" s="114"/>
    </row>
    <row r="26" spans="1:20">
      <c r="A26" s="107"/>
      <c r="B26" s="375"/>
      <c r="C26" s="375"/>
      <c r="E26" s="379"/>
      <c r="F26" s="379"/>
      <c r="H26" s="379"/>
      <c r="I26" s="379"/>
      <c r="P26" s="330"/>
    </row>
    <row r="27" spans="1:20" ht="25.5">
      <c r="A27" s="107">
        <f>+A24+1</f>
        <v>14</v>
      </c>
      <c r="B27" s="383" t="s">
        <v>780</v>
      </c>
      <c r="C27" s="375"/>
      <c r="E27" s="257">
        <f>N24</f>
        <v>5.552E-2</v>
      </c>
      <c r="F27" s="257">
        <f>R24</f>
        <v>5.552E-2</v>
      </c>
      <c r="H27" s="257">
        <f>N22</f>
        <v>3.4099999999999998E-2</v>
      </c>
      <c r="I27" s="257">
        <f>R22</f>
        <v>3.4099999999999998E-2</v>
      </c>
      <c r="J27" s="257" t="s">
        <v>455</v>
      </c>
      <c r="K27" s="326" t="s">
        <v>781</v>
      </c>
    </row>
    <row r="28" spans="1:20">
      <c r="A28" s="107"/>
      <c r="B28" s="375"/>
      <c r="C28" s="375"/>
      <c r="E28" s="379"/>
      <c r="F28" s="379"/>
      <c r="H28" s="379"/>
      <c r="I28" s="379"/>
      <c r="K28" s="441" t="s">
        <v>782</v>
      </c>
      <c r="L28" s="441"/>
      <c r="M28" s="441"/>
      <c r="N28" s="441"/>
      <c r="O28" s="441"/>
      <c r="P28" s="441"/>
    </row>
    <row r="29" spans="1:20">
      <c r="A29" s="107"/>
      <c r="B29" s="383"/>
      <c r="C29" s="375"/>
      <c r="E29" s="375" t="s">
        <v>469</v>
      </c>
      <c r="F29" s="375" t="s">
        <v>470</v>
      </c>
      <c r="H29" s="375" t="s">
        <v>469</v>
      </c>
      <c r="I29" s="375" t="s">
        <v>470</v>
      </c>
      <c r="K29" s="441"/>
      <c r="L29" s="441"/>
      <c r="M29" s="441"/>
      <c r="N29" s="441"/>
      <c r="O29" s="441"/>
      <c r="P29" s="441"/>
    </row>
    <row r="30" spans="1:20">
      <c r="A30" s="107"/>
      <c r="B30" s="383"/>
      <c r="C30" s="375"/>
      <c r="E30" s="377" t="s">
        <v>848</v>
      </c>
      <c r="F30" s="377" t="s">
        <v>849</v>
      </c>
      <c r="H30" s="377" t="s">
        <v>848</v>
      </c>
      <c r="I30" s="377" t="s">
        <v>849</v>
      </c>
      <c r="K30" s="239"/>
    </row>
    <row r="31" spans="1:20">
      <c r="A31" s="107"/>
      <c r="B31" s="383"/>
      <c r="C31" s="375"/>
      <c r="K31" s="239"/>
    </row>
    <row r="32" spans="1:20">
      <c r="B32" s="309"/>
      <c r="C32" s="375"/>
      <c r="K32" s="239"/>
    </row>
    <row r="33" spans="1:11">
      <c r="A33" s="107"/>
      <c r="B33" s="383"/>
      <c r="C33" s="375"/>
      <c r="E33" s="375"/>
      <c r="K33" s="239"/>
    </row>
    <row r="34" spans="1:11">
      <c r="B34" s="375"/>
      <c r="C34" s="375"/>
      <c r="K34" s="239"/>
    </row>
    <row r="35" spans="1:11">
      <c r="B35" s="375"/>
      <c r="C35" s="375"/>
    </row>
    <row r="36" spans="1:11">
      <c r="B36" s="375"/>
      <c r="C36" s="375"/>
    </row>
    <row r="37" spans="1:11">
      <c r="A37" s="430" t="s">
        <v>783</v>
      </c>
      <c r="B37" s="430"/>
      <c r="C37" s="430"/>
      <c r="D37" s="430"/>
      <c r="E37" s="430"/>
      <c r="F37" s="430"/>
      <c r="G37" s="430"/>
      <c r="H37" s="430"/>
      <c r="I37" s="430"/>
      <c r="J37" s="430"/>
    </row>
    <row r="38" spans="1:11">
      <c r="B38" s="375"/>
      <c r="C38" s="375"/>
    </row>
    <row r="39" spans="1:11">
      <c r="B39" s="375"/>
      <c r="C39" s="375"/>
    </row>
  </sheetData>
  <mergeCells count="7">
    <mergeCell ref="K28:P29"/>
    <mergeCell ref="A37:J37"/>
    <mergeCell ref="A1:I1"/>
    <mergeCell ref="A2:I2"/>
    <mergeCell ref="A3:I3"/>
    <mergeCell ref="E7:F7"/>
    <mergeCell ref="H7:I7"/>
  </mergeCells>
  <printOptions horizontalCentered="1" verticalCentered="1"/>
  <pageMargins left="0" right="0" top="0" bottom="0" header="0.5" footer="0.5"/>
  <pageSetup scale="65" orientation="landscape" r:id="rId1"/>
  <headerFooter alignWithMargins="0">
    <oddHeader xml:space="preserve">&amp;CKENTUCKY POWER COMPANY
TEST YEAR ENDED FEBRUARY 28, 2017&amp;RSECTION 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4"/>
  <sheetViews>
    <sheetView zoomScale="90" zoomScaleNormal="90" workbookViewId="0">
      <pane ySplit="8" topLeftCell="A9" activePane="bottomLeft" state="frozen"/>
      <selection activeCell="C38" sqref="C38"/>
      <selection pane="bottomLeft" activeCell="E59" sqref="E59"/>
    </sheetView>
  </sheetViews>
  <sheetFormatPr defaultColWidth="9.140625" defaultRowHeight="12.75"/>
  <cols>
    <col min="1" max="1" width="7.28515625" style="88" bestFit="1" customWidth="1"/>
    <col min="2" max="2" width="3.7109375" style="88" customWidth="1"/>
    <col min="3" max="3" width="40.7109375" style="88" customWidth="1"/>
    <col min="4" max="4" width="2.28515625" style="88" customWidth="1"/>
    <col min="5" max="5" width="18.7109375" style="88" customWidth="1"/>
    <col min="6" max="6" width="2.28515625" style="88" customWidth="1"/>
    <col min="7" max="7" width="18.7109375" style="88" customWidth="1"/>
    <col min="8" max="8" width="2.28515625" style="88" customWidth="1"/>
    <col min="9" max="9" width="18.7109375" style="88" customWidth="1"/>
    <col min="10" max="10" width="2.28515625" style="88" customWidth="1"/>
    <col min="11" max="11" width="13.42578125" style="88" bestFit="1" customWidth="1"/>
    <col min="12" max="12" width="11.42578125" style="88" bestFit="1" customWidth="1"/>
    <col min="13" max="13" width="2.28515625" style="88" customWidth="1"/>
    <col min="14" max="16" width="9.140625" style="88"/>
    <col min="17" max="17" width="17.42578125" style="89" customWidth="1"/>
    <col min="18" max="16384" width="9.140625" style="88"/>
  </cols>
  <sheetData>
    <row r="1" spans="1:11">
      <c r="D1" s="334" t="s">
        <v>334</v>
      </c>
      <c r="I1" s="100" t="s">
        <v>532</v>
      </c>
    </row>
    <row r="2" spans="1:11">
      <c r="D2" s="334" t="s">
        <v>533</v>
      </c>
      <c r="I2" s="100" t="s">
        <v>534</v>
      </c>
    </row>
    <row r="3" spans="1:11">
      <c r="D3" s="333" t="s">
        <v>993</v>
      </c>
    </row>
    <row r="5" spans="1:11">
      <c r="K5" s="102"/>
    </row>
    <row r="7" spans="1:11" ht="25.5">
      <c r="A7" s="103" t="s">
        <v>535</v>
      </c>
      <c r="B7" s="104"/>
      <c r="C7" s="105" t="s">
        <v>336</v>
      </c>
      <c r="D7" s="104"/>
      <c r="E7" s="103" t="s">
        <v>536</v>
      </c>
      <c r="F7" s="104"/>
      <c r="G7" s="103" t="s">
        <v>537</v>
      </c>
      <c r="H7" s="104"/>
      <c r="I7" s="103" t="s">
        <v>538</v>
      </c>
      <c r="K7" s="106"/>
    </row>
    <row r="8" spans="1:11">
      <c r="A8" s="107">
        <v>-1</v>
      </c>
      <c r="C8" s="107">
        <f>+A8-1</f>
        <v>-2</v>
      </c>
      <c r="E8" s="107">
        <f>+C8-1</f>
        <v>-3</v>
      </c>
      <c r="G8" s="107">
        <f>+E8-1</f>
        <v>-4</v>
      </c>
      <c r="I8" s="107">
        <f>+G8-1</f>
        <v>-5</v>
      </c>
    </row>
    <row r="9" spans="1:11">
      <c r="A9" s="107"/>
      <c r="C9" s="107"/>
      <c r="E9" s="107"/>
      <c r="G9" s="107"/>
      <c r="I9" s="107"/>
    </row>
    <row r="10" spans="1:11">
      <c r="B10" s="108" t="s">
        <v>539</v>
      </c>
      <c r="K10" s="3"/>
    </row>
    <row r="11" spans="1:11">
      <c r="A11" s="107">
        <v>1</v>
      </c>
      <c r="C11" s="88" t="s">
        <v>540</v>
      </c>
      <c r="E11" s="109">
        <f>'Sch 4'!G7+'Sch 4'!G8+'Sch 4'!G9</f>
        <v>475910856.31743819</v>
      </c>
      <c r="F11" s="109"/>
      <c r="G11" s="109">
        <f>+'Sch 2'!E20</f>
        <v>70096743</v>
      </c>
      <c r="H11" s="109"/>
      <c r="I11" s="109">
        <f>+E11+G11</f>
        <v>546007599.31743813</v>
      </c>
      <c r="K11" s="109"/>
    </row>
    <row r="12" spans="1:11">
      <c r="A12" s="107">
        <f>+A11+1</f>
        <v>2</v>
      </c>
      <c r="C12" s="88" t="s">
        <v>172</v>
      </c>
      <c r="E12" s="38">
        <f>'Sch 4'!G10</f>
        <v>31782269.539999999</v>
      </c>
      <c r="F12" s="38"/>
      <c r="G12" s="38">
        <v>0</v>
      </c>
      <c r="H12" s="38"/>
      <c r="I12" s="38">
        <f>+E12+G12</f>
        <v>31782269.539999999</v>
      </c>
    </row>
    <row r="13" spans="1:11">
      <c r="A13" s="107">
        <f>+A12+1</f>
        <v>3</v>
      </c>
      <c r="C13" s="88" t="s">
        <v>931</v>
      </c>
      <c r="E13" s="38">
        <f>'Sch 4'!G11</f>
        <v>26689221.32894</v>
      </c>
      <c r="F13" s="38"/>
      <c r="G13" s="38">
        <v>0</v>
      </c>
      <c r="H13" s="38"/>
      <c r="I13" s="38">
        <f>+E13+G13</f>
        <v>26689221.32894</v>
      </c>
    </row>
    <row r="14" spans="1:11">
      <c r="A14" s="107"/>
      <c r="E14" s="110" t="s">
        <v>541</v>
      </c>
      <c r="G14" s="110" t="s">
        <v>541</v>
      </c>
      <c r="I14" s="110" t="s">
        <v>541</v>
      </c>
    </row>
    <row r="15" spans="1:11">
      <c r="A15" s="107">
        <f>+A13+1</f>
        <v>4</v>
      </c>
      <c r="B15" s="88" t="s">
        <v>542</v>
      </c>
      <c r="E15" s="109">
        <f>+E11+E12+E13</f>
        <v>534382347.18637818</v>
      </c>
      <c r="G15" s="109">
        <f>+G11+G12</f>
        <v>70096743</v>
      </c>
      <c r="I15" s="109">
        <f>+I11+I12+I13</f>
        <v>604479090.18637812</v>
      </c>
    </row>
    <row r="16" spans="1:11">
      <c r="A16" s="107"/>
      <c r="E16" s="110" t="s">
        <v>541</v>
      </c>
      <c r="G16" s="110" t="s">
        <v>541</v>
      </c>
      <c r="I16" s="110" t="s">
        <v>541</v>
      </c>
    </row>
    <row r="17" spans="1:12">
      <c r="A17" s="107"/>
      <c r="B17" s="108" t="s">
        <v>543</v>
      </c>
      <c r="K17" s="112"/>
      <c r="L17" s="109"/>
    </row>
    <row r="18" spans="1:12">
      <c r="A18" s="107">
        <f>+A15+1</f>
        <v>5</v>
      </c>
      <c r="C18" s="88" t="s">
        <v>544</v>
      </c>
      <c r="E18" s="109">
        <f>'Sch 4'!G23</f>
        <v>379900699.19556212</v>
      </c>
      <c r="G18" s="109">
        <f>G15*('2 P2'!G11+'2 P2'!G12)</f>
        <v>424505.87560800003</v>
      </c>
      <c r="I18" s="109">
        <f>+E18+G18</f>
        <v>380325205.07117015</v>
      </c>
      <c r="K18" s="109"/>
    </row>
    <row r="19" spans="1:12">
      <c r="A19" s="107">
        <f>+A18+1</f>
        <v>6</v>
      </c>
      <c r="C19" s="88" t="s">
        <v>545</v>
      </c>
      <c r="E19" s="109">
        <f>'Sch 4'!G25</f>
        <v>87533530</v>
      </c>
      <c r="F19" s="38"/>
      <c r="G19" s="38">
        <v>0</v>
      </c>
      <c r="H19" s="38"/>
      <c r="I19" s="38">
        <f>+E19+G19</f>
        <v>87533530</v>
      </c>
    </row>
    <row r="20" spans="1:12">
      <c r="A20" s="107">
        <f>+A19+1</f>
        <v>7</v>
      </c>
      <c r="C20" s="88" t="s">
        <v>546</v>
      </c>
      <c r="E20" s="109">
        <f>'Sch 4'!G26</f>
        <v>28620362</v>
      </c>
      <c r="F20" s="38"/>
      <c r="G20" s="38">
        <v>0</v>
      </c>
      <c r="H20" s="38"/>
      <c r="I20" s="38">
        <f t="shared" ref="I20:I26" si="0">+E20+G20</f>
        <v>28620362</v>
      </c>
    </row>
    <row r="21" spans="1:12">
      <c r="A21" s="107">
        <f>+A20+1</f>
        <v>8</v>
      </c>
      <c r="C21" s="88" t="s">
        <v>31</v>
      </c>
      <c r="E21" s="109">
        <f>'Sch 4'!G27</f>
        <v>-4433958</v>
      </c>
      <c r="F21" s="38"/>
      <c r="G21" s="10">
        <f>ROUND((+G11-G18)*'Sch 5'!C507,0)</f>
        <v>4078961</v>
      </c>
      <c r="H21" s="38"/>
      <c r="I21" s="38">
        <f>+E21+G21</f>
        <v>-354997</v>
      </c>
    </row>
    <row r="22" spans="1:12">
      <c r="A22" s="107"/>
      <c r="C22" s="88" t="s">
        <v>840</v>
      </c>
      <c r="E22" s="109">
        <f>'Sch 4'!G28+'Sch 4'!G29</f>
        <v>5319297.68</v>
      </c>
      <c r="F22" s="38"/>
      <c r="G22" s="10"/>
      <c r="H22" s="38"/>
      <c r="I22" s="38">
        <f t="shared" si="0"/>
        <v>5319297.68</v>
      </c>
      <c r="K22" s="14"/>
      <c r="L22" s="14"/>
    </row>
    <row r="23" spans="1:12">
      <c r="A23" s="107"/>
      <c r="C23" s="88" t="s">
        <v>547</v>
      </c>
      <c r="E23" s="38"/>
      <c r="F23" s="38"/>
      <c r="G23" s="38"/>
      <c r="H23" s="38"/>
      <c r="I23" s="38"/>
    </row>
    <row r="24" spans="1:12">
      <c r="A24" s="107">
        <f>+A21+1</f>
        <v>9</v>
      </c>
      <c r="C24" s="88" t="s">
        <v>548</v>
      </c>
      <c r="E24" s="109">
        <f>'Sch 4'!G33</f>
        <v>-12323338</v>
      </c>
      <c r="F24" s="38"/>
      <c r="G24" s="10">
        <f>ROUND((+G11+G12-G18-G19-G20-G21)*0.35,0)</f>
        <v>22957647</v>
      </c>
      <c r="H24" s="38"/>
      <c r="I24" s="38">
        <f t="shared" si="0"/>
        <v>10634309</v>
      </c>
    </row>
    <row r="25" spans="1:12">
      <c r="A25" s="107">
        <f>+A24+1</f>
        <v>10</v>
      </c>
      <c r="C25" s="88" t="s">
        <v>549</v>
      </c>
      <c r="E25" s="109">
        <f>'Sch 4'!G34+'Sch 4'!G35</f>
        <v>14915206</v>
      </c>
      <c r="F25" s="38"/>
      <c r="G25" s="38">
        <v>0</v>
      </c>
      <c r="H25" s="38"/>
      <c r="I25" s="38">
        <f t="shared" si="0"/>
        <v>14915206</v>
      </c>
    </row>
    <row r="26" spans="1:12">
      <c r="A26" s="107">
        <f>+A25+1</f>
        <v>11</v>
      </c>
      <c r="C26" s="88" t="s">
        <v>550</v>
      </c>
      <c r="E26" s="109">
        <f>'Sch 4'!G36</f>
        <v>0</v>
      </c>
      <c r="F26" s="38"/>
      <c r="G26" s="38">
        <v>0</v>
      </c>
      <c r="H26" s="38"/>
      <c r="I26" s="38">
        <f t="shared" si="0"/>
        <v>0</v>
      </c>
    </row>
    <row r="27" spans="1:12">
      <c r="A27" s="107"/>
      <c r="E27" s="110" t="s">
        <v>541</v>
      </c>
      <c r="G27" s="110" t="s">
        <v>541</v>
      </c>
      <c r="I27" s="110" t="s">
        <v>541</v>
      </c>
    </row>
    <row r="28" spans="1:12">
      <c r="A28" s="107">
        <f>+A26+1</f>
        <v>12</v>
      </c>
      <c r="B28" s="88" t="s">
        <v>551</v>
      </c>
      <c r="E28" s="109">
        <f>SUM(E18:E27)</f>
        <v>499531798.87556213</v>
      </c>
      <c r="G28" s="109">
        <f>SUM(G18:G27)</f>
        <v>27461113.875608001</v>
      </c>
      <c r="I28" s="109">
        <f>SUM(I18:I27)</f>
        <v>526992912.75117016</v>
      </c>
    </row>
    <row r="29" spans="1:12">
      <c r="A29" s="107"/>
      <c r="E29" s="110" t="s">
        <v>541</v>
      </c>
      <c r="G29" s="110" t="s">
        <v>541</v>
      </c>
      <c r="I29" s="110" t="s">
        <v>541</v>
      </c>
    </row>
    <row r="30" spans="1:12">
      <c r="A30" s="107"/>
    </row>
    <row r="31" spans="1:12">
      <c r="A31" s="107">
        <f>+A28+1</f>
        <v>13</v>
      </c>
      <c r="B31" s="88" t="s">
        <v>967</v>
      </c>
      <c r="E31" s="109">
        <f>+E15-E28</f>
        <v>34850548.31081605</v>
      </c>
      <c r="G31" s="109">
        <f>+G15-G28</f>
        <v>42635629.124392003</v>
      </c>
      <c r="I31" s="109">
        <f>+I15-I28</f>
        <v>77486177.435207963</v>
      </c>
      <c r="K31" s="109"/>
    </row>
    <row r="32" spans="1:12">
      <c r="A32" s="107">
        <f>+A31+1</f>
        <v>14</v>
      </c>
      <c r="B32" s="88" t="s">
        <v>552</v>
      </c>
      <c r="E32" s="38">
        <f>'Sch 4'!G40</f>
        <v>5443229</v>
      </c>
      <c r="G32" s="38">
        <v>0</v>
      </c>
      <c r="I32" s="38">
        <f>+E32+G32</f>
        <v>5443229</v>
      </c>
    </row>
    <row r="33" spans="1:11">
      <c r="A33" s="107"/>
      <c r="E33" s="110" t="s">
        <v>541</v>
      </c>
      <c r="G33" s="110" t="s">
        <v>541</v>
      </c>
      <c r="I33" s="110" t="s">
        <v>541</v>
      </c>
    </row>
    <row r="34" spans="1:11">
      <c r="A34" s="107">
        <f>+A32+1</f>
        <v>15</v>
      </c>
      <c r="B34" s="88" t="s">
        <v>553</v>
      </c>
      <c r="E34" s="109">
        <f>+E31+E32</f>
        <v>40293777.31081605</v>
      </c>
      <c r="G34" s="109">
        <f>+G31+G32</f>
        <v>42635629.124392003</v>
      </c>
      <c r="I34" s="109">
        <f>+I31+I32</f>
        <v>82929406.435207963</v>
      </c>
    </row>
    <row r="35" spans="1:11">
      <c r="A35" s="107"/>
      <c r="E35" s="110" t="s">
        <v>554</v>
      </c>
      <c r="G35" s="110" t="s">
        <v>554</v>
      </c>
      <c r="I35" s="110" t="s">
        <v>554</v>
      </c>
    </row>
    <row r="36" spans="1:11">
      <c r="A36" s="107"/>
    </row>
    <row r="37" spans="1:11">
      <c r="A37" s="107">
        <f>+A34+1</f>
        <v>16</v>
      </c>
      <c r="B37" s="108"/>
      <c r="C37" s="88" t="s">
        <v>167</v>
      </c>
      <c r="I37" s="109">
        <f>'Sch 4'!G53</f>
        <v>1407374967.8194454</v>
      </c>
    </row>
    <row r="38" spans="1:11">
      <c r="A38" s="107">
        <f>+A37+1</f>
        <v>17</v>
      </c>
      <c r="C38" s="88" t="s">
        <v>49</v>
      </c>
      <c r="E38" s="109"/>
      <c r="G38" s="109"/>
      <c r="I38" s="112">
        <f>ROUND(I34/I37,4)</f>
        <v>5.8900000000000001E-2</v>
      </c>
      <c r="K38" s="109"/>
    </row>
    <row r="39" spans="1:11">
      <c r="A39" s="107"/>
      <c r="E39" s="38"/>
      <c r="F39" s="38"/>
      <c r="G39" s="38"/>
      <c r="H39" s="38"/>
      <c r="I39" s="38"/>
    </row>
    <row r="40" spans="1:11">
      <c r="A40" s="107">
        <f>+A38+1</f>
        <v>18</v>
      </c>
      <c r="C40" s="88" t="s">
        <v>555</v>
      </c>
      <c r="E40" s="110"/>
      <c r="G40" s="110"/>
      <c r="I40" s="113">
        <f>+'2 P1'!E19</f>
        <v>1399886232.36409</v>
      </c>
    </row>
    <row r="41" spans="1:11">
      <c r="A41" s="107">
        <f>+A40+1</f>
        <v>19</v>
      </c>
      <c r="C41" s="88" t="s">
        <v>49</v>
      </c>
      <c r="E41" s="109"/>
      <c r="G41" s="109"/>
      <c r="I41" s="112">
        <f>+'2 P1'!K19</f>
        <v>6.5799999999999997E-2</v>
      </c>
      <c r="K41" s="109"/>
    </row>
    <row r="42" spans="1:11">
      <c r="A42" s="107"/>
      <c r="E42" s="109"/>
      <c r="G42" s="109"/>
      <c r="I42" s="112"/>
      <c r="K42" s="109"/>
    </row>
    <row r="43" spans="1:11">
      <c r="A43" s="107"/>
      <c r="E43" s="38"/>
      <c r="G43" s="38"/>
      <c r="I43" s="38"/>
    </row>
    <row r="44" spans="1:11">
      <c r="A44" s="107">
        <f>A41+1</f>
        <v>20</v>
      </c>
      <c r="C44" s="88" t="s">
        <v>863</v>
      </c>
      <c r="E44" s="38"/>
      <c r="G44" s="38"/>
      <c r="I44" s="38">
        <f>I15</f>
        <v>604479090.18637812</v>
      </c>
    </row>
    <row r="45" spans="1:11">
      <c r="A45" s="107"/>
      <c r="E45" s="38"/>
      <c r="G45" s="38"/>
      <c r="I45" s="110" t="s">
        <v>554</v>
      </c>
    </row>
    <row r="46" spans="1:11">
      <c r="A46" s="107"/>
      <c r="E46" s="38"/>
      <c r="F46" s="38"/>
      <c r="G46" s="38"/>
      <c r="H46" s="38"/>
      <c r="I46" s="38"/>
    </row>
    <row r="47" spans="1:11">
      <c r="A47" s="107">
        <f>A44+1</f>
        <v>21</v>
      </c>
      <c r="C47" s="88" t="s">
        <v>556</v>
      </c>
      <c r="E47" s="38"/>
      <c r="I47" s="38">
        <f>G15</f>
        <v>70096743</v>
      </c>
    </row>
    <row r="48" spans="1:11">
      <c r="A48" s="107"/>
      <c r="E48" s="38"/>
      <c r="G48" s="38"/>
      <c r="I48" s="38"/>
    </row>
    <row r="49" spans="1:9">
      <c r="A49" s="107"/>
      <c r="E49" s="38"/>
      <c r="F49" s="38"/>
      <c r="G49" s="38"/>
      <c r="H49" s="38"/>
      <c r="I49" s="114"/>
    </row>
    <row r="50" spans="1:9">
      <c r="A50" s="107"/>
      <c r="E50" s="38"/>
      <c r="F50" s="38"/>
      <c r="G50" s="38"/>
      <c r="H50" s="38"/>
      <c r="I50" s="38"/>
    </row>
    <row r="51" spans="1:9">
      <c r="A51" s="107"/>
      <c r="E51" s="38"/>
      <c r="F51" s="38"/>
      <c r="G51" s="38"/>
      <c r="H51" s="38"/>
      <c r="I51" s="38"/>
    </row>
    <row r="52" spans="1:9">
      <c r="A52" s="107"/>
      <c r="E52" s="38"/>
      <c r="F52" s="38"/>
      <c r="G52" s="38"/>
      <c r="H52" s="38"/>
      <c r="I52" s="38"/>
    </row>
    <row r="53" spans="1:9">
      <c r="A53" s="107"/>
      <c r="E53" s="38"/>
      <c r="F53" s="38"/>
      <c r="G53" s="38"/>
      <c r="H53" s="38"/>
      <c r="I53" s="38"/>
    </row>
    <row r="54" spans="1:9">
      <c r="A54" s="107"/>
      <c r="E54" s="38"/>
      <c r="F54" s="38"/>
      <c r="G54" s="38"/>
      <c r="H54" s="38"/>
      <c r="I54" s="38"/>
    </row>
    <row r="55" spans="1:9">
      <c r="A55" s="107"/>
      <c r="E55" s="38"/>
      <c r="F55" s="38"/>
      <c r="G55" s="38"/>
      <c r="H55" s="38"/>
      <c r="I55" s="38"/>
    </row>
    <row r="56" spans="1:9">
      <c r="A56" s="107"/>
      <c r="B56" s="3"/>
      <c r="E56" s="38"/>
      <c r="F56" s="38"/>
      <c r="G56" s="38"/>
      <c r="H56" s="38"/>
      <c r="I56" s="38"/>
    </row>
    <row r="57" spans="1:9">
      <c r="A57" s="107"/>
      <c r="E57" s="38"/>
      <c r="F57" s="38"/>
      <c r="G57" s="38"/>
      <c r="H57" s="38"/>
      <c r="I57" s="38"/>
    </row>
    <row r="58" spans="1:9">
      <c r="A58" s="107"/>
      <c r="C58" s="104"/>
      <c r="E58" s="109"/>
      <c r="F58" s="38"/>
      <c r="G58" s="106"/>
      <c r="H58" s="38"/>
      <c r="I58" s="111"/>
    </row>
    <row r="59" spans="1:9">
      <c r="A59" s="107"/>
      <c r="E59" s="109"/>
      <c r="F59" s="38"/>
      <c r="G59" s="38"/>
      <c r="H59" s="38"/>
      <c r="I59" s="38"/>
    </row>
    <row r="60" spans="1:9">
      <c r="A60" s="107"/>
      <c r="C60" s="334"/>
      <c r="E60" s="38"/>
      <c r="F60" s="38"/>
      <c r="G60" s="38"/>
      <c r="H60" s="38"/>
      <c r="I60" s="38"/>
    </row>
    <row r="61" spans="1:9">
      <c r="A61" s="107"/>
      <c r="E61" s="38"/>
      <c r="F61" s="38"/>
      <c r="G61" s="38"/>
      <c r="H61" s="38"/>
      <c r="I61" s="38"/>
    </row>
    <row r="62" spans="1:9">
      <c r="A62" s="107"/>
      <c r="E62" s="112"/>
      <c r="F62" s="109"/>
      <c r="G62" s="109"/>
      <c r="H62" s="109"/>
      <c r="I62" s="109"/>
    </row>
    <row r="63" spans="1:9">
      <c r="A63" s="107"/>
      <c r="E63" s="110"/>
      <c r="G63" s="110"/>
      <c r="I63" s="110"/>
    </row>
    <row r="64" spans="1:9">
      <c r="A64" s="107"/>
      <c r="C64" s="104"/>
      <c r="E64" s="38"/>
    </row>
    <row r="65" spans="1:5">
      <c r="A65" s="107"/>
      <c r="E65" s="110"/>
    </row>
    <row r="66" spans="1:5">
      <c r="A66" s="107"/>
      <c r="C66" s="115"/>
      <c r="E66" s="109"/>
    </row>
    <row r="67" spans="1:5">
      <c r="A67" s="107"/>
      <c r="E67" s="110"/>
    </row>
    <row r="68" spans="1:5">
      <c r="A68" s="107"/>
    </row>
    <row r="69" spans="1:5">
      <c r="A69" s="107"/>
    </row>
    <row r="70" spans="1:5">
      <c r="A70" s="107"/>
    </row>
    <row r="71" spans="1:5">
      <c r="A71" s="107"/>
    </row>
    <row r="72" spans="1:5">
      <c r="A72" s="107"/>
    </row>
    <row r="73" spans="1:5">
      <c r="A73" s="107"/>
    </row>
    <row r="74" spans="1:5">
      <c r="A74" s="107"/>
    </row>
    <row r="75" spans="1:5">
      <c r="A75" s="107"/>
    </row>
    <row r="76" spans="1:5">
      <c r="A76" s="107"/>
    </row>
    <row r="77" spans="1:5">
      <c r="A77" s="107"/>
    </row>
    <row r="78" spans="1:5">
      <c r="A78" s="107"/>
    </row>
    <row r="79" spans="1:5">
      <c r="A79" s="107"/>
    </row>
    <row r="80" spans="1:5">
      <c r="A80" s="107"/>
    </row>
    <row r="81" spans="1:1">
      <c r="A81" s="107"/>
    </row>
    <row r="82" spans="1:1">
      <c r="A82" s="107"/>
    </row>
    <row r="83" spans="1:1">
      <c r="A83" s="107"/>
    </row>
    <row r="84" spans="1:1">
      <c r="A84" s="107"/>
    </row>
    <row r="85" spans="1:1">
      <c r="A85" s="107"/>
    </row>
    <row r="86" spans="1:1">
      <c r="A86" s="107"/>
    </row>
    <row r="87" spans="1:1">
      <c r="A87" s="107"/>
    </row>
    <row r="88" spans="1:1">
      <c r="A88" s="107"/>
    </row>
    <row r="89" spans="1:1">
      <c r="A89" s="107"/>
    </row>
    <row r="90" spans="1:1">
      <c r="A90" s="107"/>
    </row>
    <row r="91" spans="1:1">
      <c r="A91" s="107"/>
    </row>
    <row r="92" spans="1:1">
      <c r="A92" s="107"/>
    </row>
    <row r="93" spans="1:1">
      <c r="A93" s="107"/>
    </row>
    <row r="94" spans="1:1">
      <c r="A94" s="107"/>
    </row>
    <row r="95" spans="1:1">
      <c r="A95" s="107"/>
    </row>
    <row r="96" spans="1:1">
      <c r="A96" s="107"/>
    </row>
    <row r="97" spans="1:1">
      <c r="A97" s="107"/>
    </row>
    <row r="98" spans="1:1">
      <c r="A98" s="107"/>
    </row>
    <row r="99" spans="1:1">
      <c r="A99" s="107"/>
    </row>
    <row r="100" spans="1:1">
      <c r="A100" s="107"/>
    </row>
    <row r="101" spans="1:1">
      <c r="A101" s="107"/>
    </row>
    <row r="102" spans="1:1">
      <c r="A102" s="107"/>
    </row>
    <row r="103" spans="1:1">
      <c r="A103" s="107"/>
    </row>
    <row r="104" spans="1:1">
      <c r="A104" s="107"/>
    </row>
    <row r="105" spans="1:1">
      <c r="A105" s="107"/>
    </row>
    <row r="106" spans="1:1">
      <c r="A106" s="107"/>
    </row>
    <row r="107" spans="1:1">
      <c r="A107" s="107"/>
    </row>
    <row r="108" spans="1:1">
      <c r="A108" s="107"/>
    </row>
    <row r="109" spans="1:1">
      <c r="A109" s="107"/>
    </row>
    <row r="110" spans="1:1">
      <c r="A110" s="107"/>
    </row>
    <row r="111" spans="1:1">
      <c r="A111" s="107"/>
    </row>
    <row r="112" spans="1:1">
      <c r="A112" s="107"/>
    </row>
    <row r="113" spans="1:1">
      <c r="A113" s="107"/>
    </row>
    <row r="114" spans="1:1">
      <c r="A114" s="107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  <row r="276" spans="1:1">
      <c r="A276" s="38"/>
    </row>
    <row r="277" spans="1:1">
      <c r="A277" s="38"/>
    </row>
    <row r="278" spans="1:1">
      <c r="A278" s="38"/>
    </row>
    <row r="279" spans="1:1">
      <c r="A279" s="38"/>
    </row>
    <row r="280" spans="1:1">
      <c r="A280" s="38"/>
    </row>
    <row r="281" spans="1:1">
      <c r="A281" s="38"/>
    </row>
    <row r="282" spans="1:1">
      <c r="A282" s="38"/>
    </row>
    <row r="283" spans="1:1">
      <c r="A283" s="38"/>
    </row>
    <row r="284" spans="1:1">
      <c r="A284" s="38"/>
    </row>
    <row r="285" spans="1:1">
      <c r="A285" s="38"/>
    </row>
    <row r="286" spans="1:1">
      <c r="A286" s="38"/>
    </row>
    <row r="287" spans="1:1">
      <c r="A287" s="38"/>
    </row>
    <row r="288" spans="1:1">
      <c r="A288" s="38"/>
    </row>
    <row r="289" spans="1:1">
      <c r="A289" s="38"/>
    </row>
    <row r="290" spans="1:1">
      <c r="A290" s="38"/>
    </row>
    <row r="291" spans="1:1">
      <c r="A291" s="38"/>
    </row>
    <row r="292" spans="1:1">
      <c r="A292" s="38"/>
    </row>
    <row r="293" spans="1:1">
      <c r="A293" s="38"/>
    </row>
    <row r="294" spans="1:1">
      <c r="A294" s="38"/>
    </row>
    <row r="295" spans="1:1">
      <c r="A295" s="38"/>
    </row>
    <row r="296" spans="1:1">
      <c r="A296" s="38"/>
    </row>
    <row r="297" spans="1:1">
      <c r="A297" s="38"/>
    </row>
    <row r="298" spans="1:1">
      <c r="A298" s="38"/>
    </row>
    <row r="299" spans="1:1">
      <c r="A299" s="38"/>
    </row>
    <row r="300" spans="1:1">
      <c r="A300" s="38"/>
    </row>
    <row r="301" spans="1:1">
      <c r="A301" s="38"/>
    </row>
    <row r="302" spans="1:1">
      <c r="A302" s="38"/>
    </row>
    <row r="303" spans="1:1">
      <c r="A303" s="38"/>
    </row>
    <row r="304" spans="1:1">
      <c r="A304" s="38"/>
    </row>
    <row r="305" spans="1:1">
      <c r="A305" s="38"/>
    </row>
    <row r="306" spans="1:1">
      <c r="A306" s="38"/>
    </row>
    <row r="307" spans="1:1">
      <c r="A307" s="38"/>
    </row>
    <row r="308" spans="1:1">
      <c r="A308" s="38"/>
    </row>
    <row r="309" spans="1:1">
      <c r="A309" s="38"/>
    </row>
    <row r="310" spans="1:1">
      <c r="A310" s="38"/>
    </row>
    <row r="311" spans="1:1">
      <c r="A311" s="38"/>
    </row>
    <row r="312" spans="1:1">
      <c r="A312" s="38"/>
    </row>
    <row r="313" spans="1:1">
      <c r="A313" s="38"/>
    </row>
    <row r="314" spans="1:1">
      <c r="A314" s="38"/>
    </row>
    <row r="315" spans="1:1">
      <c r="A315" s="38"/>
    </row>
    <row r="316" spans="1:1">
      <c r="A316" s="38"/>
    </row>
    <row r="317" spans="1:1">
      <c r="A317" s="38"/>
    </row>
    <row r="318" spans="1:1">
      <c r="A318" s="38"/>
    </row>
    <row r="319" spans="1:1">
      <c r="A319" s="38"/>
    </row>
    <row r="320" spans="1:1">
      <c r="A320" s="38"/>
    </row>
    <row r="321" spans="1:1">
      <c r="A321" s="38"/>
    </row>
    <row r="322" spans="1:1">
      <c r="A322" s="38"/>
    </row>
    <row r="323" spans="1:1">
      <c r="A323" s="38"/>
    </row>
    <row r="324" spans="1:1">
      <c r="A324" s="38"/>
    </row>
    <row r="325" spans="1:1">
      <c r="A325" s="38"/>
    </row>
    <row r="326" spans="1:1">
      <c r="A326" s="38"/>
    </row>
    <row r="327" spans="1:1">
      <c r="A327" s="38"/>
    </row>
    <row r="328" spans="1:1">
      <c r="A328" s="38"/>
    </row>
    <row r="329" spans="1:1">
      <c r="A329" s="38"/>
    </row>
    <row r="330" spans="1:1">
      <c r="A330" s="38"/>
    </row>
    <row r="331" spans="1:1">
      <c r="A331" s="38"/>
    </row>
    <row r="332" spans="1:1">
      <c r="A332" s="38"/>
    </row>
    <row r="333" spans="1:1">
      <c r="A333" s="38"/>
    </row>
    <row r="334" spans="1:1">
      <c r="A334" s="38"/>
    </row>
    <row r="335" spans="1:1">
      <c r="A335" s="38"/>
    </row>
    <row r="336" spans="1:1">
      <c r="A336" s="38"/>
    </row>
    <row r="337" spans="1:1">
      <c r="A337" s="38"/>
    </row>
    <row r="338" spans="1:1">
      <c r="A338" s="38"/>
    </row>
    <row r="339" spans="1:1">
      <c r="A339" s="38"/>
    </row>
    <row r="340" spans="1:1">
      <c r="A340" s="38"/>
    </row>
    <row r="341" spans="1:1">
      <c r="A341" s="38"/>
    </row>
    <row r="342" spans="1:1">
      <c r="A342" s="38"/>
    </row>
    <row r="343" spans="1:1">
      <c r="A343" s="38"/>
    </row>
    <row r="344" spans="1:1">
      <c r="A344" s="38"/>
    </row>
    <row r="345" spans="1:1">
      <c r="A345" s="38"/>
    </row>
    <row r="346" spans="1:1">
      <c r="A346" s="38"/>
    </row>
    <row r="347" spans="1:1">
      <c r="A347" s="38"/>
    </row>
    <row r="348" spans="1:1">
      <c r="A348" s="38"/>
    </row>
    <row r="349" spans="1:1">
      <c r="A349" s="38"/>
    </row>
    <row r="350" spans="1:1">
      <c r="A350" s="38"/>
    </row>
    <row r="351" spans="1:1">
      <c r="A351" s="38"/>
    </row>
    <row r="352" spans="1:1">
      <c r="A352" s="38"/>
    </row>
    <row r="353" spans="1:1">
      <c r="A353" s="38"/>
    </row>
    <row r="354" spans="1:1">
      <c r="A354" s="38"/>
    </row>
    <row r="355" spans="1:1">
      <c r="A355" s="38"/>
    </row>
    <row r="356" spans="1:1">
      <c r="A356" s="38"/>
    </row>
    <row r="357" spans="1:1">
      <c r="A357" s="38"/>
    </row>
    <row r="358" spans="1:1">
      <c r="A358" s="38"/>
    </row>
    <row r="359" spans="1:1">
      <c r="A359" s="38"/>
    </row>
    <row r="360" spans="1:1">
      <c r="A360" s="38"/>
    </row>
    <row r="361" spans="1:1">
      <c r="A361" s="38"/>
    </row>
    <row r="362" spans="1:1">
      <c r="A362" s="38"/>
    </row>
    <row r="363" spans="1:1">
      <c r="A363" s="38"/>
    </row>
    <row r="364" spans="1:1">
      <c r="A364" s="38"/>
    </row>
  </sheetData>
  <printOptions horizontalCentered="1"/>
  <pageMargins left="0" right="0" top="1" bottom="0.5" header="0" footer="0"/>
  <pageSetup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120" zoomScaleNormal="120" workbookViewId="0">
      <pane ySplit="6" topLeftCell="A13" activePane="bottomLeft" state="frozen"/>
      <selection activeCell="E18" sqref="E18"/>
      <selection pane="bottomLeft" activeCell="D25" sqref="D25"/>
    </sheetView>
  </sheetViews>
  <sheetFormatPr defaultColWidth="9.140625" defaultRowHeight="12.75"/>
  <cols>
    <col min="1" max="1" width="4.42578125" style="334" bestFit="1" customWidth="1"/>
    <col min="2" max="2" width="2.28515625" style="88" customWidth="1"/>
    <col min="3" max="3" width="56.140625" style="88" bestFit="1" customWidth="1"/>
    <col min="4" max="4" width="5.7109375" style="239" customWidth="1"/>
    <col min="5" max="5" width="15" style="88" bestFit="1" customWidth="1"/>
    <col min="6" max="6" width="9.140625" style="88"/>
    <col min="7" max="7" width="15.140625" style="88" bestFit="1" customWidth="1"/>
    <col min="8" max="16384" width="9.140625" style="88"/>
  </cols>
  <sheetData>
    <row r="1" spans="1:5">
      <c r="C1" s="334" t="s">
        <v>334</v>
      </c>
      <c r="E1" s="100" t="s">
        <v>558</v>
      </c>
    </row>
    <row r="2" spans="1:5">
      <c r="C2" s="333" t="s">
        <v>949</v>
      </c>
      <c r="E2" s="100" t="s">
        <v>559</v>
      </c>
    </row>
    <row r="3" spans="1:5">
      <c r="C3" s="333" t="s">
        <v>993</v>
      </c>
    </row>
    <row r="4" spans="1:5">
      <c r="D4" s="333"/>
    </row>
    <row r="5" spans="1:5" ht="38.25">
      <c r="A5" s="103" t="s">
        <v>560</v>
      </c>
      <c r="C5" s="334" t="s">
        <v>7</v>
      </c>
      <c r="D5" s="333"/>
      <c r="E5" s="103" t="s">
        <v>561</v>
      </c>
    </row>
    <row r="6" spans="1:5">
      <c r="A6" s="260">
        <v>-1</v>
      </c>
      <c r="C6" s="107">
        <f>+A6-1</f>
        <v>-2</v>
      </c>
      <c r="D6" s="333"/>
      <c r="E6" s="107">
        <f>+C6-1</f>
        <v>-3</v>
      </c>
    </row>
    <row r="7" spans="1:5">
      <c r="A7" s="107"/>
    </row>
    <row r="8" spans="1:5">
      <c r="A8" s="107">
        <v>1</v>
      </c>
      <c r="C8" s="88" t="s">
        <v>874</v>
      </c>
      <c r="E8" s="109">
        <f>+'Sch 3'!AF24</f>
        <v>1399886232.36409</v>
      </c>
    </row>
    <row r="9" spans="1:5">
      <c r="A9" s="107"/>
      <c r="E9" s="109"/>
    </row>
    <row r="10" spans="1:5">
      <c r="A10" s="107">
        <f>+A8+1</f>
        <v>2</v>
      </c>
      <c r="C10" s="88" t="s">
        <v>557</v>
      </c>
      <c r="E10" s="114">
        <f>+'2 P1'!K19</f>
        <v>6.5799999999999997E-2</v>
      </c>
    </row>
    <row r="11" spans="1:5">
      <c r="A11" s="107"/>
      <c r="E11" s="261" t="s">
        <v>562</v>
      </c>
    </row>
    <row r="12" spans="1:5" ht="11.25" customHeight="1">
      <c r="A12" s="107">
        <f>+A10+1</f>
        <v>3</v>
      </c>
      <c r="C12" s="88" t="s">
        <v>563</v>
      </c>
      <c r="E12" s="109">
        <f>ROUND(E8*E10,0)</f>
        <v>92112514</v>
      </c>
    </row>
    <row r="13" spans="1:5">
      <c r="A13" s="107"/>
      <c r="E13" s="113"/>
    </row>
    <row r="14" spans="1:5">
      <c r="A14" s="107">
        <f>+A12+1</f>
        <v>4</v>
      </c>
      <c r="C14" s="88" t="s">
        <v>968</v>
      </c>
      <c r="E14" s="109">
        <f>'Sch 4'!G41</f>
        <v>40293777.31081605</v>
      </c>
    </row>
    <row r="15" spans="1:5">
      <c r="A15" s="107"/>
      <c r="E15" s="261" t="s">
        <v>562</v>
      </c>
    </row>
    <row r="16" spans="1:5">
      <c r="A16" s="107">
        <f>+A14+1</f>
        <v>5</v>
      </c>
      <c r="C16" s="88" t="s">
        <v>564</v>
      </c>
      <c r="E16" s="109">
        <f>+E12-E14</f>
        <v>51818736.68918395</v>
      </c>
    </row>
    <row r="17" spans="1:7">
      <c r="A17" s="107"/>
      <c r="E17" s="113"/>
    </row>
    <row r="18" spans="1:7">
      <c r="A18" s="107">
        <f>+A16+1</f>
        <v>6</v>
      </c>
      <c r="C18" s="88" t="s">
        <v>565</v>
      </c>
      <c r="E18" s="354">
        <f>+'2 P2'!G25</f>
        <v>1.35272967</v>
      </c>
    </row>
    <row r="19" spans="1:7">
      <c r="A19" s="107"/>
      <c r="E19" s="261" t="s">
        <v>562</v>
      </c>
    </row>
    <row r="20" spans="1:7">
      <c r="A20" s="107">
        <f>+A18+1</f>
        <v>7</v>
      </c>
      <c r="C20" s="88" t="s">
        <v>566</v>
      </c>
      <c r="E20" s="109">
        <f>ROUND(E16*E18,0)</f>
        <v>70096743</v>
      </c>
      <c r="G20" s="109"/>
    </row>
    <row r="21" spans="1:7">
      <c r="A21" s="107"/>
      <c r="E21" s="261" t="s">
        <v>568</v>
      </c>
    </row>
    <row r="22" spans="1:7">
      <c r="A22" s="107"/>
      <c r="E22" s="355"/>
    </row>
    <row r="23" spans="1:7">
      <c r="A23" s="107"/>
      <c r="E23" s="240"/>
      <c r="G23" s="356"/>
    </row>
    <row r="24" spans="1:7">
      <c r="A24" s="107"/>
      <c r="E24" s="350"/>
      <c r="G24" s="356"/>
    </row>
    <row r="25" spans="1:7">
      <c r="A25" s="107"/>
      <c r="E25" s="357"/>
    </row>
    <row r="26" spans="1:7">
      <c r="A26" s="107"/>
    </row>
    <row r="27" spans="1:7">
      <c r="A27" s="107"/>
    </row>
    <row r="28" spans="1:7">
      <c r="A28" s="107"/>
    </row>
    <row r="29" spans="1:7">
      <c r="A29" s="107"/>
    </row>
    <row r="30" spans="1:7">
      <c r="A30" s="107"/>
    </row>
    <row r="31" spans="1:7">
      <c r="A31" s="107"/>
    </row>
    <row r="32" spans="1:7">
      <c r="A32" s="107"/>
    </row>
    <row r="33" spans="1:1">
      <c r="A33" s="107"/>
    </row>
    <row r="34" spans="1:1">
      <c r="A34" s="107"/>
    </row>
    <row r="35" spans="1:1">
      <c r="A35" s="107"/>
    </row>
    <row r="36" spans="1:1">
      <c r="A36" s="107"/>
    </row>
    <row r="37" spans="1:1">
      <c r="A37" s="107"/>
    </row>
    <row r="38" spans="1:1">
      <c r="A38" s="107"/>
    </row>
    <row r="39" spans="1:1">
      <c r="A39" s="107"/>
    </row>
    <row r="40" spans="1:1">
      <c r="A40" s="107"/>
    </row>
    <row r="41" spans="1:1">
      <c r="A41" s="107"/>
    </row>
    <row r="45" spans="1:1">
      <c r="A45" s="205"/>
    </row>
    <row r="46" spans="1:1">
      <c r="A46" s="205"/>
    </row>
    <row r="47" spans="1:1">
      <c r="A47" s="205"/>
    </row>
    <row r="48" spans="1:1">
      <c r="A48" s="205"/>
    </row>
  </sheetData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0" zoomScale="115" zoomScaleNormal="115" workbookViewId="0">
      <selection activeCell="Q18" sqref="Q18"/>
    </sheetView>
  </sheetViews>
  <sheetFormatPr defaultColWidth="9.140625" defaultRowHeight="12.75"/>
  <cols>
    <col min="1" max="1" width="4.7109375" style="88" customWidth="1"/>
    <col min="2" max="2" width="3.140625" style="379" customWidth="1"/>
    <col min="3" max="3" width="29.7109375" style="88" bestFit="1" customWidth="1"/>
    <col min="4" max="4" width="2.7109375" style="88" customWidth="1"/>
    <col min="5" max="5" width="15.5703125" style="88" bestFit="1" customWidth="1"/>
    <col min="6" max="6" width="2.7109375" style="88" customWidth="1"/>
    <col min="7" max="7" width="13.7109375" style="88" bestFit="1" customWidth="1"/>
    <col min="8" max="8" width="2.7109375" style="88" customWidth="1"/>
    <col min="9" max="9" width="13.85546875" style="379" bestFit="1" customWidth="1"/>
    <col min="10" max="10" width="4.140625" style="379" customWidth="1"/>
    <col min="11" max="11" width="13.7109375" style="88" bestFit="1" customWidth="1"/>
    <col min="12" max="12" width="2.7109375" style="88" customWidth="1"/>
    <col min="13" max="13" width="11.140625" style="88" bestFit="1" customWidth="1"/>
    <col min="14" max="14" width="2.7109375" style="88" customWidth="1"/>
    <col min="15" max="15" width="12.7109375" style="88" bestFit="1" customWidth="1"/>
    <col min="16" max="16" width="2.7109375" style="88" customWidth="1"/>
    <col min="17" max="17" width="13.7109375" style="88" bestFit="1" customWidth="1"/>
    <col min="18" max="18" width="2.7109375" style="88" customWidth="1"/>
    <col min="19" max="19" width="19" style="88" bestFit="1" customWidth="1"/>
    <col min="20" max="16384" width="9.140625" style="88"/>
  </cols>
  <sheetData>
    <row r="1" spans="1:19">
      <c r="F1" s="379" t="s">
        <v>334</v>
      </c>
      <c r="K1" s="100" t="s">
        <v>558</v>
      </c>
    </row>
    <row r="2" spans="1:19">
      <c r="F2" s="379" t="s">
        <v>569</v>
      </c>
      <c r="K2" s="100" t="s">
        <v>570</v>
      </c>
    </row>
    <row r="3" spans="1:19">
      <c r="F3" s="379" t="s">
        <v>993</v>
      </c>
      <c r="K3" s="100" t="s">
        <v>571</v>
      </c>
    </row>
    <row r="5" spans="1:19">
      <c r="E5" s="379" t="s">
        <v>572</v>
      </c>
      <c r="I5" s="379" t="s">
        <v>573</v>
      </c>
      <c r="K5" s="379" t="s">
        <v>574</v>
      </c>
    </row>
    <row r="6" spans="1:19">
      <c r="A6" s="379"/>
      <c r="C6" s="379"/>
      <c r="D6" s="379"/>
      <c r="E6" s="379" t="s">
        <v>575</v>
      </c>
      <c r="F6" s="379"/>
      <c r="G6" s="379" t="s">
        <v>576</v>
      </c>
      <c r="H6" s="379"/>
      <c r="I6" s="379" t="s">
        <v>577</v>
      </c>
      <c r="K6" s="379" t="s">
        <v>578</v>
      </c>
      <c r="L6" s="379"/>
      <c r="M6" s="379"/>
      <c r="N6" s="379"/>
      <c r="O6" s="379"/>
      <c r="P6" s="379"/>
      <c r="Q6" s="379"/>
      <c r="R6" s="379"/>
      <c r="S6" s="379"/>
    </row>
    <row r="7" spans="1:19">
      <c r="A7" s="379" t="s">
        <v>2</v>
      </c>
      <c r="C7" s="379"/>
      <c r="D7" s="379"/>
      <c r="E7" s="379" t="s">
        <v>579</v>
      </c>
      <c r="F7" s="379"/>
      <c r="G7" s="379" t="s">
        <v>580</v>
      </c>
      <c r="H7" s="379"/>
      <c r="I7" s="379" t="s">
        <v>576</v>
      </c>
      <c r="K7" s="379" t="s">
        <v>577</v>
      </c>
      <c r="L7" s="379"/>
      <c r="M7" s="379"/>
      <c r="N7" s="379"/>
      <c r="O7" s="379"/>
      <c r="P7" s="379"/>
      <c r="Q7" s="379"/>
      <c r="R7" s="379"/>
      <c r="S7" s="379"/>
    </row>
    <row r="8" spans="1:19">
      <c r="A8" s="382" t="s">
        <v>6</v>
      </c>
      <c r="B8" s="382"/>
      <c r="C8" s="382" t="s">
        <v>7</v>
      </c>
      <c r="D8" s="382"/>
      <c r="E8" s="382" t="s">
        <v>581</v>
      </c>
      <c r="F8" s="382"/>
      <c r="G8" s="382" t="s">
        <v>444</v>
      </c>
      <c r="H8" s="382"/>
      <c r="I8" s="382" t="s">
        <v>582</v>
      </c>
      <c r="J8" s="382"/>
      <c r="K8" s="382" t="s">
        <v>583</v>
      </c>
      <c r="L8" s="382"/>
      <c r="M8" s="382"/>
      <c r="N8" s="382"/>
      <c r="O8" s="382"/>
      <c r="P8" s="382"/>
      <c r="Q8" s="382"/>
      <c r="R8" s="382"/>
      <c r="S8" s="382"/>
    </row>
    <row r="9" spans="1:19">
      <c r="A9" s="244">
        <v>-1</v>
      </c>
      <c r="B9" s="244"/>
      <c r="C9" s="244">
        <v>-2</v>
      </c>
      <c r="D9" s="244"/>
      <c r="E9" s="244">
        <v>-3</v>
      </c>
      <c r="F9" s="244"/>
      <c r="G9" s="244">
        <v>-4</v>
      </c>
      <c r="H9" s="244"/>
      <c r="I9" s="244">
        <v>-5</v>
      </c>
      <c r="J9" s="244"/>
      <c r="K9" s="103" t="s">
        <v>584</v>
      </c>
      <c r="L9" s="244"/>
      <c r="M9" s="244"/>
      <c r="N9" s="244"/>
      <c r="O9" s="244"/>
      <c r="P9" s="244"/>
      <c r="Q9" s="244"/>
      <c r="R9" s="244"/>
      <c r="S9" s="244"/>
    </row>
    <row r="10" spans="1:19">
      <c r="A10" s="245"/>
      <c r="B10" s="244"/>
      <c r="C10" s="245"/>
      <c r="D10" s="245"/>
      <c r="E10" s="245"/>
      <c r="F10" s="245"/>
      <c r="G10" s="245"/>
      <c r="H10" s="245"/>
      <c r="I10" s="244"/>
      <c r="J10" s="244"/>
      <c r="K10" s="245"/>
      <c r="L10" s="245"/>
      <c r="M10" s="245"/>
      <c r="N10" s="245"/>
      <c r="O10" s="245"/>
      <c r="P10" s="245"/>
      <c r="Q10" s="245"/>
      <c r="R10" s="245"/>
      <c r="S10" s="245"/>
    </row>
    <row r="11" spans="1:19">
      <c r="A11" s="379">
        <v>1</v>
      </c>
      <c r="C11" s="88" t="s">
        <v>585</v>
      </c>
      <c r="E11" s="109">
        <f>+'Sch 3'!AF12</f>
        <v>752127350.5093888</v>
      </c>
      <c r="F11" s="109"/>
      <c r="G11" s="112">
        <f>ROUND(E11/$E$19,5)</f>
        <v>0.53727999999999998</v>
      </c>
      <c r="H11" s="109"/>
      <c r="I11" s="368">
        <f>+'3 P1'!S38</f>
        <v>4.0399999999999998E-2</v>
      </c>
      <c r="J11" s="375" t="s">
        <v>586</v>
      </c>
      <c r="K11" s="112">
        <f>ROUND(G11*I11,4)</f>
        <v>2.1700000000000001E-2</v>
      </c>
      <c r="L11" s="109"/>
      <c r="M11" s="109"/>
      <c r="N11" s="109"/>
      <c r="O11" s="109"/>
      <c r="P11" s="109"/>
      <c r="Q11" s="109"/>
      <c r="R11" s="109"/>
      <c r="S11" s="109"/>
    </row>
    <row r="12" spans="1:19">
      <c r="A12" s="379"/>
      <c r="E12" s="109"/>
      <c r="F12" s="109"/>
      <c r="G12" s="112"/>
      <c r="H12" s="109"/>
      <c r="I12" s="243"/>
      <c r="J12" s="375"/>
      <c r="K12" s="112"/>
      <c r="L12" s="109"/>
      <c r="M12" s="109"/>
      <c r="N12" s="109"/>
      <c r="O12" s="109"/>
      <c r="P12" s="109"/>
      <c r="Q12" s="109"/>
      <c r="R12" s="109"/>
      <c r="S12" s="109"/>
    </row>
    <row r="13" spans="1:19">
      <c r="A13" s="379">
        <v>2</v>
      </c>
      <c r="C13" s="88" t="s">
        <v>587</v>
      </c>
      <c r="E13" s="38">
        <f>+'Sch 3'!AF14</f>
        <v>0</v>
      </c>
      <c r="F13" s="38"/>
      <c r="G13" s="112">
        <f>ROUND(E13/$E$19,5)</f>
        <v>0</v>
      </c>
      <c r="H13" s="38"/>
      <c r="I13" s="368">
        <f>+'3 P2'!F41</f>
        <v>2.23E-2</v>
      </c>
      <c r="J13" s="375" t="s">
        <v>588</v>
      </c>
      <c r="K13" s="112">
        <f>ROUND(G13*I13,4)</f>
        <v>0</v>
      </c>
      <c r="L13" s="38"/>
      <c r="M13" s="38"/>
      <c r="N13" s="38"/>
      <c r="O13" s="38"/>
      <c r="P13" s="38"/>
      <c r="Q13" s="38"/>
      <c r="R13" s="38"/>
      <c r="S13" s="38"/>
    </row>
    <row r="14" spans="1:19">
      <c r="A14" s="379"/>
      <c r="E14" s="38"/>
      <c r="F14" s="38"/>
      <c r="G14" s="112"/>
      <c r="H14" s="38"/>
      <c r="I14" s="107"/>
      <c r="J14" s="375"/>
      <c r="K14" s="112"/>
      <c r="L14" s="38"/>
      <c r="M14" s="38"/>
      <c r="N14" s="38"/>
      <c r="O14" s="38"/>
      <c r="P14" s="38"/>
      <c r="Q14" s="38"/>
      <c r="R14" s="38"/>
      <c r="S14" s="38"/>
    </row>
    <row r="15" spans="1:19">
      <c r="A15" s="379">
        <v>3</v>
      </c>
      <c r="C15" s="88" t="s">
        <v>589</v>
      </c>
      <c r="E15" s="38">
        <f>+'Sch 3'!AF16</f>
        <v>42248931.663849995</v>
      </c>
      <c r="F15" s="38"/>
      <c r="G15" s="112">
        <f>ROUND(E15/$E$19,5)</f>
        <v>3.0179999999999998E-2</v>
      </c>
      <c r="H15" s="38"/>
      <c r="I15" s="368">
        <v>2.802E-2</v>
      </c>
      <c r="J15" s="375" t="s">
        <v>590</v>
      </c>
      <c r="K15" s="112">
        <f>ROUND(G15*I15,4)</f>
        <v>8.0000000000000004E-4</v>
      </c>
      <c r="L15" s="38"/>
      <c r="M15" s="38"/>
      <c r="N15" s="38"/>
      <c r="O15" s="38"/>
      <c r="P15" s="38"/>
      <c r="Q15" s="38"/>
      <c r="R15" s="38"/>
      <c r="S15" s="38"/>
    </row>
    <row r="16" spans="1:19">
      <c r="A16" s="379"/>
      <c r="E16" s="38"/>
      <c r="F16" s="38"/>
      <c r="G16" s="112"/>
      <c r="H16" s="38"/>
      <c r="I16" s="107"/>
      <c r="J16" s="375"/>
      <c r="K16" s="112"/>
      <c r="L16" s="38"/>
      <c r="M16" s="38"/>
      <c r="N16" s="38"/>
      <c r="O16" s="38"/>
      <c r="P16" s="38"/>
      <c r="Q16" s="38"/>
      <c r="R16" s="38"/>
      <c r="S16" s="38"/>
    </row>
    <row r="17" spans="1:19">
      <c r="A17" s="379">
        <v>4</v>
      </c>
      <c r="C17" s="88" t="s">
        <v>591</v>
      </c>
      <c r="E17" s="38">
        <f>+'Sch 3'!AF18</f>
        <v>605509950.19085109</v>
      </c>
      <c r="F17" s="38"/>
      <c r="G17" s="112">
        <f>ROUND(E17/$E$19,5)</f>
        <v>0.43253999999999998</v>
      </c>
      <c r="H17" s="38"/>
      <c r="I17" s="386">
        <v>0.1</v>
      </c>
      <c r="J17" s="375" t="s">
        <v>592</v>
      </c>
      <c r="K17" s="112">
        <f>ROUND(G17*I17,4)</f>
        <v>4.3299999999999998E-2</v>
      </c>
      <c r="L17" s="38"/>
      <c r="M17" s="38"/>
      <c r="N17" s="38"/>
      <c r="O17" s="38"/>
      <c r="P17" s="38"/>
      <c r="Q17" s="38"/>
      <c r="R17" s="38"/>
      <c r="S17" s="38"/>
    </row>
    <row r="18" spans="1:19">
      <c r="A18" s="379"/>
      <c r="E18" s="375" t="s">
        <v>593</v>
      </c>
      <c r="F18" s="243"/>
      <c r="G18" s="375" t="s">
        <v>593</v>
      </c>
      <c r="H18" s="243"/>
      <c r="I18" s="375"/>
      <c r="J18" s="375"/>
      <c r="K18" s="375" t="s">
        <v>593</v>
      </c>
      <c r="L18" s="243"/>
      <c r="M18" s="375"/>
      <c r="N18" s="243"/>
      <c r="O18" s="375"/>
      <c r="P18" s="243"/>
      <c r="Q18" s="375"/>
      <c r="R18" s="243"/>
      <c r="S18" s="110"/>
    </row>
    <row r="19" spans="1:19">
      <c r="A19" s="379">
        <v>5</v>
      </c>
      <c r="C19" s="88" t="s">
        <v>444</v>
      </c>
      <c r="E19" s="109">
        <f>SUM(E11:E17)</f>
        <v>1399886232.36409</v>
      </c>
      <c r="F19" s="38"/>
      <c r="G19" s="112">
        <f>SUM(G11:G18)</f>
        <v>1</v>
      </c>
      <c r="H19" s="38"/>
      <c r="I19" s="107"/>
      <c r="J19" s="375"/>
      <c r="K19" s="114">
        <f>SUM(K11:K18)</f>
        <v>6.5799999999999997E-2</v>
      </c>
      <c r="L19" s="38"/>
      <c r="M19" s="38"/>
      <c r="N19" s="38"/>
      <c r="O19" s="38"/>
      <c r="P19" s="38"/>
      <c r="Q19" s="38"/>
      <c r="R19" s="38"/>
      <c r="S19" s="38"/>
    </row>
    <row r="20" spans="1:19">
      <c r="A20" s="379"/>
      <c r="E20" s="375" t="s">
        <v>594</v>
      </c>
      <c r="F20" s="38"/>
      <c r="G20" s="375" t="s">
        <v>594</v>
      </c>
      <c r="H20" s="38"/>
      <c r="I20" s="107"/>
      <c r="J20" s="375"/>
      <c r="K20" s="375" t="s">
        <v>594</v>
      </c>
      <c r="L20" s="38"/>
      <c r="M20" s="38"/>
      <c r="N20" s="38"/>
      <c r="O20" s="38"/>
      <c r="P20" s="38"/>
      <c r="Q20" s="38"/>
      <c r="R20" s="38"/>
      <c r="S20" s="38"/>
    </row>
    <row r="21" spans="1:19">
      <c r="A21" s="379"/>
      <c r="E21" s="38"/>
      <c r="F21" s="38"/>
      <c r="G21" s="112"/>
      <c r="H21" s="38"/>
      <c r="I21" s="107"/>
      <c r="J21" s="107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A22" s="379"/>
      <c r="E22" s="375"/>
      <c r="F22" s="243"/>
      <c r="G22" s="258"/>
      <c r="H22" s="243"/>
      <c r="I22" s="375"/>
      <c r="J22" s="243"/>
      <c r="K22" s="375"/>
      <c r="L22" s="243"/>
      <c r="M22" s="375"/>
      <c r="N22" s="243"/>
      <c r="O22" s="375"/>
      <c r="P22" s="243"/>
      <c r="Q22" s="375"/>
      <c r="R22" s="243"/>
      <c r="S22" s="110"/>
    </row>
    <row r="23" spans="1:19">
      <c r="A23" s="379"/>
      <c r="B23" s="375" t="s">
        <v>595</v>
      </c>
      <c r="C23" s="88" t="s">
        <v>937</v>
      </c>
      <c r="E23" s="109"/>
      <c r="F23" s="109"/>
      <c r="G23" s="259"/>
      <c r="H23" s="109"/>
      <c r="I23" s="243"/>
      <c r="J23" s="243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>
      <c r="A24" s="379"/>
      <c r="B24" s="375" t="s">
        <v>586</v>
      </c>
      <c r="C24" s="88" t="s">
        <v>864</v>
      </c>
      <c r="E24" s="375"/>
      <c r="F24" s="379"/>
      <c r="G24" s="375"/>
      <c r="H24" s="379"/>
      <c r="I24" s="375"/>
      <c r="K24" s="375"/>
      <c r="L24" s="379"/>
      <c r="M24" s="375"/>
      <c r="N24" s="379"/>
      <c r="O24" s="375"/>
      <c r="P24" s="379"/>
      <c r="Q24" s="375"/>
      <c r="R24" s="379"/>
      <c r="S24" s="110"/>
    </row>
    <row r="25" spans="1:19">
      <c r="A25" s="379"/>
      <c r="B25" s="375" t="s">
        <v>588</v>
      </c>
      <c r="C25" s="88" t="s">
        <v>596</v>
      </c>
      <c r="E25" s="375"/>
      <c r="F25" s="379"/>
      <c r="G25" s="375"/>
      <c r="H25" s="379"/>
      <c r="I25" s="375"/>
      <c r="K25" s="375"/>
      <c r="L25" s="379"/>
      <c r="M25" s="375"/>
      <c r="N25" s="379"/>
      <c r="O25" s="375"/>
      <c r="P25" s="379"/>
      <c r="Q25" s="375"/>
      <c r="R25" s="379"/>
      <c r="S25" s="110"/>
    </row>
    <row r="26" spans="1:19">
      <c r="A26" s="379"/>
      <c r="B26" s="375" t="s">
        <v>597</v>
      </c>
      <c r="C26" s="88" t="s">
        <v>598</v>
      </c>
      <c r="E26" s="224"/>
    </row>
    <row r="27" spans="1:19">
      <c r="A27" s="379"/>
      <c r="B27" s="375" t="s">
        <v>590</v>
      </c>
      <c r="C27" s="88" t="s">
        <v>826</v>
      </c>
    </row>
    <row r="28" spans="1:19">
      <c r="A28" s="379"/>
      <c r="B28" s="375" t="s">
        <v>592</v>
      </c>
      <c r="C28" s="88" t="s">
        <v>922</v>
      </c>
    </row>
    <row r="29" spans="1:19">
      <c r="B29" s="375"/>
    </row>
    <row r="30" spans="1:19">
      <c r="B30" s="375"/>
    </row>
    <row r="31" spans="1:19">
      <c r="B31" s="375"/>
    </row>
    <row r="32" spans="1:19">
      <c r="B32" s="375"/>
    </row>
    <row r="33" spans="2:2">
      <c r="B33" s="375"/>
    </row>
  </sheetData>
  <printOptions horizontalCentered="1"/>
  <pageMargins left="0.75" right="0" top="1" bottom="0.5" header="0" footer="0"/>
  <pageSetup scale="8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pane ySplit="7" topLeftCell="A8" activePane="bottomLeft" state="frozen"/>
      <selection activeCell="E18" sqref="E18"/>
      <selection pane="bottomLeft" activeCell="M21" sqref="M21"/>
    </sheetView>
  </sheetViews>
  <sheetFormatPr defaultColWidth="9.140625" defaultRowHeight="12.75"/>
  <cols>
    <col min="1" max="1" width="4.42578125" style="379" bestFit="1" customWidth="1"/>
    <col min="2" max="2" width="2.28515625" style="88" customWidth="1"/>
    <col min="3" max="3" width="42.5703125" style="88" bestFit="1" customWidth="1"/>
    <col min="4" max="4" width="8.7109375" style="239" customWidth="1"/>
    <col min="5" max="5" width="10.28515625" style="88" bestFit="1" customWidth="1"/>
    <col min="6" max="6" width="2.28515625" style="88" customWidth="1"/>
    <col min="7" max="7" width="20.42578125" style="88" bestFit="1" customWidth="1"/>
    <col min="8" max="8" width="2.28515625" style="88" customWidth="1"/>
    <col min="9" max="16384" width="9.140625" style="88"/>
  </cols>
  <sheetData>
    <row r="1" spans="1:7">
      <c r="C1" s="423" t="s">
        <v>334</v>
      </c>
      <c r="D1" s="424"/>
      <c r="E1" s="424"/>
      <c r="F1" s="376"/>
      <c r="G1" s="100" t="s">
        <v>558</v>
      </c>
    </row>
    <row r="2" spans="1:7">
      <c r="C2" s="423" t="s">
        <v>950</v>
      </c>
      <c r="D2" s="424"/>
      <c r="E2" s="424"/>
      <c r="F2" s="376"/>
      <c r="G2" s="100" t="s">
        <v>570</v>
      </c>
    </row>
    <row r="3" spans="1:7">
      <c r="C3" s="423" t="s">
        <v>951</v>
      </c>
      <c r="D3" s="424"/>
      <c r="E3" s="424"/>
      <c r="F3" s="376"/>
      <c r="G3" s="100" t="s">
        <v>599</v>
      </c>
    </row>
    <row r="4" spans="1:7">
      <c r="C4" s="423" t="s">
        <v>993</v>
      </c>
      <c r="D4" s="424"/>
      <c r="E4" s="424"/>
      <c r="F4" s="376"/>
    </row>
    <row r="5" spans="1:7">
      <c r="D5" s="375"/>
    </row>
    <row r="6" spans="1:7" ht="38.25">
      <c r="A6" s="103" t="s">
        <v>560</v>
      </c>
      <c r="C6" s="379" t="s">
        <v>7</v>
      </c>
      <c r="D6" s="375"/>
      <c r="E6" s="103"/>
      <c r="F6" s="103"/>
      <c r="G6" s="103" t="s">
        <v>561</v>
      </c>
    </row>
    <row r="7" spans="1:7">
      <c r="A7" s="260">
        <v>-1</v>
      </c>
      <c r="C7" s="107">
        <f>+A7-1</f>
        <v>-2</v>
      </c>
      <c r="D7" s="375"/>
      <c r="E7" s="107"/>
      <c r="F7" s="107"/>
      <c r="G7" s="107">
        <f>+C7-1</f>
        <v>-3</v>
      </c>
    </row>
    <row r="8" spans="1:7">
      <c r="A8" s="107"/>
    </row>
    <row r="9" spans="1:7">
      <c r="A9" s="107">
        <v>1</v>
      </c>
      <c r="C9" s="88" t="s">
        <v>539</v>
      </c>
      <c r="E9" s="109"/>
      <c r="F9" s="109"/>
      <c r="G9" s="112">
        <v>1</v>
      </c>
    </row>
    <row r="10" spans="1:7">
      <c r="A10" s="107"/>
      <c r="E10" s="109"/>
      <c r="F10" s="109"/>
      <c r="G10" s="112"/>
    </row>
    <row r="11" spans="1:7">
      <c r="A11" s="107">
        <f>+A9+1</f>
        <v>2</v>
      </c>
      <c r="C11" s="88" t="s">
        <v>600</v>
      </c>
      <c r="E11" s="109"/>
      <c r="F11" s="109"/>
      <c r="G11" s="262">
        <f>+'2 P3'!G19</f>
        <v>4.1000000000000003E-3</v>
      </c>
    </row>
    <row r="12" spans="1:7">
      <c r="A12" s="107">
        <f>+A11+1</f>
        <v>3</v>
      </c>
      <c r="C12" s="88" t="s">
        <v>601</v>
      </c>
      <c r="E12" s="109"/>
      <c r="F12" s="109"/>
      <c r="G12" s="262">
        <v>1.9559999999999998E-3</v>
      </c>
    </row>
    <row r="13" spans="1:7">
      <c r="A13" s="107"/>
      <c r="E13" s="109"/>
      <c r="F13" s="109"/>
      <c r="G13" s="261" t="s">
        <v>562</v>
      </c>
    </row>
    <row r="14" spans="1:7">
      <c r="A14" s="107">
        <f>+A12+1</f>
        <v>4</v>
      </c>
      <c r="C14" s="88" t="s">
        <v>602</v>
      </c>
      <c r="E14" s="109"/>
      <c r="F14" s="109"/>
      <c r="G14" s="262">
        <f>+G9-G11-G12</f>
        <v>0.99394400000000005</v>
      </c>
    </row>
    <row r="15" spans="1:7">
      <c r="A15" s="107"/>
      <c r="E15" s="110"/>
      <c r="F15" s="110"/>
      <c r="G15" s="261"/>
    </row>
    <row r="16" spans="1:7">
      <c r="A16" s="107">
        <f>+A14+1</f>
        <v>5</v>
      </c>
      <c r="C16" s="88" t="s">
        <v>1068</v>
      </c>
      <c r="E16" s="262">
        <f>+G53</f>
        <v>5.8545E-2</v>
      </c>
      <c r="F16" s="262"/>
      <c r="G16" s="262">
        <f>ROUND(G14*E16,6)</f>
        <v>5.8189999999999999E-2</v>
      </c>
    </row>
    <row r="17" spans="1:7">
      <c r="A17" s="107"/>
      <c r="E17" s="110"/>
      <c r="F17" s="110"/>
      <c r="G17" s="261" t="s">
        <v>562</v>
      </c>
    </row>
    <row r="18" spans="1:7">
      <c r="A18" s="107"/>
      <c r="E18" s="110"/>
      <c r="F18" s="110"/>
      <c r="G18" s="261"/>
    </row>
    <row r="19" spans="1:7">
      <c r="A19" s="107">
        <f>+A16+1</f>
        <v>6</v>
      </c>
      <c r="C19" s="88" t="s">
        <v>603</v>
      </c>
      <c r="E19" s="109"/>
      <c r="F19" s="109"/>
      <c r="G19" s="262">
        <f>+G14-G16</f>
        <v>0.93575400000000009</v>
      </c>
    </row>
    <row r="20" spans="1:7">
      <c r="A20" s="107"/>
      <c r="E20" s="110"/>
      <c r="F20" s="110"/>
      <c r="G20" s="261"/>
    </row>
    <row r="21" spans="1:7">
      <c r="A21" s="107">
        <f>+A19+1</f>
        <v>7</v>
      </c>
      <c r="C21" s="88" t="s">
        <v>1067</v>
      </c>
      <c r="E21" s="112">
        <v>0.21</v>
      </c>
      <c r="F21" s="112"/>
      <c r="G21" s="262">
        <f>ROUND(G19*E21,6)</f>
        <v>0.19650799999999999</v>
      </c>
    </row>
    <row r="22" spans="1:7">
      <c r="A22" s="107"/>
      <c r="E22" s="109"/>
      <c r="F22" s="109"/>
      <c r="G22" s="112"/>
    </row>
    <row r="23" spans="1:7">
      <c r="A23" s="107">
        <f>+A21+1</f>
        <v>8</v>
      </c>
      <c r="C23" s="88" t="s">
        <v>604</v>
      </c>
      <c r="E23" s="109"/>
      <c r="F23" s="109"/>
      <c r="G23" s="262">
        <f>+G19-G21</f>
        <v>0.73924600000000007</v>
      </c>
    </row>
    <row r="24" spans="1:7">
      <c r="A24" s="107"/>
      <c r="E24" s="109"/>
      <c r="F24" s="109"/>
      <c r="G24" s="261" t="s">
        <v>562</v>
      </c>
    </row>
    <row r="25" spans="1:7">
      <c r="A25" s="107">
        <f>+A23+1</f>
        <v>9</v>
      </c>
      <c r="C25" s="88" t="s">
        <v>605</v>
      </c>
      <c r="E25" s="109"/>
      <c r="F25" s="109"/>
      <c r="G25" s="359">
        <f>ROUND(1/G23,8)</f>
        <v>1.35272967</v>
      </c>
    </row>
    <row r="26" spans="1:7">
      <c r="A26" s="107"/>
      <c r="E26" s="109"/>
      <c r="F26" s="109"/>
      <c r="G26" s="261" t="s">
        <v>568</v>
      </c>
    </row>
    <row r="27" spans="1:7">
      <c r="A27" s="107"/>
      <c r="E27" s="109"/>
      <c r="F27" s="109"/>
    </row>
    <row r="28" spans="1:7">
      <c r="A28" s="107"/>
      <c r="E28" s="109"/>
      <c r="F28" s="109"/>
    </row>
    <row r="29" spans="1:7">
      <c r="A29" s="107"/>
      <c r="C29" s="88" t="s">
        <v>606</v>
      </c>
      <c r="E29" s="109"/>
      <c r="F29" s="109"/>
    </row>
    <row r="30" spans="1:7">
      <c r="A30" s="107"/>
      <c r="E30" s="109"/>
      <c r="F30" s="109"/>
    </row>
    <row r="31" spans="1:7">
      <c r="A31" s="107"/>
      <c r="C31" s="88" t="s">
        <v>607</v>
      </c>
      <c r="E31" s="109"/>
      <c r="F31" s="109"/>
    </row>
    <row r="32" spans="1:7">
      <c r="A32" s="107"/>
    </row>
    <row r="33" spans="1:7">
      <c r="A33" s="107"/>
      <c r="C33" s="88" t="s">
        <v>608</v>
      </c>
      <c r="E33" s="112">
        <v>9.5000000000000001E-2</v>
      </c>
    </row>
    <row r="34" spans="1:7">
      <c r="A34" s="107"/>
      <c r="C34" s="88" t="s">
        <v>609</v>
      </c>
      <c r="E34" s="262">
        <v>9.3480000000000004E-3</v>
      </c>
    </row>
    <row r="35" spans="1:7">
      <c r="A35" s="107"/>
      <c r="E35" s="110" t="s">
        <v>610</v>
      </c>
    </row>
    <row r="36" spans="1:7" s="373" customFormat="1">
      <c r="A36" s="372"/>
      <c r="C36" s="373" t="s">
        <v>611</v>
      </c>
      <c r="G36" s="374">
        <f>ROUND(E33*E34,6)</f>
        <v>8.8800000000000001E-4</v>
      </c>
    </row>
    <row r="37" spans="1:7">
      <c r="A37" s="107"/>
      <c r="E37" s="112"/>
    </row>
    <row r="38" spans="1:7">
      <c r="A38" s="107"/>
      <c r="C38" s="88" t="s">
        <v>612</v>
      </c>
      <c r="E38" s="112">
        <v>0.05</v>
      </c>
    </row>
    <row r="39" spans="1:7">
      <c r="A39" s="107"/>
      <c r="C39" s="88" t="s">
        <v>609</v>
      </c>
      <c r="E39" s="262">
        <v>0.87921800000000006</v>
      </c>
    </row>
    <row r="40" spans="1:7">
      <c r="A40" s="107"/>
      <c r="E40" s="110" t="s">
        <v>610</v>
      </c>
    </row>
    <row r="41" spans="1:7" s="373" customFormat="1" ht="25.9" customHeight="1">
      <c r="A41" s="372"/>
      <c r="C41" s="373" t="s">
        <v>613</v>
      </c>
      <c r="G41" s="374">
        <f>ROUND(E38*E39,6)</f>
        <v>4.3961E-2</v>
      </c>
    </row>
    <row r="42" spans="1:7">
      <c r="A42" s="107"/>
    </row>
    <row r="43" spans="1:7">
      <c r="A43" s="107"/>
      <c r="C43" s="88" t="s">
        <v>614</v>
      </c>
      <c r="E43" s="112">
        <v>0.06</v>
      </c>
      <c r="F43" s="112"/>
      <c r="G43" s="112"/>
    </row>
    <row r="44" spans="1:7">
      <c r="A44" s="107"/>
      <c r="C44" s="88" t="s">
        <v>609</v>
      </c>
      <c r="E44" s="262">
        <v>3.2299999999999999E-4</v>
      </c>
      <c r="F44" s="112"/>
      <c r="G44" s="112"/>
    </row>
    <row r="45" spans="1:7">
      <c r="A45" s="107"/>
      <c r="E45" s="110" t="s">
        <v>610</v>
      </c>
      <c r="F45" s="110"/>
      <c r="G45" s="112"/>
    </row>
    <row r="46" spans="1:7" s="373" customFormat="1">
      <c r="A46" s="372"/>
      <c r="C46" s="373" t="s">
        <v>615</v>
      </c>
      <c r="G46" s="374">
        <f>ROUND(E43*E44,6)</f>
        <v>1.9000000000000001E-5</v>
      </c>
    </row>
    <row r="47" spans="1:7">
      <c r="A47" s="107"/>
      <c r="E47" s="112"/>
      <c r="F47" s="112"/>
      <c r="G47" s="262"/>
    </row>
    <row r="48" spans="1:7">
      <c r="A48" s="107"/>
      <c r="C48" s="88" t="s">
        <v>616</v>
      </c>
      <c r="E48" s="112">
        <v>6.5000000000000002E-2</v>
      </c>
      <c r="F48" s="112"/>
      <c r="G48" s="262"/>
    </row>
    <row r="49" spans="1:7">
      <c r="A49" s="107"/>
      <c r="C49" s="88" t="s">
        <v>609</v>
      </c>
      <c r="E49" s="262">
        <v>0.21041399999999999</v>
      </c>
      <c r="F49" s="262"/>
      <c r="G49" s="262"/>
    </row>
    <row r="50" spans="1:7">
      <c r="A50" s="107"/>
      <c r="E50" s="110" t="s">
        <v>610</v>
      </c>
      <c r="F50" s="110"/>
      <c r="G50" s="262"/>
    </row>
    <row r="51" spans="1:7" s="373" customFormat="1">
      <c r="A51" s="372"/>
      <c r="C51" s="373" t="s">
        <v>617</v>
      </c>
      <c r="G51" s="374">
        <f>ROUND(E48*E49,6)</f>
        <v>1.3677E-2</v>
      </c>
    </row>
    <row r="52" spans="1:7">
      <c r="E52" s="112"/>
      <c r="F52" s="112"/>
      <c r="G52" s="264" t="s">
        <v>610</v>
      </c>
    </row>
    <row r="53" spans="1:7">
      <c r="A53" s="205"/>
      <c r="C53" s="88" t="s">
        <v>618</v>
      </c>
      <c r="E53" s="112"/>
      <c r="F53" s="112"/>
      <c r="G53" s="262">
        <f>SUM(G36:G51)</f>
        <v>5.8545E-2</v>
      </c>
    </row>
    <row r="54" spans="1:7">
      <c r="A54" s="205"/>
      <c r="E54" s="112"/>
      <c r="F54" s="112"/>
      <c r="G54" s="110" t="s">
        <v>470</v>
      </c>
    </row>
    <row r="55" spans="1:7">
      <c r="A55" s="205"/>
      <c r="E55" s="112"/>
      <c r="F55" s="112"/>
      <c r="G55" s="112"/>
    </row>
    <row r="56" spans="1:7">
      <c r="A56" s="205"/>
      <c r="E56" s="112"/>
      <c r="F56" s="112"/>
      <c r="G56" s="112"/>
    </row>
    <row r="57" spans="1:7">
      <c r="E57" s="112"/>
      <c r="F57" s="112"/>
      <c r="G57" s="112"/>
    </row>
    <row r="58" spans="1:7">
      <c r="E58" s="112"/>
      <c r="F58" s="112"/>
      <c r="G58" s="112"/>
    </row>
    <row r="59" spans="1:7">
      <c r="E59" s="112"/>
      <c r="F59" s="112"/>
      <c r="G59" s="112"/>
    </row>
    <row r="60" spans="1:7">
      <c r="E60" s="112"/>
      <c r="F60" s="112"/>
      <c r="G60" s="112"/>
    </row>
    <row r="61" spans="1:7">
      <c r="E61" s="112"/>
      <c r="F61" s="112"/>
      <c r="G61" s="112"/>
    </row>
    <row r="62" spans="1:7">
      <c r="E62" s="112"/>
      <c r="F62" s="112"/>
      <c r="G62" s="112"/>
    </row>
    <row r="63" spans="1:7">
      <c r="E63" s="112"/>
      <c r="F63" s="112"/>
      <c r="G63" s="112"/>
    </row>
    <row r="64" spans="1:7">
      <c r="E64" s="112"/>
      <c r="F64" s="112"/>
      <c r="G64" s="112"/>
    </row>
    <row r="65" spans="5:7">
      <c r="E65" s="112"/>
      <c r="F65" s="112"/>
      <c r="G65" s="112"/>
    </row>
    <row r="66" spans="5:7">
      <c r="E66" s="112"/>
      <c r="F66" s="112"/>
      <c r="G66" s="112"/>
    </row>
    <row r="67" spans="5:7">
      <c r="E67" s="112"/>
      <c r="F67" s="112"/>
      <c r="G67" s="112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pane ySplit="9" topLeftCell="A10" activePane="bottomLeft" state="frozen"/>
      <selection activeCell="E18" sqref="E18"/>
      <selection pane="bottomLeft" activeCell="F29" sqref="F29"/>
    </sheetView>
  </sheetViews>
  <sheetFormatPr defaultColWidth="9.140625" defaultRowHeight="12.75"/>
  <cols>
    <col min="1" max="1" width="4.42578125" style="379" bestFit="1" customWidth="1"/>
    <col min="2" max="2" width="2.28515625" style="88" customWidth="1"/>
    <col min="3" max="3" width="25.85546875" style="88" bestFit="1" customWidth="1"/>
    <col min="4" max="4" width="8.7109375" style="239" customWidth="1"/>
    <col min="5" max="5" width="15.42578125" style="88" bestFit="1" customWidth="1"/>
    <col min="6" max="7" width="13.7109375" style="88" bestFit="1" customWidth="1"/>
    <col min="8" max="8" width="5.7109375" style="88" customWidth="1"/>
    <col min="9" max="9" width="2.28515625" style="88" customWidth="1"/>
    <col min="10" max="16384" width="9.140625" style="88"/>
  </cols>
  <sheetData>
    <row r="1" spans="1:7">
      <c r="D1" s="375" t="s">
        <v>334</v>
      </c>
      <c r="G1" s="100" t="s">
        <v>558</v>
      </c>
    </row>
    <row r="2" spans="1:7">
      <c r="D2" s="375" t="s">
        <v>952</v>
      </c>
      <c r="G2" s="100" t="s">
        <v>570</v>
      </c>
    </row>
    <row r="3" spans="1:7">
      <c r="D3" s="375" t="s">
        <v>954</v>
      </c>
      <c r="G3" s="100" t="s">
        <v>619</v>
      </c>
    </row>
    <row r="4" spans="1:7">
      <c r="D4" s="375" t="s">
        <v>953</v>
      </c>
    </row>
    <row r="5" spans="1:7">
      <c r="D5" s="375" t="s">
        <v>955</v>
      </c>
    </row>
    <row r="6" spans="1:7">
      <c r="D6" s="375" t="s">
        <v>993</v>
      </c>
    </row>
    <row r="7" spans="1:7">
      <c r="D7" s="375"/>
    </row>
    <row r="8" spans="1:7" ht="38.25">
      <c r="A8" s="103" t="s">
        <v>560</v>
      </c>
      <c r="C8" s="379" t="s">
        <v>7</v>
      </c>
      <c r="D8" s="375"/>
      <c r="E8" s="103" t="s">
        <v>620</v>
      </c>
      <c r="F8" s="103" t="s">
        <v>621</v>
      </c>
      <c r="G8" s="103" t="s">
        <v>622</v>
      </c>
    </row>
    <row r="9" spans="1:7">
      <c r="A9" s="260">
        <v>-1</v>
      </c>
      <c r="C9" s="107">
        <f>+A9-1</f>
        <v>-2</v>
      </c>
      <c r="D9" s="375"/>
      <c r="E9" s="107">
        <f>+C9-1</f>
        <v>-3</v>
      </c>
      <c r="F9" s="107">
        <f>+E9-1</f>
        <v>-4</v>
      </c>
      <c r="G9" s="107">
        <f>+F9-1</f>
        <v>-5</v>
      </c>
    </row>
    <row r="10" spans="1:7">
      <c r="A10" s="107"/>
    </row>
    <row r="11" spans="1:7">
      <c r="A11" s="107">
        <v>1</v>
      </c>
      <c r="C11" s="88" t="s">
        <v>994</v>
      </c>
      <c r="E11" s="109">
        <v>557921350.65999997</v>
      </c>
      <c r="F11" s="109">
        <v>1877248.7</v>
      </c>
      <c r="G11" s="112">
        <f>ROUND(F11/E11,4)</f>
        <v>3.3999999999999998E-3</v>
      </c>
    </row>
    <row r="12" spans="1:7">
      <c r="A12" s="107"/>
      <c r="E12" s="109"/>
      <c r="F12" s="109"/>
    </row>
    <row r="13" spans="1:7">
      <c r="A13" s="107">
        <f>+A11+1</f>
        <v>2</v>
      </c>
      <c r="C13" s="88" t="s">
        <v>995</v>
      </c>
      <c r="E13" s="109">
        <v>567403929.97000003</v>
      </c>
      <c r="F13" s="109">
        <v>2235347.0499999998</v>
      </c>
      <c r="G13" s="112">
        <f>ROUND(F13/E13,4)</f>
        <v>3.8999999999999998E-3</v>
      </c>
    </row>
    <row r="14" spans="1:7">
      <c r="A14" s="107"/>
      <c r="E14" s="109"/>
      <c r="F14" s="109"/>
    </row>
    <row r="15" spans="1:7">
      <c r="A15" s="107">
        <f>+A13+1</f>
        <v>3</v>
      </c>
      <c r="C15" s="88" t="s">
        <v>996</v>
      </c>
      <c r="E15" s="109">
        <v>532505823.44</v>
      </c>
      <c r="F15" s="109">
        <v>2625729.9700000002</v>
      </c>
      <c r="G15" s="112">
        <f>ROUND(F15/E15,4)</f>
        <v>4.8999999999999998E-3</v>
      </c>
    </row>
    <row r="16" spans="1:7">
      <c r="A16" s="107"/>
      <c r="E16" s="110" t="s">
        <v>562</v>
      </c>
      <c r="F16" s="110" t="s">
        <v>562</v>
      </c>
      <c r="G16" s="110" t="s">
        <v>562</v>
      </c>
    </row>
    <row r="17" spans="1:7">
      <c r="A17" s="107">
        <f>+A15+1</f>
        <v>4</v>
      </c>
      <c r="C17" s="88" t="s">
        <v>444</v>
      </c>
      <c r="E17" s="109">
        <f>SUM(E11:E16)</f>
        <v>1657831104.0700002</v>
      </c>
      <c r="F17" s="109">
        <f>SUM(F11:F16)</f>
        <v>6738325.7200000007</v>
      </c>
      <c r="G17" s="112">
        <f>SUM(G11:G15)</f>
        <v>1.2199999999999999E-2</v>
      </c>
    </row>
    <row r="18" spans="1:7">
      <c r="A18" s="107"/>
      <c r="E18" s="110" t="s">
        <v>562</v>
      </c>
      <c r="F18" s="110" t="s">
        <v>562</v>
      </c>
      <c r="G18" s="110" t="s">
        <v>562</v>
      </c>
    </row>
    <row r="19" spans="1:7">
      <c r="A19" s="107">
        <f>+A17+1</f>
        <v>5</v>
      </c>
      <c r="C19" s="88" t="s">
        <v>623</v>
      </c>
      <c r="E19" s="109">
        <f>ROUND(E17/3,0)</f>
        <v>552610368</v>
      </c>
      <c r="F19" s="109">
        <f>ROUND(F17/3,0)</f>
        <v>2246109</v>
      </c>
      <c r="G19" s="114">
        <f>ROUND(F19/E19,4)</f>
        <v>4.1000000000000003E-3</v>
      </c>
    </row>
    <row r="20" spans="1:7">
      <c r="A20" s="107"/>
      <c r="E20" s="110" t="s">
        <v>568</v>
      </c>
      <c r="F20" s="110" t="s">
        <v>568</v>
      </c>
      <c r="G20" s="110" t="s">
        <v>568</v>
      </c>
    </row>
    <row r="21" spans="1:7">
      <c r="A21" s="107"/>
      <c r="E21" s="109"/>
      <c r="F21" s="109"/>
    </row>
    <row r="22" spans="1:7">
      <c r="A22" s="107"/>
      <c r="E22" s="259"/>
      <c r="F22" s="259"/>
    </row>
    <row r="23" spans="1:7">
      <c r="A23" s="107"/>
      <c r="E23" s="109"/>
      <c r="F23" s="109"/>
    </row>
    <row r="24" spans="1:7">
      <c r="A24" s="107"/>
      <c r="E24" s="109"/>
      <c r="F24" s="109"/>
    </row>
    <row r="25" spans="1:7">
      <c r="A25" s="107"/>
      <c r="E25" s="109"/>
      <c r="F25" s="109"/>
    </row>
    <row r="26" spans="1:7">
      <c r="A26" s="107"/>
      <c r="E26" s="109"/>
      <c r="F26" s="109"/>
    </row>
    <row r="27" spans="1:7">
      <c r="A27" s="107"/>
      <c r="E27" s="109"/>
      <c r="F27" s="109"/>
    </row>
    <row r="28" spans="1:7">
      <c r="A28" s="107"/>
      <c r="E28" s="109"/>
      <c r="F28" s="109"/>
    </row>
    <row r="29" spans="1:7">
      <c r="A29" s="107"/>
      <c r="E29" s="109"/>
      <c r="F29" s="109"/>
    </row>
    <row r="30" spans="1:7">
      <c r="A30" s="107"/>
      <c r="E30" s="109"/>
      <c r="F30" s="109"/>
    </row>
    <row r="31" spans="1:7">
      <c r="A31" s="107"/>
      <c r="E31" s="109"/>
      <c r="F31" s="109"/>
    </row>
    <row r="32" spans="1:7">
      <c r="A32" s="107"/>
    </row>
    <row r="33" spans="1:1">
      <c r="A33" s="107"/>
    </row>
    <row r="34" spans="1:1">
      <c r="A34" s="107"/>
    </row>
    <row r="35" spans="1:1">
      <c r="A35" s="107"/>
    </row>
    <row r="36" spans="1:1">
      <c r="A36" s="107"/>
    </row>
    <row r="37" spans="1:1">
      <c r="A37" s="107"/>
    </row>
    <row r="38" spans="1:1">
      <c r="A38" s="107"/>
    </row>
    <row r="39" spans="1:1">
      <c r="A39" s="107"/>
    </row>
    <row r="40" spans="1:1">
      <c r="A40" s="107"/>
    </row>
    <row r="41" spans="1:1">
      <c r="A41" s="107"/>
    </row>
    <row r="42" spans="1:1">
      <c r="A42" s="107"/>
    </row>
    <row r="43" spans="1:1">
      <c r="A43" s="107"/>
    </row>
    <row r="44" spans="1:1">
      <c r="A44" s="107"/>
    </row>
    <row r="48" spans="1:1">
      <c r="A48" s="205"/>
    </row>
    <row r="49" spans="1:1">
      <c r="A49" s="205"/>
    </row>
    <row r="50" spans="1:1">
      <c r="A50" s="205"/>
    </row>
    <row r="51" spans="1:1">
      <c r="A51" s="205"/>
    </row>
  </sheetData>
  <printOptions horizontalCentered="1"/>
  <pageMargins left="0" right="0" top="1.5" bottom="0.5" header="0" footer="0"/>
  <pageSetup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zoomScaleNormal="100" workbookViewId="0">
      <pane xSplit="3" ySplit="10" topLeftCell="D11" activePane="bottomRight" state="frozen"/>
      <selection activeCell="E18" sqref="E18"/>
      <selection pane="topRight" activeCell="E18" sqref="E18"/>
      <selection pane="bottomLeft" activeCell="E18" sqref="E18"/>
      <selection pane="bottomRight" activeCell="F29" sqref="F29"/>
    </sheetView>
  </sheetViews>
  <sheetFormatPr defaultColWidth="9.140625" defaultRowHeight="12.75"/>
  <cols>
    <col min="1" max="1" width="4.7109375" style="88" customWidth="1"/>
    <col min="2" max="2" width="2.7109375" style="88" customWidth="1"/>
    <col min="3" max="3" width="26.5703125" style="88" customWidth="1"/>
    <col min="4" max="4" width="2.7109375" style="88" customWidth="1"/>
    <col min="5" max="5" width="16" style="88" bestFit="1" customWidth="1"/>
    <col min="6" max="6" width="3.28515625" style="88" customWidth="1"/>
    <col min="7" max="7" width="16.85546875" style="88" customWidth="1"/>
    <col min="8" max="8" width="2.7109375" style="88" customWidth="1"/>
    <col min="9" max="9" width="16.7109375" style="88" customWidth="1"/>
    <col min="10" max="10" width="2.7109375" style="88" customWidth="1"/>
    <col min="11" max="11" width="15.140625" style="88" bestFit="1" customWidth="1"/>
    <col min="12" max="12" width="2.7109375" style="88" customWidth="1"/>
    <col min="13" max="13" width="15.28515625" style="88" bestFit="1" customWidth="1"/>
    <col min="14" max="14" width="2.7109375" style="88" customWidth="1"/>
    <col min="15" max="15" width="13.140625" style="88" customWidth="1"/>
    <col min="16" max="16" width="2.7109375" style="88" customWidth="1"/>
    <col min="17" max="17" width="17" style="88" customWidth="1"/>
    <col min="18" max="18" width="2.7109375" style="88" customWidth="1"/>
    <col min="19" max="19" width="14.42578125" style="88" customWidth="1"/>
    <col min="20" max="20" width="2.7109375" style="88" customWidth="1"/>
    <col min="21" max="21" width="15.7109375" style="88" customWidth="1"/>
    <col min="22" max="22" width="2.7109375" style="88" customWidth="1"/>
    <col min="23" max="23" width="13.7109375" style="88" customWidth="1"/>
    <col min="24" max="24" width="2.7109375" style="88" customWidth="1"/>
    <col min="25" max="25" width="13.42578125" style="88" customWidth="1"/>
    <col min="26" max="27" width="2.7109375" style="88" customWidth="1"/>
    <col min="28" max="28" width="19.5703125" style="88" bestFit="1" customWidth="1"/>
    <col min="29" max="29" width="2.7109375" style="88" customWidth="1"/>
    <col min="30" max="30" width="19.5703125" style="88" customWidth="1"/>
    <col min="31" max="31" width="2.7109375" style="88" customWidth="1"/>
    <col min="32" max="32" width="17.140625" style="88" customWidth="1"/>
    <col min="33" max="33" width="2.7109375" style="88" customWidth="1"/>
    <col min="34" max="16384" width="9.140625" style="88"/>
  </cols>
  <sheetData>
    <row r="1" spans="1:33">
      <c r="N1" s="379" t="s">
        <v>334</v>
      </c>
      <c r="AF1" s="100" t="s">
        <v>558</v>
      </c>
    </row>
    <row r="2" spans="1:33">
      <c r="N2" s="379" t="s">
        <v>624</v>
      </c>
      <c r="AF2" s="100" t="s">
        <v>686</v>
      </c>
    </row>
    <row r="3" spans="1:33">
      <c r="N3" s="379" t="s">
        <v>993</v>
      </c>
      <c r="AF3" s="100"/>
    </row>
    <row r="6" spans="1:33">
      <c r="G6" s="379" t="s">
        <v>920</v>
      </c>
    </row>
    <row r="7" spans="1:33" ht="15" customHeight="1">
      <c r="A7" s="379"/>
      <c r="B7" s="379"/>
      <c r="C7" s="379"/>
      <c r="D7" s="379"/>
      <c r="E7" s="379"/>
      <c r="F7" s="379"/>
      <c r="G7" s="379" t="s">
        <v>916</v>
      </c>
      <c r="H7" s="379"/>
      <c r="I7" s="379"/>
      <c r="J7" s="379"/>
      <c r="K7" s="379" t="s">
        <v>829</v>
      </c>
      <c r="L7" s="379"/>
      <c r="M7" s="379" t="s">
        <v>829</v>
      </c>
      <c r="N7" s="379"/>
      <c r="O7" s="381" t="s">
        <v>1024</v>
      </c>
      <c r="P7" s="379"/>
      <c r="Q7" s="379" t="s">
        <v>1026</v>
      </c>
      <c r="R7" s="379"/>
      <c r="S7" s="379" t="s">
        <v>1028</v>
      </c>
      <c r="T7" s="379"/>
      <c r="U7" s="379" t="s">
        <v>625</v>
      </c>
      <c r="V7" s="379"/>
      <c r="W7" s="379" t="s">
        <v>626</v>
      </c>
      <c r="X7" s="379"/>
      <c r="Y7" s="379" t="s">
        <v>627</v>
      </c>
      <c r="Z7" s="379"/>
      <c r="AA7" s="379"/>
      <c r="AB7" s="379" t="s">
        <v>917</v>
      </c>
      <c r="AC7" s="379"/>
      <c r="AD7" s="379"/>
      <c r="AE7" s="379"/>
      <c r="AF7" s="379" t="s">
        <v>572</v>
      </c>
    </row>
    <row r="8" spans="1:33">
      <c r="A8" s="379" t="s">
        <v>2</v>
      </c>
      <c r="B8" s="379"/>
      <c r="C8" s="379"/>
      <c r="D8" s="379"/>
      <c r="E8" s="379" t="s">
        <v>628</v>
      </c>
      <c r="F8" s="379"/>
      <c r="G8" s="379" t="s">
        <v>628</v>
      </c>
      <c r="H8" s="379"/>
      <c r="I8" s="379" t="s">
        <v>912</v>
      </c>
      <c r="J8" s="379"/>
      <c r="K8" s="379" t="s">
        <v>907</v>
      </c>
      <c r="L8" s="379"/>
      <c r="M8" s="379" t="s">
        <v>830</v>
      </c>
      <c r="N8" s="379"/>
      <c r="O8" s="381" t="s">
        <v>429</v>
      </c>
      <c r="P8" s="379"/>
      <c r="Q8" s="379" t="s">
        <v>1027</v>
      </c>
      <c r="R8" s="379"/>
      <c r="S8" s="379" t="s">
        <v>1029</v>
      </c>
      <c r="T8" s="379"/>
      <c r="U8" s="379" t="s">
        <v>629</v>
      </c>
      <c r="V8" s="379"/>
      <c r="W8" s="379" t="s">
        <v>630</v>
      </c>
      <c r="X8" s="379"/>
      <c r="Y8" s="379" t="s">
        <v>631</v>
      </c>
      <c r="Z8" s="379"/>
      <c r="AA8" s="379"/>
      <c r="AB8" s="379" t="s">
        <v>918</v>
      </c>
      <c r="AC8" s="379"/>
      <c r="AD8" s="379" t="s">
        <v>632</v>
      </c>
      <c r="AE8" s="379"/>
      <c r="AF8" s="379" t="s">
        <v>575</v>
      </c>
    </row>
    <row r="9" spans="1:33">
      <c r="A9" s="382" t="s">
        <v>6</v>
      </c>
      <c r="B9" s="382"/>
      <c r="C9" s="382" t="s">
        <v>7</v>
      </c>
      <c r="D9" s="382"/>
      <c r="E9" s="382" t="s">
        <v>633</v>
      </c>
      <c r="F9" s="382"/>
      <c r="G9" s="382" t="s">
        <v>633</v>
      </c>
      <c r="H9" s="382"/>
      <c r="I9" s="382" t="s">
        <v>836</v>
      </c>
      <c r="J9" s="382"/>
      <c r="K9" s="382" t="s">
        <v>836</v>
      </c>
      <c r="L9" s="382"/>
      <c r="M9" s="382" t="s">
        <v>831</v>
      </c>
      <c r="N9" s="382"/>
      <c r="O9" s="382" t="s">
        <v>1025</v>
      </c>
      <c r="P9" s="382"/>
      <c r="Q9" s="382" t="s">
        <v>836</v>
      </c>
      <c r="R9" s="382"/>
      <c r="S9" s="382" t="s">
        <v>1030</v>
      </c>
      <c r="T9" s="382"/>
      <c r="U9" s="382" t="s">
        <v>634</v>
      </c>
      <c r="V9" s="382"/>
      <c r="W9" s="382" t="s">
        <v>635</v>
      </c>
      <c r="X9" s="382"/>
      <c r="Y9" s="382" t="s">
        <v>635</v>
      </c>
      <c r="Z9" s="382"/>
      <c r="AA9" s="382"/>
      <c r="AB9" s="382" t="s">
        <v>784</v>
      </c>
      <c r="AC9" s="382"/>
      <c r="AD9" s="382" t="s">
        <v>444</v>
      </c>
      <c r="AE9" s="382"/>
      <c r="AF9" s="382" t="s">
        <v>579</v>
      </c>
    </row>
    <row r="10" spans="1:33">
      <c r="A10" s="244">
        <v>-1</v>
      </c>
      <c r="B10" s="244"/>
      <c r="C10" s="244">
        <f>+A10-1</f>
        <v>-2</v>
      </c>
      <c r="D10" s="244"/>
      <c r="E10" s="244">
        <f>+C10-1</f>
        <v>-3</v>
      </c>
      <c r="F10" s="244"/>
      <c r="G10" s="244">
        <f>+E10-1</f>
        <v>-4</v>
      </c>
      <c r="H10" s="244"/>
      <c r="I10" s="244">
        <f>+G10-1</f>
        <v>-5</v>
      </c>
      <c r="J10" s="244"/>
      <c r="K10" s="244">
        <f>I10-1</f>
        <v>-6</v>
      </c>
      <c r="L10" s="244"/>
      <c r="M10" s="244">
        <f>K10-1</f>
        <v>-7</v>
      </c>
      <c r="N10" s="244"/>
      <c r="O10" s="244">
        <f>M10-1</f>
        <v>-8</v>
      </c>
      <c r="P10" s="244"/>
      <c r="Q10" s="244">
        <f>O10-1</f>
        <v>-9</v>
      </c>
      <c r="R10" s="244"/>
      <c r="S10" s="244">
        <f>Q10-1</f>
        <v>-10</v>
      </c>
      <c r="T10" s="244"/>
      <c r="U10" s="244">
        <f>S10-1</f>
        <v>-11</v>
      </c>
      <c r="V10" s="244"/>
      <c r="W10" s="244">
        <f>+U10-1</f>
        <v>-12</v>
      </c>
      <c r="X10" s="244"/>
      <c r="Y10" s="244">
        <f>W10-1</f>
        <v>-13</v>
      </c>
      <c r="Z10" s="244"/>
      <c r="AA10" s="244"/>
      <c r="AB10" s="244">
        <f>Y10-1</f>
        <v>-14</v>
      </c>
      <c r="AC10" s="244"/>
      <c r="AD10" s="244">
        <f>AB10-1</f>
        <v>-15</v>
      </c>
      <c r="AE10" s="244"/>
      <c r="AF10" s="244">
        <f>+AD10-1</f>
        <v>-16</v>
      </c>
      <c r="AG10" s="244"/>
    </row>
    <row r="11" spans="1:33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</row>
    <row r="12" spans="1:33">
      <c r="A12" s="379">
        <v>1</v>
      </c>
      <c r="C12" s="88" t="s">
        <v>585</v>
      </c>
      <c r="E12" s="109">
        <v>995000000</v>
      </c>
      <c r="F12" s="109"/>
      <c r="G12" s="109">
        <f>E12*$G$27</f>
        <v>980075000</v>
      </c>
      <c r="H12" s="109"/>
      <c r="I12" s="246">
        <f>I20*($E$12/($E$12+$E$18))</f>
        <v>-112974810.09731939</v>
      </c>
      <c r="J12" s="109"/>
      <c r="K12" s="246">
        <f>K20*($E$12/($E$12+$E$18))</f>
        <v>-954675.2428001198</v>
      </c>
      <c r="L12" s="109"/>
      <c r="M12" s="246">
        <f>M20*($E$12/($E$12+$E$18))</f>
        <v>-94560308.744661182</v>
      </c>
      <c r="N12" s="109"/>
      <c r="O12" s="246">
        <f>O20*($E$12/($E$12+$E$18))</f>
        <v>226584.32710439389</v>
      </c>
      <c r="P12" s="109"/>
      <c r="Q12" s="246">
        <f>Q20*($E$12/($E$12+$E$18))</f>
        <v>-785326.78362420271</v>
      </c>
      <c r="R12" s="109"/>
      <c r="S12" s="246">
        <f>S20*($E$12/($E$12+$E$18))</f>
        <v>-14403334.355363833</v>
      </c>
      <c r="T12" s="109"/>
      <c r="U12" s="246">
        <f>(U20-U14)*($E$12/($E$12+$E$18))</f>
        <v>-1329078.8373584885</v>
      </c>
      <c r="V12" s="109"/>
      <c r="W12" s="246">
        <f>W20*($E$12/($E$12+$E$18))</f>
        <v>-991839.43461969949</v>
      </c>
      <c r="X12" s="109"/>
      <c r="Y12" s="246">
        <f>Y20*($E$12/($E$12+$E$18))</f>
        <v>-3695548.3266803031</v>
      </c>
      <c r="Z12" s="109"/>
      <c r="AA12" s="109"/>
      <c r="AB12" s="259">
        <f>(I12*$I$27)+(K12*$K$27)+(M12*$M$27)+(U12*$U$27)+(W12*$W$27)+(Y12*$Y$27)+(O12*$O$27)+(Q12*$Q$27)+(S12*$S$27)</f>
        <v>-227947649.4906112</v>
      </c>
      <c r="AC12" s="109"/>
      <c r="AD12" s="109">
        <f>G12+AB12</f>
        <v>752127350.5093888</v>
      </c>
      <c r="AE12" s="109"/>
      <c r="AF12" s="109">
        <f>ROUND(AD12/$AD$20*$AD$22,0)+AD12</f>
        <v>752127350.5093888</v>
      </c>
    </row>
    <row r="13" spans="1:33">
      <c r="A13" s="379"/>
      <c r="E13" s="109"/>
      <c r="F13" s="109"/>
      <c r="G13" s="109"/>
      <c r="H13" s="109"/>
      <c r="I13" s="246"/>
      <c r="J13" s="109"/>
      <c r="K13" s="246"/>
      <c r="L13" s="109"/>
      <c r="M13" s="246"/>
      <c r="N13" s="109"/>
      <c r="O13" s="109"/>
      <c r="P13" s="109"/>
      <c r="Q13" s="109"/>
      <c r="R13" s="109"/>
      <c r="S13" s="109"/>
      <c r="T13" s="109"/>
      <c r="U13" s="246"/>
      <c r="V13" s="109"/>
      <c r="W13" s="246"/>
      <c r="X13" s="109"/>
      <c r="Y13" s="246"/>
      <c r="Z13" s="109"/>
      <c r="AA13" s="109"/>
      <c r="AB13" s="109"/>
      <c r="AC13" s="109"/>
      <c r="AD13" s="109"/>
      <c r="AE13" s="109"/>
      <c r="AF13" s="109"/>
    </row>
    <row r="14" spans="1:33">
      <c r="A14" s="379">
        <v>2</v>
      </c>
      <c r="C14" s="88" t="s">
        <v>587</v>
      </c>
      <c r="E14" s="38">
        <f>'3 P2'!F32</f>
        <v>10685290.880000001</v>
      </c>
      <c r="F14" s="38"/>
      <c r="G14" s="109">
        <f>E14*U27</f>
        <v>10535696.807680001</v>
      </c>
      <c r="H14" s="38"/>
      <c r="I14" s="246">
        <v>0</v>
      </c>
      <c r="J14" s="38"/>
      <c r="K14" s="246">
        <v>0</v>
      </c>
      <c r="L14" s="38"/>
      <c r="M14" s="246">
        <v>0</v>
      </c>
      <c r="N14" s="38"/>
      <c r="O14" s="38"/>
      <c r="P14" s="38"/>
      <c r="Q14" s="38"/>
      <c r="R14" s="38"/>
      <c r="S14" s="38"/>
      <c r="T14" s="38"/>
      <c r="U14" s="246">
        <f>-E14</f>
        <v>-10685290.880000001</v>
      </c>
      <c r="V14" s="38"/>
      <c r="W14" s="246">
        <v>0</v>
      </c>
      <c r="X14" s="38"/>
      <c r="Y14" s="246">
        <v>0</v>
      </c>
      <c r="Z14" s="38"/>
      <c r="AA14" s="38"/>
      <c r="AB14" s="109">
        <f>(I14*$I$27)+(K14*$K$27)+(M14*$M$27)+(U14*$U$27)+(W14*$W$27)+(Y14*$Y$27)+(O14*$O$27)+(Q14*$Q$27)+(S14*$S$27)</f>
        <v>-10535696.807680001</v>
      </c>
      <c r="AC14" s="109"/>
      <c r="AD14" s="109">
        <f>G14+AB14</f>
        <v>0</v>
      </c>
      <c r="AE14" s="38"/>
      <c r="AF14" s="38">
        <f>ROUND(AD14/$AD$20*$AD$22,0)+AD14</f>
        <v>0</v>
      </c>
    </row>
    <row r="15" spans="1:33">
      <c r="A15" s="379"/>
      <c r="E15" s="38"/>
      <c r="F15" s="38"/>
      <c r="G15" s="38"/>
      <c r="H15" s="38"/>
      <c r="I15" s="246"/>
      <c r="J15" s="38"/>
      <c r="K15" s="246"/>
      <c r="L15" s="38"/>
      <c r="M15" s="246"/>
      <c r="N15" s="38"/>
      <c r="O15" s="38"/>
      <c r="P15" s="38"/>
      <c r="Q15" s="38"/>
      <c r="R15" s="38"/>
      <c r="S15" s="38"/>
      <c r="T15" s="38"/>
      <c r="U15" s="246"/>
      <c r="V15" s="38"/>
      <c r="W15" s="246"/>
      <c r="X15" s="38"/>
      <c r="Y15" s="246"/>
      <c r="Z15" s="38"/>
      <c r="AA15" s="38"/>
      <c r="AB15" s="38"/>
      <c r="AC15" s="38"/>
      <c r="AD15" s="38"/>
      <c r="AE15" s="38"/>
      <c r="AF15" s="38"/>
    </row>
    <row r="16" spans="1:33">
      <c r="A16" s="379">
        <v>3</v>
      </c>
      <c r="C16" s="88" t="s">
        <v>636</v>
      </c>
      <c r="E16" s="109">
        <v>42892316.409999996</v>
      </c>
      <c r="F16" s="38"/>
      <c r="G16" s="109">
        <f>E16*$G$27</f>
        <v>42248931.663849995</v>
      </c>
      <c r="H16" s="38"/>
      <c r="I16" s="246">
        <v>0</v>
      </c>
      <c r="J16" s="38"/>
      <c r="K16" s="246">
        <v>0</v>
      </c>
      <c r="L16" s="38"/>
      <c r="M16" s="246">
        <v>0</v>
      </c>
      <c r="N16" s="38"/>
      <c r="O16" s="38"/>
      <c r="P16" s="38"/>
      <c r="Q16" s="38"/>
      <c r="R16" s="38"/>
      <c r="S16" s="38"/>
      <c r="T16" s="38"/>
      <c r="U16" s="246">
        <v>0</v>
      </c>
      <c r="V16" s="38"/>
      <c r="W16" s="246">
        <v>0</v>
      </c>
      <c r="X16" s="38"/>
      <c r="Y16" s="246">
        <v>0</v>
      </c>
      <c r="Z16" s="38"/>
      <c r="AA16" s="38"/>
      <c r="AB16" s="109">
        <f>(I16*$I$27)+(K16*$K$27)+(M16*$M$27)+(U16*$U$27)+(W16*$W$27)+(Y16*$Y$27)+(O16*$O$27)+(Q16*$Q$27)+(S16*$S$27)</f>
        <v>0</v>
      </c>
      <c r="AC16" s="109"/>
      <c r="AD16" s="109">
        <f>G16+AB16</f>
        <v>42248931.663849995</v>
      </c>
      <c r="AE16" s="38"/>
      <c r="AF16" s="38">
        <f>ROUND(AD16/$AD$20*$AD$22,0)+AD16</f>
        <v>42248931.663849995</v>
      </c>
    </row>
    <row r="17" spans="1:32">
      <c r="A17" s="379"/>
      <c r="E17" s="38"/>
      <c r="F17" s="38"/>
      <c r="G17" s="38"/>
      <c r="H17" s="38"/>
      <c r="I17" s="246"/>
      <c r="J17" s="38"/>
      <c r="K17" s="246"/>
      <c r="L17" s="38"/>
      <c r="M17" s="246"/>
      <c r="N17" s="38"/>
      <c r="O17" s="38"/>
      <c r="P17" s="38"/>
      <c r="Q17" s="38"/>
      <c r="R17" s="38"/>
      <c r="S17" s="38"/>
      <c r="T17" s="38"/>
      <c r="U17" s="246"/>
      <c r="V17" s="38"/>
      <c r="W17" s="246"/>
      <c r="X17" s="38"/>
      <c r="Y17" s="246"/>
      <c r="Z17" s="38"/>
      <c r="AA17" s="38"/>
      <c r="AB17" s="38"/>
      <c r="AC17" s="38"/>
      <c r="AD17" s="38"/>
      <c r="AE17" s="38"/>
      <c r="AF17" s="38"/>
    </row>
    <row r="18" spans="1:32">
      <c r="A18" s="379">
        <v>4</v>
      </c>
      <c r="C18" s="88" t="s">
        <v>591</v>
      </c>
      <c r="E18" s="109">
        <v>801037749.83299994</v>
      </c>
      <c r="F18" s="38"/>
      <c r="G18" s="109">
        <f>E18*$G$27</f>
        <v>789022183.58550489</v>
      </c>
      <c r="H18" s="38"/>
      <c r="I18" s="246">
        <f>I20*($E$18/($E$18+$E$12))</f>
        <v>-90951846.902680606</v>
      </c>
      <c r="J18" s="38"/>
      <c r="K18" s="246">
        <f>K20*($E$18/($E$18+$E$12))</f>
        <v>-768573.77719988022</v>
      </c>
      <c r="L18" s="38"/>
      <c r="M18" s="246">
        <f>M20*($E$18/($E$18+$E$12))</f>
        <v>-76127012.000338823</v>
      </c>
      <c r="N18" s="38"/>
      <c r="O18" s="246">
        <f>O20*($E$18/($E$18+$E$12))</f>
        <v>182414.67289560611</v>
      </c>
      <c r="P18" s="38"/>
      <c r="Q18" s="246">
        <f>Q20*($E$18/($E$18+$E$12))</f>
        <v>-632237.58757579746</v>
      </c>
      <c r="R18" s="38"/>
      <c r="S18" s="246">
        <f>S20*($E$18/($E$18+$E$12))</f>
        <v>-11595592.504636167</v>
      </c>
      <c r="T18" s="38"/>
      <c r="U18" s="246">
        <f>(U20-U14)*($E$18/($E$18+$E$12))</f>
        <v>-1069992.2826415107</v>
      </c>
      <c r="V18" s="38"/>
      <c r="W18" s="246">
        <f>W20*($E$18/($E$18+$E$12))</f>
        <v>-798493.29538030049</v>
      </c>
      <c r="X18" s="38"/>
      <c r="Y18" s="246">
        <f>Y20*($E$18/($E$18+$E$12))</f>
        <v>-2975149.463319697</v>
      </c>
      <c r="Z18" s="38"/>
      <c r="AA18" s="38"/>
      <c r="AB18" s="109">
        <f>(I18*$I$27)+(K18*$K$27)+(M18*$M$27)+(U18*$U$27)+(W18*$W$27)+(Y18*$Y$27)+(O18*$O$27)+(Q18*$Q$27)+(S18*$S$27)</f>
        <v>-183512233.3946538</v>
      </c>
      <c r="AC18" s="109"/>
      <c r="AD18" s="109">
        <f>G18+AB18</f>
        <v>605509950.19085109</v>
      </c>
      <c r="AE18" s="38"/>
      <c r="AF18" s="38">
        <f>ROUND(AD18/$AD$20*$AD$22,0)+AD18</f>
        <v>605509950.19085109</v>
      </c>
    </row>
    <row r="19" spans="1:32">
      <c r="A19" s="379"/>
      <c r="E19" s="110" t="s">
        <v>593</v>
      </c>
      <c r="F19" s="110"/>
      <c r="G19" s="110" t="s">
        <v>593</v>
      </c>
      <c r="H19" s="375"/>
      <c r="I19" s="375" t="s">
        <v>593</v>
      </c>
      <c r="J19" s="375"/>
      <c r="K19" s="375" t="s">
        <v>593</v>
      </c>
      <c r="L19" s="375"/>
      <c r="M19" s="375" t="s">
        <v>593</v>
      </c>
      <c r="N19" s="375"/>
      <c r="O19" s="375" t="s">
        <v>593</v>
      </c>
      <c r="P19" s="375"/>
      <c r="Q19" s="375" t="s">
        <v>593</v>
      </c>
      <c r="R19" s="375"/>
      <c r="S19" s="375" t="s">
        <v>593</v>
      </c>
      <c r="T19" s="375"/>
      <c r="U19" s="375" t="s">
        <v>593</v>
      </c>
      <c r="V19" s="375"/>
      <c r="W19" s="375" t="s">
        <v>593</v>
      </c>
      <c r="X19" s="243"/>
      <c r="Y19" s="110" t="s">
        <v>691</v>
      </c>
      <c r="Z19" s="243"/>
      <c r="AA19" s="243"/>
      <c r="AB19" s="110" t="s">
        <v>593</v>
      </c>
      <c r="AC19" s="110"/>
      <c r="AD19" s="110" t="s">
        <v>593</v>
      </c>
      <c r="AE19" s="243"/>
      <c r="AF19" s="110" t="s">
        <v>593</v>
      </c>
    </row>
    <row r="20" spans="1:32">
      <c r="A20" s="379">
        <v>5</v>
      </c>
      <c r="C20" s="88" t="s">
        <v>637</v>
      </c>
      <c r="E20" s="38">
        <f>SUM(E12:E18)</f>
        <v>1849615357.1229999</v>
      </c>
      <c r="F20" s="38"/>
      <c r="G20" s="38">
        <f>SUM(G12:G18)</f>
        <v>1821881812.057035</v>
      </c>
      <c r="H20" s="38"/>
      <c r="I20" s="38">
        <v>-203926657</v>
      </c>
      <c r="J20" s="38"/>
      <c r="K20" s="38">
        <v>-1723249.02</v>
      </c>
      <c r="L20" s="38"/>
      <c r="M20" s="38">
        <v>-170687320.745</v>
      </c>
      <c r="N20" s="38"/>
      <c r="O20" s="38">
        <v>408999</v>
      </c>
      <c r="P20" s="38"/>
      <c r="Q20" s="38">
        <v>-1417564.3712000002</v>
      </c>
      <c r="R20" s="38"/>
      <c r="S20" s="38">
        <v>-25998926.859999999</v>
      </c>
      <c r="T20" s="38"/>
      <c r="U20" s="38">
        <v>-13084362</v>
      </c>
      <c r="V20" s="38"/>
      <c r="W20" s="38">
        <v>-1790332.73</v>
      </c>
      <c r="X20" s="38"/>
      <c r="Y20" s="38">
        <v>-6670697.79</v>
      </c>
      <c r="Z20" s="38"/>
      <c r="AA20" s="38"/>
      <c r="AB20" s="38">
        <f>SUM(AB12:AB18)</f>
        <v>-421995579.692945</v>
      </c>
      <c r="AC20" s="38"/>
      <c r="AD20" s="38">
        <f>SUM(AD12:AD18)</f>
        <v>1399886232.36409</v>
      </c>
      <c r="AE20" s="38"/>
      <c r="AF20" s="38">
        <f>SUM(AF12:AF18)</f>
        <v>1399886232.36409</v>
      </c>
    </row>
    <row r="21" spans="1:32">
      <c r="A21" s="37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</row>
    <row r="22" spans="1:32">
      <c r="A22" s="379">
        <v>6</v>
      </c>
      <c r="C22" s="88" t="s">
        <v>638</v>
      </c>
      <c r="E22" s="38">
        <v>-0.38</v>
      </c>
      <c r="F22" s="38"/>
      <c r="G22" s="109">
        <f>E22*$G$27</f>
        <v>-0.37430000000000002</v>
      </c>
      <c r="H22" s="38"/>
      <c r="I22" s="38">
        <v>0</v>
      </c>
      <c r="J22" s="38"/>
      <c r="K22" s="38">
        <v>0</v>
      </c>
      <c r="L22" s="38"/>
      <c r="M22" s="38">
        <v>0</v>
      </c>
      <c r="N22" s="38"/>
      <c r="O22" s="38">
        <v>0</v>
      </c>
      <c r="P22" s="38"/>
      <c r="Q22" s="38">
        <v>0</v>
      </c>
      <c r="R22" s="38"/>
      <c r="S22" s="38">
        <v>0</v>
      </c>
      <c r="T22" s="38"/>
      <c r="U22" s="38">
        <v>0</v>
      </c>
      <c r="V22" s="38"/>
      <c r="W22" s="38">
        <v>0</v>
      </c>
      <c r="X22" s="38"/>
      <c r="Y22" s="38">
        <v>0</v>
      </c>
      <c r="Z22" s="38"/>
      <c r="AA22" s="38"/>
      <c r="AB22" s="38">
        <f>G22</f>
        <v>-0.37430000000000002</v>
      </c>
      <c r="AC22" s="38"/>
      <c r="AD22" s="38">
        <f>AB22</f>
        <v>-0.37430000000000002</v>
      </c>
      <c r="AE22" s="38"/>
      <c r="AF22" s="38">
        <v>0</v>
      </c>
    </row>
    <row r="23" spans="1:32">
      <c r="A23" s="379"/>
      <c r="E23" s="110" t="s">
        <v>593</v>
      </c>
      <c r="F23" s="110"/>
      <c r="G23" s="110"/>
      <c r="H23" s="375"/>
      <c r="I23" s="375" t="s">
        <v>593</v>
      </c>
      <c r="J23" s="375"/>
      <c r="K23" s="375" t="s">
        <v>593</v>
      </c>
      <c r="L23" s="375"/>
      <c r="M23" s="375" t="s">
        <v>593</v>
      </c>
      <c r="N23" s="375"/>
      <c r="O23" s="375" t="s">
        <v>593</v>
      </c>
      <c r="P23" s="375"/>
      <c r="Q23" s="375" t="s">
        <v>593</v>
      </c>
      <c r="R23" s="375"/>
      <c r="S23" s="375" t="s">
        <v>593</v>
      </c>
      <c r="T23" s="375"/>
      <c r="U23" s="375" t="s">
        <v>593</v>
      </c>
      <c r="V23" s="375"/>
      <c r="W23" s="375" t="s">
        <v>593</v>
      </c>
      <c r="X23" s="243"/>
      <c r="Y23" s="375" t="s">
        <v>724</v>
      </c>
      <c r="Z23" s="243"/>
      <c r="AA23" s="243"/>
      <c r="AB23" s="110" t="s">
        <v>593</v>
      </c>
      <c r="AC23" s="110"/>
      <c r="AD23" s="110" t="s">
        <v>593</v>
      </c>
      <c r="AE23" s="243"/>
      <c r="AF23" s="110" t="s">
        <v>593</v>
      </c>
    </row>
    <row r="24" spans="1:32">
      <c r="A24" s="379">
        <v>7</v>
      </c>
      <c r="C24" s="88" t="s">
        <v>444</v>
      </c>
      <c r="E24" s="109">
        <f>SUM(E20:E22)</f>
        <v>1849615356.7429998</v>
      </c>
      <c r="F24" s="109"/>
      <c r="G24" s="109">
        <f>SUM(G20:G22)</f>
        <v>1821881811.682735</v>
      </c>
      <c r="H24" s="109"/>
      <c r="I24" s="109">
        <f>SUM(I20:I22)</f>
        <v>-203926657</v>
      </c>
      <c r="J24" s="113"/>
      <c r="K24" s="109">
        <f>SUM(K20:K22)</f>
        <v>-1723249.02</v>
      </c>
      <c r="L24" s="113"/>
      <c r="M24" s="109">
        <f>SUM(M20:M22)</f>
        <v>-170687320.745</v>
      </c>
      <c r="N24" s="113"/>
      <c r="O24" s="109">
        <f>SUM(O20:O22)</f>
        <v>408999</v>
      </c>
      <c r="P24" s="113"/>
      <c r="Q24" s="109">
        <f>SUM(Q20:Q22)</f>
        <v>-1417564.3712000002</v>
      </c>
      <c r="R24" s="113"/>
      <c r="S24" s="109">
        <f>SUM(S20:S22)</f>
        <v>-25998926.859999999</v>
      </c>
      <c r="T24" s="113"/>
      <c r="U24" s="109">
        <f>SUM(U20:U22)</f>
        <v>-13084362</v>
      </c>
      <c r="V24" s="113"/>
      <c r="W24" s="109">
        <f>SUM(W20:W22)</f>
        <v>-1790332.73</v>
      </c>
      <c r="X24" s="113"/>
      <c r="Y24" s="109">
        <f>SUM(Y20:Y22)</f>
        <v>-6670697.79</v>
      </c>
      <c r="Z24" s="113"/>
      <c r="AA24" s="113"/>
      <c r="AB24" s="113">
        <f>SUM(AB20:AB22)</f>
        <v>-421995580.06724501</v>
      </c>
      <c r="AC24" s="113"/>
      <c r="AD24" s="113">
        <f>SUM(AD20:AD22)</f>
        <v>1399886231.98979</v>
      </c>
      <c r="AE24" s="113"/>
      <c r="AF24" s="113">
        <f>SUM(AF20)</f>
        <v>1399886232.36409</v>
      </c>
    </row>
    <row r="25" spans="1:32">
      <c r="A25" s="379"/>
      <c r="E25" s="110" t="s">
        <v>801</v>
      </c>
      <c r="F25" s="110"/>
      <c r="G25" s="110"/>
      <c r="H25" s="375"/>
      <c r="I25" s="110" t="s">
        <v>554</v>
      </c>
      <c r="J25" s="110"/>
      <c r="K25" s="110" t="s">
        <v>554</v>
      </c>
      <c r="L25" s="110"/>
      <c r="M25" s="110" t="s">
        <v>554</v>
      </c>
      <c r="N25" s="110"/>
      <c r="O25" s="110" t="s">
        <v>554</v>
      </c>
      <c r="P25" s="110"/>
      <c r="Q25" s="110" t="s">
        <v>554</v>
      </c>
      <c r="R25" s="110"/>
      <c r="S25" s="110" t="s">
        <v>554</v>
      </c>
      <c r="T25" s="110"/>
      <c r="U25" s="110" t="s">
        <v>554</v>
      </c>
      <c r="V25" s="110"/>
      <c r="W25" s="110" t="s">
        <v>554</v>
      </c>
      <c r="X25" s="100"/>
      <c r="Y25" s="110" t="s">
        <v>568</v>
      </c>
      <c r="Z25" s="100"/>
      <c r="AA25" s="100"/>
      <c r="AB25" s="110" t="s">
        <v>554</v>
      </c>
      <c r="AC25" s="110"/>
      <c r="AD25" s="110" t="s">
        <v>554</v>
      </c>
      <c r="AE25" s="100"/>
      <c r="AF25" s="110" t="s">
        <v>554</v>
      </c>
    </row>
    <row r="26" spans="1:32">
      <c r="A26" s="379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9"/>
      <c r="Y26" s="375"/>
      <c r="Z26" s="379"/>
      <c r="AA26" s="379"/>
      <c r="AB26" s="375"/>
      <c r="AC26" s="375"/>
      <c r="AD26" s="375"/>
      <c r="AE26" s="379"/>
      <c r="AF26" s="110"/>
    </row>
    <row r="27" spans="1:32">
      <c r="A27" s="379">
        <v>8</v>
      </c>
      <c r="C27" s="88" t="s">
        <v>768</v>
      </c>
      <c r="F27" s="234"/>
      <c r="G27" s="234">
        <f>'Allocation Factors'!$G$24</f>
        <v>0.98499999999999999</v>
      </c>
      <c r="H27" s="234"/>
      <c r="I27" s="234">
        <v>1</v>
      </c>
      <c r="K27" s="234">
        <f>'Allocation Factors'!G14</f>
        <v>0.98599999999999999</v>
      </c>
      <c r="M27" s="234">
        <f>'Allocation Factors'!$G$10</f>
        <v>0.98499999999999999</v>
      </c>
      <c r="O27" s="234">
        <v>1</v>
      </c>
      <c r="Q27" s="234">
        <v>1</v>
      </c>
      <c r="S27" s="234">
        <v>1</v>
      </c>
      <c r="U27" s="234">
        <f>'Allocation Factors'!G14</f>
        <v>0.98599999999999999</v>
      </c>
      <c r="W27" s="234">
        <f>'Allocation Factors'!$G$24</f>
        <v>0.98499999999999999</v>
      </c>
      <c r="Y27" s="234">
        <f>'Allocation Factors'!$G$24</f>
        <v>0.98499999999999999</v>
      </c>
      <c r="AB27" s="246"/>
      <c r="AC27" s="246"/>
      <c r="AD27" s="246"/>
    </row>
    <row r="28" spans="1:32">
      <c r="A28" s="379"/>
      <c r="AB28" s="109"/>
      <c r="AC28" s="109"/>
      <c r="AD28" s="109"/>
    </row>
    <row r="29" spans="1:32">
      <c r="A29" s="379"/>
      <c r="E29" s="379"/>
      <c r="F29" s="379"/>
      <c r="G29" s="379" t="s">
        <v>354</v>
      </c>
      <c r="H29" s="379"/>
      <c r="I29" s="379" t="s">
        <v>362</v>
      </c>
      <c r="J29" s="379"/>
      <c r="K29" s="379" t="s">
        <v>344</v>
      </c>
      <c r="L29" s="379"/>
      <c r="M29" s="379" t="s">
        <v>341</v>
      </c>
      <c r="N29" s="379"/>
      <c r="O29" s="379" t="s">
        <v>362</v>
      </c>
      <c r="P29" s="379"/>
      <c r="Q29" s="379" t="s">
        <v>362</v>
      </c>
      <c r="R29" s="379"/>
      <c r="S29" s="379" t="s">
        <v>362</v>
      </c>
      <c r="T29" s="379"/>
      <c r="U29" s="379" t="s">
        <v>344</v>
      </c>
      <c r="V29" s="379"/>
      <c r="W29" s="379" t="s">
        <v>354</v>
      </c>
      <c r="X29" s="379"/>
      <c r="Y29" s="379" t="s">
        <v>354</v>
      </c>
    </row>
    <row r="32" spans="1:32">
      <c r="C32" s="199"/>
      <c r="G32" s="109"/>
      <c r="U32" s="265"/>
    </row>
    <row r="33" spans="9:21">
      <c r="I33" s="14"/>
      <c r="M33" s="88" t="s">
        <v>48</v>
      </c>
    </row>
    <row r="34" spans="9:21">
      <c r="U34" s="265"/>
    </row>
    <row r="35" spans="9:21">
      <c r="I35" s="266"/>
    </row>
    <row r="52" spans="32:32" ht="24" customHeight="1">
      <c r="AF52" s="425"/>
    </row>
    <row r="53" spans="32:32" ht="24" customHeight="1">
      <c r="AF53" s="425"/>
    </row>
    <row r="54" spans="32:32">
      <c r="AF54" s="425"/>
    </row>
    <row r="55" spans="32:32">
      <c r="AF55" s="425"/>
    </row>
    <row r="56" spans="32:32">
      <c r="AF56" s="425"/>
    </row>
    <row r="57" spans="32:32">
      <c r="AF57" s="425"/>
    </row>
  </sheetData>
  <mergeCells count="1">
    <mergeCell ref="AF52:AF57"/>
  </mergeCells>
  <printOptions horizontalCentered="1"/>
  <pageMargins left="0" right="0" top="1" bottom="0.5" header="0" footer="0"/>
  <pageSetup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90" zoomScaleNormal="90" workbookViewId="0">
      <pane xSplit="2" ySplit="13" topLeftCell="C29" activePane="bottomRight" state="frozen"/>
      <selection activeCell="E18" sqref="E18"/>
      <selection pane="topRight" activeCell="E18" sqref="E18"/>
      <selection pane="bottomLeft" activeCell="E18" sqref="E18"/>
      <selection pane="bottomRight" activeCell="V29" sqref="V29"/>
    </sheetView>
  </sheetViews>
  <sheetFormatPr defaultColWidth="9.140625" defaultRowHeight="12.75"/>
  <cols>
    <col min="1" max="1" width="3.28515625" style="358" bestFit="1" customWidth="1"/>
    <col min="2" max="2" width="23.7109375" style="94" customWidth="1"/>
    <col min="3" max="3" width="2.28515625" style="94" customWidth="1"/>
    <col min="4" max="4" width="14.28515625" style="94" customWidth="1"/>
    <col min="5" max="5" width="10.140625" style="94" bestFit="1" customWidth="1"/>
    <col min="6" max="6" width="10.7109375" style="94" customWidth="1"/>
    <col min="7" max="7" width="8.140625" style="94" bestFit="1" customWidth="1"/>
    <col min="8" max="8" width="11.7109375" style="94" customWidth="1"/>
    <col min="9" max="9" width="2.28515625" style="40" customWidth="1"/>
    <col min="10" max="10" width="10.7109375" style="94" customWidth="1"/>
    <col min="11" max="11" width="2.28515625" style="40" customWidth="1"/>
    <col min="12" max="12" width="13.5703125" style="94" bestFit="1" customWidth="1"/>
    <col min="13" max="14" width="9.28515625" style="94" bestFit="1" customWidth="1"/>
    <col min="15" max="15" width="11.7109375" style="94" bestFit="1" customWidth="1"/>
    <col min="16" max="16" width="2.28515625" style="40" customWidth="1"/>
    <col min="17" max="17" width="11.7109375" style="94" bestFit="1" customWidth="1"/>
    <col min="18" max="18" width="2.28515625" style="94" customWidth="1"/>
    <col min="19" max="19" width="9" style="94" bestFit="1" customWidth="1"/>
    <col min="20" max="20" width="8.7109375" style="358" customWidth="1"/>
    <col min="21" max="21" width="2.28515625" style="94" customWidth="1"/>
    <col min="22" max="16384" width="9.140625" style="94"/>
  </cols>
  <sheetData>
    <row r="1" spans="1:20">
      <c r="B1" s="427" t="s">
        <v>334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S1" s="267"/>
      <c r="T1" s="100" t="s">
        <v>558</v>
      </c>
    </row>
    <row r="2" spans="1:20">
      <c r="B2" s="427" t="s">
        <v>956</v>
      </c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S2" s="268"/>
      <c r="T2" s="100" t="s">
        <v>686</v>
      </c>
    </row>
    <row r="3" spans="1:20">
      <c r="B3" s="427" t="s">
        <v>993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S3" s="268"/>
      <c r="T3" s="100" t="s">
        <v>687</v>
      </c>
    </row>
    <row r="4" spans="1:20">
      <c r="B4" s="427" t="s">
        <v>639</v>
      </c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3"/>
      <c r="S4" s="3"/>
      <c r="T4" s="205"/>
    </row>
    <row r="7" spans="1:20">
      <c r="B7" s="358"/>
      <c r="C7" s="358"/>
      <c r="D7" s="358"/>
      <c r="E7" s="358"/>
      <c r="F7" s="358"/>
      <c r="G7" s="358"/>
      <c r="H7" s="358"/>
      <c r="I7" s="269"/>
      <c r="J7" s="358"/>
      <c r="K7" s="269"/>
      <c r="L7" s="358"/>
      <c r="M7" s="358"/>
      <c r="N7" s="358"/>
      <c r="O7" s="358"/>
      <c r="P7" s="269"/>
      <c r="Q7" s="358" t="s">
        <v>578</v>
      </c>
      <c r="R7" s="358"/>
      <c r="S7" s="358"/>
    </row>
    <row r="8" spans="1:20">
      <c r="B8" s="358"/>
      <c r="C8" s="358"/>
      <c r="D8" s="358"/>
      <c r="E8" s="358"/>
      <c r="F8" s="358"/>
      <c r="G8" s="358"/>
      <c r="H8" s="358"/>
      <c r="I8" s="269"/>
      <c r="J8" s="358" t="s">
        <v>444</v>
      </c>
      <c r="K8" s="269"/>
      <c r="L8" s="358" t="s">
        <v>640</v>
      </c>
      <c r="M8" s="358"/>
      <c r="N8" s="358"/>
      <c r="O8" s="358"/>
      <c r="P8" s="269"/>
      <c r="Q8" s="358" t="s">
        <v>641</v>
      </c>
      <c r="R8" s="358"/>
      <c r="S8" s="358"/>
    </row>
    <row r="9" spans="1:20">
      <c r="B9" s="358"/>
      <c r="C9" s="358"/>
      <c r="D9" s="358"/>
      <c r="E9" s="358"/>
      <c r="F9" s="358"/>
      <c r="G9" s="358"/>
      <c r="H9" s="358"/>
      <c r="I9" s="269"/>
      <c r="J9" s="358" t="s">
        <v>642</v>
      </c>
      <c r="K9" s="269"/>
      <c r="L9" s="358" t="s">
        <v>643</v>
      </c>
      <c r="M9" s="358"/>
      <c r="N9" s="358"/>
      <c r="O9" s="358"/>
      <c r="P9" s="269"/>
      <c r="Q9" s="379" t="s">
        <v>644</v>
      </c>
      <c r="R9" s="379"/>
      <c r="S9" s="379"/>
    </row>
    <row r="10" spans="1:20">
      <c r="B10" s="358"/>
      <c r="C10" s="358"/>
      <c r="D10" s="358"/>
      <c r="E10" s="358"/>
      <c r="F10" s="358"/>
      <c r="G10" s="358" t="s">
        <v>645</v>
      </c>
      <c r="H10" s="358" t="s">
        <v>646</v>
      </c>
      <c r="I10" s="269"/>
      <c r="J10" s="358" t="s">
        <v>647</v>
      </c>
      <c r="K10" s="269"/>
      <c r="L10" s="358" t="s">
        <v>648</v>
      </c>
      <c r="M10" s="358" t="s">
        <v>649</v>
      </c>
      <c r="N10" s="358" t="s">
        <v>650</v>
      </c>
      <c r="O10" s="358" t="s">
        <v>651</v>
      </c>
      <c r="P10" s="269"/>
      <c r="Q10" s="358" t="s">
        <v>652</v>
      </c>
      <c r="R10" s="358"/>
      <c r="S10" s="358" t="s">
        <v>578</v>
      </c>
      <c r="T10" s="358" t="s">
        <v>653</v>
      </c>
    </row>
    <row r="11" spans="1:20">
      <c r="A11" s="358" t="s">
        <v>654</v>
      </c>
      <c r="B11" s="358"/>
      <c r="C11" s="358"/>
      <c r="D11" s="358" t="s">
        <v>655</v>
      </c>
      <c r="E11" s="358" t="s">
        <v>656</v>
      </c>
      <c r="F11" s="358" t="s">
        <v>656</v>
      </c>
      <c r="G11" s="358" t="s">
        <v>657</v>
      </c>
      <c r="H11" s="358" t="s">
        <v>658</v>
      </c>
      <c r="I11" s="269"/>
      <c r="J11" s="358" t="s">
        <v>659</v>
      </c>
      <c r="K11" s="269"/>
      <c r="L11" s="358" t="s">
        <v>660</v>
      </c>
      <c r="M11" s="358" t="s">
        <v>661</v>
      </c>
      <c r="N11" s="358" t="s">
        <v>577</v>
      </c>
      <c r="O11" s="358" t="s">
        <v>658</v>
      </c>
      <c r="P11" s="269"/>
      <c r="Q11" s="358" t="s">
        <v>662</v>
      </c>
      <c r="R11" s="358"/>
      <c r="S11" s="358" t="s">
        <v>663</v>
      </c>
      <c r="T11" s="358" t="s">
        <v>580</v>
      </c>
    </row>
    <row r="12" spans="1:20">
      <c r="A12" s="382" t="s">
        <v>664</v>
      </c>
      <c r="B12" s="382" t="s">
        <v>7</v>
      </c>
      <c r="C12" s="382"/>
      <c r="D12" s="382" t="s">
        <v>665</v>
      </c>
      <c r="E12" s="382" t="s">
        <v>666</v>
      </c>
      <c r="F12" s="382" t="s">
        <v>667</v>
      </c>
      <c r="G12" s="382" t="s">
        <v>668</v>
      </c>
      <c r="H12" s="382" t="s">
        <v>669</v>
      </c>
      <c r="I12" s="270"/>
      <c r="J12" s="382" t="s">
        <v>402</v>
      </c>
      <c r="K12" s="270"/>
      <c r="L12" s="382" t="s">
        <v>670</v>
      </c>
      <c r="M12" s="382" t="s">
        <v>671</v>
      </c>
      <c r="N12" s="382" t="s">
        <v>582</v>
      </c>
      <c r="O12" s="382" t="s">
        <v>672</v>
      </c>
      <c r="P12" s="270"/>
      <c r="Q12" s="382" t="s">
        <v>673</v>
      </c>
      <c r="R12" s="382"/>
      <c r="S12" s="382" t="s">
        <v>644</v>
      </c>
      <c r="T12" s="382" t="s">
        <v>674</v>
      </c>
    </row>
    <row r="13" spans="1:20">
      <c r="A13" s="271">
        <v>-1</v>
      </c>
      <c r="B13" s="271">
        <f>+A13-1</f>
        <v>-2</v>
      </c>
      <c r="C13" s="271"/>
      <c r="D13" s="271">
        <f>+B13-1</f>
        <v>-3</v>
      </c>
      <c r="E13" s="271">
        <f>+D13-1</f>
        <v>-4</v>
      </c>
      <c r="F13" s="271">
        <f t="shared" ref="F13:T13" si="0">+E13-1</f>
        <v>-5</v>
      </c>
      <c r="G13" s="271">
        <f t="shared" si="0"/>
        <v>-6</v>
      </c>
      <c r="H13" s="271">
        <f t="shared" si="0"/>
        <v>-7</v>
      </c>
      <c r="I13" s="272"/>
      <c r="J13" s="271">
        <f>+H13-1</f>
        <v>-8</v>
      </c>
      <c r="K13" s="272"/>
      <c r="L13" s="271">
        <f>+J13-1</f>
        <v>-9</v>
      </c>
      <c r="M13" s="271">
        <f t="shared" si="0"/>
        <v>-10</v>
      </c>
      <c r="N13" s="271">
        <f t="shared" si="0"/>
        <v>-11</v>
      </c>
      <c r="O13" s="271">
        <f t="shared" si="0"/>
        <v>-12</v>
      </c>
      <c r="P13" s="272"/>
      <c r="Q13" s="271">
        <f>+O13-1</f>
        <v>-13</v>
      </c>
      <c r="R13" s="271"/>
      <c r="S13" s="271">
        <f>+Q13-1</f>
        <v>-14</v>
      </c>
      <c r="T13" s="271">
        <f t="shared" si="0"/>
        <v>-15</v>
      </c>
    </row>
    <row r="15" spans="1:20">
      <c r="B15" s="273" t="s">
        <v>677</v>
      </c>
      <c r="D15" s="274"/>
      <c r="E15" s="275"/>
      <c r="F15" s="275"/>
      <c r="G15" s="276"/>
      <c r="H15" s="277"/>
      <c r="I15" s="278"/>
      <c r="J15" s="277"/>
      <c r="K15" s="278"/>
      <c r="L15" s="277"/>
      <c r="M15" s="279"/>
      <c r="N15" s="274"/>
      <c r="O15" s="277"/>
      <c r="P15" s="278"/>
    </row>
    <row r="16" spans="1:20">
      <c r="A16" s="358">
        <v>1</v>
      </c>
      <c r="B16" s="94" t="s">
        <v>678</v>
      </c>
      <c r="D16" s="274">
        <v>5.6250000000000001E-2</v>
      </c>
      <c r="E16" s="387" t="s">
        <v>679</v>
      </c>
      <c r="F16" s="387" t="s">
        <v>680</v>
      </c>
      <c r="G16" s="388">
        <v>29.466666666666665</v>
      </c>
      <c r="H16" s="277">
        <v>75000</v>
      </c>
      <c r="I16" s="278"/>
      <c r="J16" s="277">
        <v>736.57500000000005</v>
      </c>
      <c r="K16" s="278"/>
      <c r="L16" s="277">
        <f>+H16-J16</f>
        <v>74263.425000000003</v>
      </c>
      <c r="M16" s="280">
        <f>L16/H16*100</f>
        <v>99.017899999999997</v>
      </c>
      <c r="N16" s="274">
        <v>5.6939686730081547E-2</v>
      </c>
      <c r="O16" s="277">
        <v>75000</v>
      </c>
      <c r="P16" s="278"/>
      <c r="Q16" s="281">
        <f t="shared" ref="Q16:Q25" si="1">ROUND(O16*N16,0)</f>
        <v>4270</v>
      </c>
      <c r="R16" s="281"/>
      <c r="T16" s="358" t="s">
        <v>675</v>
      </c>
    </row>
    <row r="17" spans="1:20">
      <c r="A17" s="358">
        <v>2</v>
      </c>
      <c r="B17" s="94" t="s">
        <v>678</v>
      </c>
      <c r="D17" s="274">
        <v>7.2499999999999995E-2</v>
      </c>
      <c r="E17" s="387" t="s">
        <v>681</v>
      </c>
      <c r="F17" s="387" t="s">
        <v>682</v>
      </c>
      <c r="G17" s="388">
        <v>12</v>
      </c>
      <c r="H17" s="277">
        <v>40000</v>
      </c>
      <c r="I17" s="278"/>
      <c r="J17" s="277">
        <v>217.91900000000001</v>
      </c>
      <c r="K17" s="278"/>
      <c r="L17" s="277">
        <f t="shared" ref="L17:L24" si="2">+H17-J17</f>
        <v>39782.080999999998</v>
      </c>
      <c r="M17" s="280">
        <f t="shared" ref="M17:M24" si="3">L17/H17*100</f>
        <v>99.455202499999999</v>
      </c>
      <c r="N17" s="274">
        <v>7.3189936616157011E-2</v>
      </c>
      <c r="O17" s="277">
        <v>40000</v>
      </c>
      <c r="P17" s="278"/>
      <c r="Q17" s="281">
        <f t="shared" si="1"/>
        <v>2928</v>
      </c>
      <c r="R17" s="281"/>
      <c r="T17" s="358" t="s">
        <v>675</v>
      </c>
    </row>
    <row r="18" spans="1:20">
      <c r="A18" s="358">
        <v>3</v>
      </c>
      <c r="B18" s="94" t="s">
        <v>678</v>
      </c>
      <c r="D18" s="274">
        <v>8.0299999999999996E-2</v>
      </c>
      <c r="E18" s="387" t="s">
        <v>681</v>
      </c>
      <c r="F18" s="387" t="s">
        <v>683</v>
      </c>
      <c r="G18" s="388">
        <v>20</v>
      </c>
      <c r="H18" s="277">
        <v>30000</v>
      </c>
      <c r="I18" s="278"/>
      <c r="J18" s="277">
        <v>148.03200000000001</v>
      </c>
      <c r="K18" s="278"/>
      <c r="L18" s="277">
        <f t="shared" si="2"/>
        <v>29851.968000000001</v>
      </c>
      <c r="M18" s="280">
        <f t="shared" si="3"/>
        <v>99.506559999999993</v>
      </c>
      <c r="N18" s="274">
        <v>8.0801583951206277E-2</v>
      </c>
      <c r="O18" s="277">
        <v>30000</v>
      </c>
      <c r="P18" s="278"/>
      <c r="Q18" s="281">
        <f t="shared" si="1"/>
        <v>2424</v>
      </c>
      <c r="R18" s="281"/>
      <c r="T18" s="358" t="s">
        <v>675</v>
      </c>
    </row>
    <row r="19" spans="1:20">
      <c r="A19" s="358">
        <f t="shared" ref="A19:A25" si="4">A18+1</f>
        <v>4</v>
      </c>
      <c r="B19" s="94" t="s">
        <v>678</v>
      </c>
      <c r="D19" s="274">
        <v>8.1299999999999997E-2</v>
      </c>
      <c r="E19" s="387" t="s">
        <v>681</v>
      </c>
      <c r="F19" s="387" t="s">
        <v>684</v>
      </c>
      <c r="G19" s="388">
        <v>30</v>
      </c>
      <c r="H19" s="277">
        <v>60000</v>
      </c>
      <c r="I19" s="278"/>
      <c r="J19" s="277">
        <v>342.28500000000003</v>
      </c>
      <c r="K19" s="278"/>
      <c r="L19" s="277">
        <f t="shared" si="2"/>
        <v>59657.714999999997</v>
      </c>
      <c r="M19" s="280">
        <f t="shared" si="3"/>
        <v>99.429524999999998</v>
      </c>
      <c r="N19" s="274">
        <v>8.1813005441215558E-2</v>
      </c>
      <c r="O19" s="277">
        <v>60000</v>
      </c>
      <c r="P19" s="278"/>
      <c r="Q19" s="281">
        <f t="shared" si="1"/>
        <v>4909</v>
      </c>
      <c r="R19" s="281"/>
      <c r="T19" s="358" t="s">
        <v>675</v>
      </c>
    </row>
    <row r="20" spans="1:20">
      <c r="A20" s="358">
        <f t="shared" si="4"/>
        <v>5</v>
      </c>
      <c r="B20" s="94" t="s">
        <v>678</v>
      </c>
      <c r="D20" s="274">
        <v>4.1799999999999997E-2</v>
      </c>
      <c r="E20" s="387" t="s">
        <v>790</v>
      </c>
      <c r="F20" s="387" t="s">
        <v>791</v>
      </c>
      <c r="G20" s="388">
        <v>12</v>
      </c>
      <c r="H20" s="277">
        <v>120000</v>
      </c>
      <c r="I20" s="278"/>
      <c r="J20" s="277">
        <v>638.46400000000006</v>
      </c>
      <c r="K20" s="278"/>
      <c r="L20" s="277">
        <f t="shared" si="2"/>
        <v>119361.53599999999</v>
      </c>
      <c r="M20" s="280">
        <f t="shared" si="3"/>
        <v>99.467946666666663</v>
      </c>
      <c r="N20" s="274">
        <v>4.237018604935102E-2</v>
      </c>
      <c r="O20" s="277">
        <v>120000</v>
      </c>
      <c r="P20" s="278"/>
      <c r="Q20" s="281">
        <f t="shared" si="1"/>
        <v>5084</v>
      </c>
      <c r="R20" s="281"/>
      <c r="T20" s="358" t="s">
        <v>675</v>
      </c>
    </row>
    <row r="21" spans="1:20">
      <c r="A21" s="358">
        <f t="shared" si="4"/>
        <v>6</v>
      </c>
      <c r="B21" s="94" t="s">
        <v>678</v>
      </c>
      <c r="D21" s="274">
        <v>4.3299999999999998E-2</v>
      </c>
      <c r="E21" s="387" t="s">
        <v>882</v>
      </c>
      <c r="F21" s="387" t="s">
        <v>883</v>
      </c>
      <c r="G21" s="388">
        <v>12</v>
      </c>
      <c r="H21" s="277">
        <v>80000</v>
      </c>
      <c r="I21" s="278"/>
      <c r="J21" s="277">
        <v>414.94099999999997</v>
      </c>
      <c r="K21" s="278"/>
      <c r="L21" s="277">
        <f t="shared" si="2"/>
        <v>79585.058999999994</v>
      </c>
      <c r="M21" s="280">
        <f t="shared" si="3"/>
        <v>99.481323750000001</v>
      </c>
      <c r="N21" s="274">
        <v>4.3860525468707098E-2</v>
      </c>
      <c r="O21" s="277">
        <v>80000</v>
      </c>
      <c r="P21" s="278"/>
      <c r="Q21" s="281">
        <f t="shared" si="1"/>
        <v>3509</v>
      </c>
      <c r="R21" s="281"/>
      <c r="T21" s="358" t="s">
        <v>675</v>
      </c>
    </row>
    <row r="22" spans="1:20">
      <c r="A22" s="358">
        <f t="shared" si="4"/>
        <v>7</v>
      </c>
      <c r="B22" s="94" t="s">
        <v>678</v>
      </c>
      <c r="D22" s="274">
        <v>3.1300000000000001E-2</v>
      </c>
      <c r="E22" s="387" t="s">
        <v>971</v>
      </c>
      <c r="F22" s="387" t="s">
        <v>972</v>
      </c>
      <c r="G22" s="388">
        <v>7</v>
      </c>
      <c r="H22" s="277">
        <v>65000</v>
      </c>
      <c r="I22" s="278"/>
      <c r="J22" s="277">
        <v>210.76400000000001</v>
      </c>
      <c r="K22" s="278"/>
      <c r="L22" s="277">
        <f t="shared" si="2"/>
        <v>64789.235999999997</v>
      </c>
      <c r="M22" s="280">
        <f t="shared" si="3"/>
        <v>99.675747692307695</v>
      </c>
      <c r="N22" s="274">
        <v>3.1820380538221012E-2</v>
      </c>
      <c r="O22" s="277">
        <v>65000</v>
      </c>
      <c r="P22" s="278"/>
      <c r="Q22" s="281">
        <f t="shared" si="1"/>
        <v>2068</v>
      </c>
      <c r="R22" s="281"/>
      <c r="T22" s="358" t="s">
        <v>675</v>
      </c>
    </row>
    <row r="23" spans="1:20">
      <c r="A23" s="358">
        <f t="shared" si="4"/>
        <v>8</v>
      </c>
      <c r="B23" s="94" t="s">
        <v>678</v>
      </c>
      <c r="D23" s="274">
        <v>3.3500000000000002E-2</v>
      </c>
      <c r="E23" s="387" t="s">
        <v>971</v>
      </c>
      <c r="F23" s="387" t="s">
        <v>973</v>
      </c>
      <c r="G23" s="388">
        <v>10</v>
      </c>
      <c r="H23" s="277">
        <v>40000</v>
      </c>
      <c r="I23" s="278"/>
      <c r="J23" s="277">
        <v>129.70099999999999</v>
      </c>
      <c r="K23" s="278"/>
      <c r="L23" s="277">
        <f t="shared" si="2"/>
        <v>39870.298999999999</v>
      </c>
      <c r="M23" s="280">
        <f t="shared" si="3"/>
        <v>99.6757475</v>
      </c>
      <c r="N23" s="274">
        <v>3.3884998839074414E-2</v>
      </c>
      <c r="O23" s="277">
        <v>40000</v>
      </c>
      <c r="P23" s="278"/>
      <c r="Q23" s="281">
        <f t="shared" si="1"/>
        <v>1355</v>
      </c>
      <c r="R23" s="281"/>
      <c r="T23" s="358" t="s">
        <v>675</v>
      </c>
    </row>
    <row r="24" spans="1:20">
      <c r="A24" s="358">
        <f t="shared" si="4"/>
        <v>9</v>
      </c>
      <c r="B24" s="94" t="s">
        <v>678</v>
      </c>
      <c r="D24" s="274">
        <v>3.4500000000000003E-2</v>
      </c>
      <c r="E24" s="387" t="s">
        <v>971</v>
      </c>
      <c r="F24" s="387" t="s">
        <v>974</v>
      </c>
      <c r="G24" s="388">
        <v>12</v>
      </c>
      <c r="H24" s="277">
        <v>165000</v>
      </c>
      <c r="I24" s="278"/>
      <c r="J24" s="277">
        <v>535.01700000000005</v>
      </c>
      <c r="K24" s="278"/>
      <c r="L24" s="277">
        <f t="shared" si="2"/>
        <v>164464.98300000001</v>
      </c>
      <c r="M24" s="280">
        <f t="shared" si="3"/>
        <v>99.675747272727278</v>
      </c>
      <c r="N24" s="274">
        <v>3.4832919427011416E-2</v>
      </c>
      <c r="O24" s="277">
        <v>165000</v>
      </c>
      <c r="P24" s="278"/>
      <c r="Q24" s="281">
        <f t="shared" si="1"/>
        <v>5747</v>
      </c>
      <c r="R24" s="281"/>
      <c r="T24" s="358" t="s">
        <v>675</v>
      </c>
    </row>
    <row r="25" spans="1:20">
      <c r="A25" s="358">
        <f t="shared" si="4"/>
        <v>10</v>
      </c>
      <c r="B25" s="94" t="s">
        <v>678</v>
      </c>
      <c r="D25" s="274">
        <v>4.1200000000000001E-2</v>
      </c>
      <c r="E25" s="387" t="s">
        <v>971</v>
      </c>
      <c r="F25" s="387" t="s">
        <v>975</v>
      </c>
      <c r="G25" s="388">
        <v>30</v>
      </c>
      <c r="H25" s="277">
        <v>55000</v>
      </c>
      <c r="I25" s="278"/>
      <c r="J25" s="277">
        <v>178.339</v>
      </c>
      <c r="K25" s="278"/>
      <c r="L25" s="277">
        <f>+H25-J25</f>
        <v>54821.661</v>
      </c>
      <c r="M25" s="280">
        <f>L25/H25*100</f>
        <v>99.675747272727278</v>
      </c>
      <c r="N25" s="274">
        <v>4.1389713673920497E-2</v>
      </c>
      <c r="O25" s="277">
        <v>55000</v>
      </c>
      <c r="P25" s="278"/>
      <c r="Q25" s="281">
        <f t="shared" si="1"/>
        <v>2276</v>
      </c>
      <c r="R25" s="281"/>
      <c r="T25" s="358" t="s">
        <v>675</v>
      </c>
    </row>
    <row r="26" spans="1:20">
      <c r="D26" s="274"/>
      <c r="E26" s="282"/>
      <c r="F26" s="282"/>
      <c r="G26" s="283"/>
      <c r="H26" s="277"/>
      <c r="I26" s="278"/>
      <c r="L26" s="277"/>
      <c r="M26" s="279"/>
      <c r="N26" s="274"/>
      <c r="O26" s="277"/>
      <c r="P26" s="278"/>
      <c r="Q26" s="284"/>
      <c r="R26" s="40"/>
    </row>
    <row r="27" spans="1:20">
      <c r="A27" s="358">
        <v>11</v>
      </c>
      <c r="B27" s="94" t="s">
        <v>676</v>
      </c>
      <c r="D27" s="378"/>
      <c r="E27" s="378"/>
      <c r="F27" s="378"/>
      <c r="G27" s="283"/>
      <c r="H27" s="285">
        <f>SUM(H16:H26)</f>
        <v>730000</v>
      </c>
      <c r="I27" s="278"/>
      <c r="J27" s="285">
        <f>SUM(J16:J26)</f>
        <v>3552.0370000000003</v>
      </c>
      <c r="K27" s="278"/>
      <c r="L27" s="285">
        <f>SUM(L16:L26)</f>
        <v>726447.96299999987</v>
      </c>
      <c r="M27" s="286"/>
      <c r="N27" s="278"/>
      <c r="O27" s="285">
        <f>SUM(O16:O26)</f>
        <v>730000</v>
      </c>
      <c r="P27" s="278"/>
      <c r="Q27" s="285">
        <f>SUM(Q16:Q26)</f>
        <v>34570</v>
      </c>
      <c r="R27" s="278"/>
    </row>
    <row r="29" spans="1:20">
      <c r="B29" s="287" t="s">
        <v>792</v>
      </c>
    </row>
    <row r="30" spans="1:20">
      <c r="A30" s="358">
        <f>A27+1</f>
        <v>12</v>
      </c>
      <c r="B30" s="88" t="s">
        <v>792</v>
      </c>
      <c r="D30" s="389">
        <v>2.35E-2</v>
      </c>
      <c r="E30" s="390">
        <v>44001</v>
      </c>
      <c r="F30" s="390">
        <v>45096</v>
      </c>
      <c r="G30" s="391">
        <v>3</v>
      </c>
      <c r="H30" s="392">
        <v>65000</v>
      </c>
      <c r="J30" s="392">
        <v>340</v>
      </c>
      <c r="L30" s="277">
        <f t="shared" ref="L30" si="5">+H30-J30</f>
        <v>64660</v>
      </c>
      <c r="M30" s="280">
        <f>L30/H30*100</f>
        <v>99.476923076923072</v>
      </c>
      <c r="N30" s="274">
        <f t="shared" ref="N30" si="6">YIELD(E30,F30,D30,M30,100,2)</f>
        <v>2.5321663266587711E-2</v>
      </c>
      <c r="O30" s="392">
        <v>65000</v>
      </c>
      <c r="Q30" s="281">
        <f>ROUND(O30*N30,0)</f>
        <v>1646</v>
      </c>
      <c r="T30" s="358" t="s">
        <v>675</v>
      </c>
    </row>
    <row r="31" spans="1:20">
      <c r="G31" s="358"/>
      <c r="H31" s="288">
        <f>SUM(H30)</f>
        <v>65000</v>
      </c>
      <c r="J31" s="288">
        <f>SUM(J30)</f>
        <v>340</v>
      </c>
      <c r="L31" s="288">
        <f>SUM(L30)</f>
        <v>64660</v>
      </c>
      <c r="O31" s="288">
        <f>SUM(O30)</f>
        <v>65000</v>
      </c>
      <c r="Q31" s="285">
        <f>SUM(Q30)</f>
        <v>1646</v>
      </c>
    </row>
    <row r="32" spans="1:20">
      <c r="G32" s="358"/>
    </row>
    <row r="33" spans="1:20">
      <c r="A33" s="247"/>
      <c r="B33" s="289" t="s">
        <v>1005</v>
      </c>
      <c r="C33" s="247"/>
      <c r="D33" s="247"/>
      <c r="E33" s="247"/>
      <c r="F33" s="247"/>
      <c r="G33" s="290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</row>
    <row r="34" spans="1:20">
      <c r="A34" s="290">
        <v>13</v>
      </c>
      <c r="B34" s="199" t="s">
        <v>1006</v>
      </c>
      <c r="C34" s="247"/>
      <c r="D34" s="393">
        <v>2.3650000000000001E-2</v>
      </c>
      <c r="E34" s="394">
        <v>43409</v>
      </c>
      <c r="F34" s="394">
        <v>44860</v>
      </c>
      <c r="G34" s="391">
        <v>3.9750000000000001</v>
      </c>
      <c r="H34" s="395">
        <v>75000</v>
      </c>
      <c r="I34" s="247"/>
      <c r="J34" s="395">
        <v>509</v>
      </c>
      <c r="K34" s="247"/>
      <c r="L34" s="277">
        <f t="shared" ref="L34:L35" si="7">+H34-J34</f>
        <v>74491</v>
      </c>
      <c r="M34" s="280">
        <f>L34/H34*100</f>
        <v>99.321333333333328</v>
      </c>
      <c r="N34" s="393">
        <v>2.5456037048478913E-2</v>
      </c>
      <c r="O34" s="396">
        <v>75000</v>
      </c>
      <c r="P34" s="247"/>
      <c r="Q34" s="281">
        <f>ROUND(O34*N34,0)</f>
        <v>1909</v>
      </c>
      <c r="R34" s="247"/>
      <c r="S34" s="247"/>
      <c r="T34" s="290" t="s">
        <v>675</v>
      </c>
    </row>
    <row r="35" spans="1:20">
      <c r="A35" s="290">
        <v>14</v>
      </c>
      <c r="B35" s="199" t="s">
        <v>1006</v>
      </c>
      <c r="C35" s="247"/>
      <c r="D35" s="393">
        <v>1.67E-2</v>
      </c>
      <c r="E35" s="394">
        <v>43895</v>
      </c>
      <c r="F35" s="394">
        <v>44626</v>
      </c>
      <c r="G35" s="391">
        <v>2.0027777777777778</v>
      </c>
      <c r="H35" s="395">
        <v>125000</v>
      </c>
      <c r="I35" s="247"/>
      <c r="J35" s="395">
        <v>31</v>
      </c>
      <c r="K35" s="247"/>
      <c r="L35" s="277">
        <f t="shared" si="7"/>
        <v>124969</v>
      </c>
      <c r="M35" s="280">
        <f>L35/H35*100</f>
        <v>99.975200000000001</v>
      </c>
      <c r="N35" s="393">
        <v>1.6827367538467222E-2</v>
      </c>
      <c r="O35" s="396">
        <v>125000</v>
      </c>
      <c r="P35" s="247"/>
      <c r="Q35" s="281">
        <f>ROUND(O35*N35,0)</f>
        <v>2103</v>
      </c>
      <c r="R35" s="247"/>
      <c r="S35" s="247"/>
      <c r="T35" s="290"/>
    </row>
    <row r="36" spans="1:20">
      <c r="A36" s="247"/>
      <c r="B36" s="247"/>
      <c r="C36" s="247"/>
      <c r="D36" s="247"/>
      <c r="E36" s="247"/>
      <c r="F36" s="247"/>
      <c r="G36" s="290"/>
      <c r="H36" s="291">
        <f>SUM(H34:H35)</f>
        <v>200000</v>
      </c>
      <c r="I36" s="247"/>
      <c r="J36" s="291">
        <f>SUM(J34:J35)</f>
        <v>540</v>
      </c>
      <c r="K36" s="247"/>
      <c r="L36" s="291">
        <f>SUM(L34:L35)</f>
        <v>199460</v>
      </c>
      <c r="M36" s="247"/>
      <c r="N36" s="247"/>
      <c r="O36" s="292">
        <f>SUM(O34:O35)</f>
        <v>200000</v>
      </c>
      <c r="P36" s="247"/>
      <c r="Q36" s="292">
        <f>SUM(Q34:Q35)</f>
        <v>4012</v>
      </c>
      <c r="R36" s="247"/>
      <c r="S36" s="247"/>
      <c r="T36" s="247"/>
    </row>
    <row r="37" spans="1:20">
      <c r="O37" s="277"/>
      <c r="P37" s="278"/>
      <c r="T37" s="426"/>
    </row>
    <row r="38" spans="1:20" ht="13.5" customHeight="1" thickBot="1">
      <c r="A38" s="358">
        <v>15</v>
      </c>
      <c r="B38" s="94" t="s">
        <v>685</v>
      </c>
      <c r="H38" s="293">
        <f>H36+H31+H27</f>
        <v>995000</v>
      </c>
      <c r="I38" s="278"/>
      <c r="J38" s="293">
        <f>J36+J31+J27</f>
        <v>4432.0370000000003</v>
      </c>
      <c r="K38" s="278"/>
      <c r="L38" s="293">
        <f>L36+L31+L27</f>
        <v>990567.96299999987</v>
      </c>
      <c r="O38" s="293">
        <f>O36+O31+O27</f>
        <v>995000</v>
      </c>
      <c r="P38" s="278"/>
      <c r="Q38" s="293">
        <f>Q36+Q31+Q27</f>
        <v>40228</v>
      </c>
      <c r="R38" s="278"/>
      <c r="S38" s="294">
        <f>ROUND(Q38/O38,4)</f>
        <v>4.0399999999999998E-2</v>
      </c>
      <c r="T38" s="426"/>
    </row>
    <row r="39" spans="1:20" ht="13.5" customHeight="1" thickTop="1">
      <c r="T39" s="426"/>
    </row>
    <row r="40" spans="1:20" ht="14.25" customHeight="1">
      <c r="A40" s="295"/>
      <c r="T40" s="426"/>
    </row>
    <row r="41" spans="1:20">
      <c r="B41" s="247"/>
      <c r="T41" s="426"/>
    </row>
    <row r="42" spans="1:20">
      <c r="T42" s="426"/>
    </row>
    <row r="43" spans="1:20" ht="18" customHeight="1">
      <c r="T43" s="426"/>
    </row>
    <row r="44" spans="1:20" ht="16.5" customHeight="1">
      <c r="T44" s="233"/>
    </row>
  </sheetData>
  <mergeCells count="5">
    <mergeCell ref="T37:T43"/>
    <mergeCell ref="B1:Q1"/>
    <mergeCell ref="B2:Q2"/>
    <mergeCell ref="B3:Q3"/>
    <mergeCell ref="B4:Q4"/>
  </mergeCells>
  <printOptions horizontalCentered="1"/>
  <pageMargins left="0" right="0" top="1" bottom="0.5" header="0" footer="0"/>
  <pageSetup scale="8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pane ySplit="8" topLeftCell="A27" activePane="bottomLeft" state="frozen"/>
      <selection activeCell="E18" sqref="E18"/>
      <selection pane="bottomLeft" activeCell="E47" sqref="E47"/>
    </sheetView>
  </sheetViews>
  <sheetFormatPr defaultColWidth="9.140625" defaultRowHeight="12.75"/>
  <cols>
    <col min="1" max="1" width="7.7109375" style="269" customWidth="1"/>
    <col min="2" max="2" width="2.28515625" style="40" customWidth="1"/>
    <col min="3" max="3" width="12.28515625" style="397" customWidth="1"/>
    <col min="4" max="4" width="7" style="40" customWidth="1"/>
    <col min="5" max="5" width="39.5703125" style="40" bestFit="1" customWidth="1"/>
    <col min="6" max="6" width="17" style="40" customWidth="1"/>
    <col min="7" max="7" width="3.7109375" style="40" customWidth="1"/>
    <col min="8" max="16384" width="9.140625" style="40"/>
  </cols>
  <sheetData>
    <row r="1" spans="1:6">
      <c r="B1" s="428" t="s">
        <v>334</v>
      </c>
      <c r="C1" s="428"/>
      <c r="D1" s="428"/>
      <c r="E1" s="428"/>
      <c r="F1" s="192" t="s">
        <v>558</v>
      </c>
    </row>
    <row r="2" spans="1:6">
      <c r="B2" s="428" t="s">
        <v>957</v>
      </c>
      <c r="C2" s="428"/>
      <c r="D2" s="428"/>
      <c r="E2" s="428"/>
      <c r="F2" s="192" t="s">
        <v>686</v>
      </c>
    </row>
    <row r="3" spans="1:6">
      <c r="B3" s="428" t="s">
        <v>993</v>
      </c>
      <c r="C3" s="428"/>
      <c r="D3" s="428"/>
      <c r="E3" s="428"/>
      <c r="F3" s="192" t="s">
        <v>938</v>
      </c>
    </row>
    <row r="4" spans="1:6">
      <c r="E4" s="398"/>
    </row>
    <row r="5" spans="1:6">
      <c r="E5" s="398"/>
    </row>
    <row r="6" spans="1:6">
      <c r="E6" s="399"/>
    </row>
    <row r="7" spans="1:6" ht="38.25">
      <c r="A7" s="400" t="s">
        <v>560</v>
      </c>
      <c r="C7" s="269" t="s">
        <v>688</v>
      </c>
      <c r="D7" s="269" t="s">
        <v>689</v>
      </c>
      <c r="E7" s="401"/>
      <c r="F7" s="400" t="s">
        <v>690</v>
      </c>
    </row>
    <row r="8" spans="1:6">
      <c r="A8" s="402">
        <v>-1</v>
      </c>
      <c r="C8" s="403">
        <f>+A8-1</f>
        <v>-2</v>
      </c>
      <c r="D8" s="403">
        <f>+C8-1</f>
        <v>-3</v>
      </c>
      <c r="E8" s="401"/>
      <c r="F8" s="403">
        <f>+D8-1</f>
        <v>-4</v>
      </c>
    </row>
    <row r="9" spans="1:6">
      <c r="A9" s="403"/>
      <c r="C9" s="404"/>
      <c r="D9" s="399"/>
      <c r="E9" s="399"/>
    </row>
    <row r="10" spans="1:6">
      <c r="A10" s="403">
        <v>1</v>
      </c>
      <c r="C10" s="410" t="s">
        <v>454</v>
      </c>
      <c r="D10" s="269">
        <v>2019</v>
      </c>
      <c r="E10" s="399"/>
      <c r="F10" s="278">
        <v>38650120.869999997</v>
      </c>
    </row>
    <row r="11" spans="1:6">
      <c r="A11" s="403"/>
      <c r="C11" s="40"/>
      <c r="D11" s="269"/>
      <c r="E11" s="399"/>
      <c r="F11" s="278"/>
    </row>
    <row r="12" spans="1:6">
      <c r="A12" s="403">
        <f>+A10+1</f>
        <v>2</v>
      </c>
      <c r="C12" s="410" t="s">
        <v>456</v>
      </c>
      <c r="D12" s="269">
        <v>2019</v>
      </c>
      <c r="E12" s="399"/>
      <c r="F12" s="278">
        <v>44492292.200000003</v>
      </c>
    </row>
    <row r="13" spans="1:6">
      <c r="A13" s="403"/>
      <c r="C13" s="40"/>
      <c r="D13" s="269"/>
      <c r="E13" s="399"/>
      <c r="F13" s="278"/>
    </row>
    <row r="14" spans="1:6">
      <c r="A14" s="403">
        <f>+A12+1</f>
        <v>3</v>
      </c>
      <c r="C14" s="410" t="s">
        <v>457</v>
      </c>
      <c r="D14" s="269">
        <v>2019</v>
      </c>
      <c r="E14" s="399"/>
      <c r="F14" s="278">
        <v>71439088.349999994</v>
      </c>
    </row>
    <row r="15" spans="1:6">
      <c r="A15" s="403"/>
      <c r="C15" s="40"/>
      <c r="D15" s="269"/>
      <c r="E15" s="399"/>
      <c r="F15" s="278"/>
    </row>
    <row r="16" spans="1:6">
      <c r="A16" s="403">
        <f>+A14+1</f>
        <v>4</v>
      </c>
      <c r="C16" s="410" t="s">
        <v>458</v>
      </c>
      <c r="D16" s="269">
        <v>2019</v>
      </c>
      <c r="E16" s="399"/>
      <c r="F16" s="278">
        <v>74506628.150000006</v>
      </c>
    </row>
    <row r="17" spans="1:6">
      <c r="A17" s="403"/>
      <c r="C17" s="40"/>
      <c r="D17" s="269"/>
      <c r="E17" s="399"/>
      <c r="F17" s="278"/>
    </row>
    <row r="18" spans="1:6">
      <c r="A18" s="403">
        <f>+A16+1</f>
        <v>5</v>
      </c>
      <c r="C18" s="410" t="s">
        <v>459</v>
      </c>
      <c r="D18" s="269">
        <v>2019</v>
      </c>
      <c r="E18" s="399"/>
      <c r="F18" s="278">
        <v>87137063.129999995</v>
      </c>
    </row>
    <row r="19" spans="1:6">
      <c r="A19" s="403"/>
      <c r="C19" s="40"/>
      <c r="E19" s="399"/>
      <c r="F19" s="278"/>
    </row>
    <row r="20" spans="1:6">
      <c r="A20" s="403">
        <f>+A18+1</f>
        <v>6</v>
      </c>
      <c r="C20" s="410" t="s">
        <v>460</v>
      </c>
      <c r="D20" s="269">
        <v>2019</v>
      </c>
      <c r="E20" s="399"/>
      <c r="F20" s="278">
        <v>86862532.390000001</v>
      </c>
    </row>
    <row r="21" spans="1:6">
      <c r="A21" s="403"/>
      <c r="C21" s="40"/>
      <c r="E21" s="399"/>
      <c r="F21" s="278"/>
    </row>
    <row r="22" spans="1:6">
      <c r="A22" s="403">
        <f>+A20+1</f>
        <v>7</v>
      </c>
      <c r="C22" s="410" t="s">
        <v>461</v>
      </c>
      <c r="D22" s="269">
        <v>2019</v>
      </c>
      <c r="E22" s="399"/>
      <c r="F22" s="278">
        <v>94085372.599999994</v>
      </c>
    </row>
    <row r="23" spans="1:6">
      <c r="A23" s="403"/>
      <c r="C23" s="40"/>
      <c r="E23" s="399"/>
      <c r="F23" s="278"/>
    </row>
    <row r="24" spans="1:6">
      <c r="A24" s="403">
        <f>+A22+1</f>
        <v>8</v>
      </c>
      <c r="C24" s="192" t="s">
        <v>462</v>
      </c>
      <c r="D24" s="269">
        <v>2019</v>
      </c>
      <c r="E24" s="399"/>
      <c r="F24" s="278">
        <v>106345476.93000001</v>
      </c>
    </row>
    <row r="25" spans="1:6">
      <c r="A25" s="403"/>
      <c r="C25" s="40"/>
      <c r="E25" s="399"/>
      <c r="F25" s="278"/>
    </row>
    <row r="26" spans="1:6">
      <c r="A26" s="403">
        <f>+A24+1</f>
        <v>9</v>
      </c>
      <c r="C26" s="410" t="s">
        <v>463</v>
      </c>
      <c r="D26" s="269">
        <v>2019</v>
      </c>
      <c r="E26" s="399"/>
      <c r="F26" s="278">
        <v>113174766.48999999</v>
      </c>
    </row>
    <row r="27" spans="1:6">
      <c r="A27" s="403"/>
      <c r="C27" s="40"/>
      <c r="E27" s="399"/>
      <c r="F27" s="278"/>
    </row>
    <row r="28" spans="1:6">
      <c r="A28" s="403">
        <f>+A26+1</f>
        <v>10</v>
      </c>
      <c r="C28" s="410" t="s">
        <v>1007</v>
      </c>
      <c r="D28" s="269">
        <v>2020</v>
      </c>
      <c r="F28" s="278">
        <v>119522071.03</v>
      </c>
    </row>
    <row r="29" spans="1:6">
      <c r="A29" s="403"/>
      <c r="C29" s="40"/>
      <c r="E29" s="399"/>
      <c r="F29" s="278"/>
    </row>
    <row r="30" spans="1:6">
      <c r="A30" s="403">
        <f>+A28+1</f>
        <v>11</v>
      </c>
      <c r="C30" s="192" t="s">
        <v>1008</v>
      </c>
      <c r="D30" s="269">
        <v>2020</v>
      </c>
      <c r="E30" s="399"/>
      <c r="F30" s="278">
        <v>120549528.56999999</v>
      </c>
    </row>
    <row r="31" spans="1:6">
      <c r="A31" s="403"/>
      <c r="C31" s="40"/>
      <c r="E31" s="399"/>
      <c r="F31" s="278"/>
    </row>
    <row r="32" spans="1:6">
      <c r="A32" s="403">
        <f>+A30+1</f>
        <v>12</v>
      </c>
      <c r="C32" s="410" t="s">
        <v>466</v>
      </c>
      <c r="D32" s="269">
        <v>2020</v>
      </c>
      <c r="F32" s="278">
        <v>10685290.880000001</v>
      </c>
    </row>
    <row r="33" spans="1:7">
      <c r="A33" s="403"/>
      <c r="D33" s="399"/>
      <c r="F33" s="405" t="s">
        <v>691</v>
      </c>
    </row>
    <row r="34" spans="1:7">
      <c r="A34" s="403">
        <f>+A32+1</f>
        <v>13</v>
      </c>
      <c r="C34" s="397" t="s">
        <v>444</v>
      </c>
      <c r="F34" s="278">
        <f>SUM(F10:F33)</f>
        <v>967450231.58999979</v>
      </c>
    </row>
    <row r="35" spans="1:7">
      <c r="A35" s="403"/>
      <c r="F35" s="405" t="s">
        <v>691</v>
      </c>
    </row>
    <row r="36" spans="1:7">
      <c r="A36" s="403">
        <f>+A34+1</f>
        <v>14</v>
      </c>
      <c r="C36" s="397" t="s">
        <v>692</v>
      </c>
      <c r="F36" s="278">
        <f>ROUND(F34/12,0)</f>
        <v>80620853</v>
      </c>
    </row>
    <row r="37" spans="1:7">
      <c r="A37" s="403"/>
      <c r="F37" s="405" t="s">
        <v>691</v>
      </c>
    </row>
    <row r="38" spans="1:7">
      <c r="A38" s="403">
        <f>+A36+1</f>
        <v>15</v>
      </c>
      <c r="C38" s="397" t="s">
        <v>1009</v>
      </c>
      <c r="F38" s="278">
        <v>1797950.56</v>
      </c>
      <c r="G38" s="406"/>
    </row>
    <row r="39" spans="1:7">
      <c r="A39" s="403"/>
      <c r="F39" s="405" t="s">
        <v>691</v>
      </c>
    </row>
    <row r="40" spans="1:7">
      <c r="A40" s="403">
        <f>+A38+1</f>
        <v>16</v>
      </c>
      <c r="C40" s="397" t="s">
        <v>693</v>
      </c>
      <c r="F40" s="1"/>
    </row>
    <row r="41" spans="1:7">
      <c r="A41" s="403"/>
      <c r="C41" s="397" t="s">
        <v>694</v>
      </c>
      <c r="F41" s="407">
        <f>ROUND(F38/F36,4)</f>
        <v>2.23E-2</v>
      </c>
    </row>
    <row r="42" spans="1:7">
      <c r="F42" s="405" t="s">
        <v>695</v>
      </c>
    </row>
    <row r="43" spans="1:7">
      <c r="F43" s="405"/>
    </row>
    <row r="44" spans="1:7">
      <c r="F44" s="1"/>
    </row>
    <row r="45" spans="1:7">
      <c r="F45" s="1"/>
    </row>
    <row r="46" spans="1:7">
      <c r="A46" s="406"/>
      <c r="C46" s="408"/>
      <c r="F46" s="1"/>
    </row>
    <row r="47" spans="1:7">
      <c r="A47" s="406"/>
      <c r="C47" s="408"/>
      <c r="F47" s="1"/>
    </row>
    <row r="48" spans="1:7">
      <c r="A48" s="406"/>
      <c r="C48" s="409"/>
      <c r="F48" s="1"/>
    </row>
    <row r="49" spans="1:6">
      <c r="A49" s="406"/>
      <c r="C49" s="409"/>
      <c r="F49" s="1"/>
    </row>
    <row r="50" spans="1:6">
      <c r="F50" s="352"/>
    </row>
    <row r="51" spans="1:6">
      <c r="F51" s="398"/>
    </row>
    <row r="52" spans="1:6">
      <c r="F52" s="352"/>
    </row>
    <row r="53" spans="1:6">
      <c r="F53" s="398"/>
    </row>
    <row r="54" spans="1:6">
      <c r="F54" s="352"/>
    </row>
    <row r="56" spans="1:6">
      <c r="F56" s="352"/>
    </row>
    <row r="57" spans="1:6">
      <c r="F57" s="352"/>
    </row>
    <row r="58" spans="1:6">
      <c r="F58" s="352"/>
    </row>
    <row r="59" spans="1:6">
      <c r="F59" s="398"/>
    </row>
    <row r="60" spans="1:6">
      <c r="F60" s="352"/>
    </row>
    <row r="61" spans="1:6">
      <c r="F61" s="398"/>
    </row>
  </sheetData>
  <mergeCells count="3">
    <mergeCell ref="B1:E1"/>
    <mergeCell ref="B2:E2"/>
    <mergeCell ref="B3:E3"/>
  </mergeCells>
  <printOptions horizontalCentered="1"/>
  <pageMargins left="0" right="0" top="0.75" bottom="0" header="0" footer="0"/>
  <pageSetup scale="90" orientation="portrait" horizontalDpi="300" verticalDpi="300" r:id="rId1"/>
  <headerFooter alignWithMargins="0"/>
  <rowBreaks count="1" manualBreakCount="1">
    <brk id="4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6194F191-3135-4EC1-9105-8941F69E17C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Summary</vt:lpstr>
      <vt:lpstr>Sch 1</vt:lpstr>
      <vt:lpstr>Sch 2</vt:lpstr>
      <vt:lpstr>2 P1</vt:lpstr>
      <vt:lpstr>2 P2</vt:lpstr>
      <vt:lpstr>2 P3</vt:lpstr>
      <vt:lpstr>Sch 3</vt:lpstr>
      <vt:lpstr>3 P1</vt:lpstr>
      <vt:lpstr>3 P2</vt:lpstr>
      <vt:lpstr>3 P3</vt:lpstr>
      <vt:lpstr>Sch 4</vt:lpstr>
      <vt:lpstr>Sch 5</vt:lpstr>
      <vt:lpstr>Sch 6</vt:lpstr>
      <vt:lpstr>Sch 7</vt:lpstr>
      <vt:lpstr>Sch 8</vt:lpstr>
      <vt:lpstr>Sch 9</vt:lpstr>
      <vt:lpstr>Sch 10</vt:lpstr>
      <vt:lpstr>Allocation Factors</vt:lpstr>
      <vt:lpstr>Olive Hill - Vanceburg</vt:lpstr>
      <vt:lpstr>'3 P2'!Print_Area</vt:lpstr>
      <vt:lpstr>'3 P3'!Print_Area</vt:lpstr>
      <vt:lpstr>'Allocation Factors'!Print_Area</vt:lpstr>
      <vt:lpstr>'Sch 1'!Print_Area</vt:lpstr>
      <vt:lpstr>'Sch 10'!Print_Area</vt:lpstr>
      <vt:lpstr>'Sch 3'!Print_Area</vt:lpstr>
      <vt:lpstr>'Sch 4'!Print_Area</vt:lpstr>
      <vt:lpstr>'Sch 5'!Print_Area</vt:lpstr>
      <vt:lpstr>'Sch 6'!Print_Area</vt:lpstr>
      <vt:lpstr>'Sch 8'!Print_Area</vt:lpstr>
      <vt:lpstr>'Sch 9'!Print_Area</vt:lpstr>
      <vt:lpstr>Summary!Print_Area</vt:lpstr>
      <vt:lpstr>'3 P2'!Print_Titles</vt:lpstr>
      <vt:lpstr>'Sch 1'!Print_Titles</vt:lpstr>
      <vt:lpstr>'Sch 4'!Print_Titles</vt:lpstr>
      <vt:lpstr>'Sch 5'!Print_Titles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s262368</cp:lastModifiedBy>
  <cp:lastPrinted>2017-06-23T16:55:05Z</cp:lastPrinted>
  <dcterms:created xsi:type="dcterms:W3CDTF">2014-01-30T18:45:48Z</dcterms:created>
  <dcterms:modified xsi:type="dcterms:W3CDTF">2020-07-09T17:23:59Z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d98e656a-23e6-4e28-a1d7-b166738ca1b6</vt:lpwstr>
  </property>
  <property fmtid="{D5CDD505-2E9C-101B-9397-08002B2CF9AE}" pid="3" name="bjSaver">
    <vt:lpwstr>xZzrf02Aubzx74tgVp24Vul5jA7mQze+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