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omments5.xml" ContentType="application/vnd.openxmlformats-officedocument.spreadsheetml.comment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omments6.xml" ContentType="application/vnd.openxmlformats-officedocument.spreadsheetml.comment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drawings/drawing38.xml" ContentType="application/vnd.openxmlformats-officedocument.drawing+xml"/>
  <Override PartName="/xl/charts/chart73.xml" ContentType="application/vnd.openxmlformats-officedocument.drawingml.chart+xml"/>
  <Override PartName="/xl/drawings/drawing39.xml" ContentType="application/vnd.openxmlformats-officedocument.drawing+xml"/>
  <Override PartName="/xl/charts/chart74.xml" ContentType="application/vnd.openxmlformats-officedocument.drawingml.chart+xml"/>
  <Override PartName="/xl/drawings/drawing40.xml" ContentType="application/vnd.openxmlformats-officedocument.drawing+xml"/>
  <Override PartName="/xl/charts/chart75.xml" ContentType="application/vnd.openxmlformats-officedocument.drawingml.chart+xml"/>
  <Override PartName="/xl/drawings/drawing41.xml" ContentType="application/vnd.openxmlformats-officedocument.drawing+xml"/>
  <Override PartName="/xl/comments7.xml" ContentType="application/vnd.openxmlformats-officedocument.spreadsheetml.comments+xml"/>
  <Override PartName="/xl/charts/chart76.xml" ContentType="application/vnd.openxmlformats-officedocument.drawingml.chart+xml"/>
  <Override PartName="/xl/drawings/drawing42.xml" ContentType="application/vnd.openxmlformats-officedocument.drawing+xml"/>
  <Override PartName="/xl/charts/chart77.xml" ContentType="application/vnd.openxmlformats-officedocument.drawingml.chart+xml"/>
  <Override PartName="/xl/drawings/drawing43.xml" ContentType="application/vnd.openxmlformats-officedocument.drawing+xml"/>
  <Override PartName="/xl/charts/chart78.xml" ContentType="application/vnd.openxmlformats-officedocument.drawingml.chart+xml"/>
  <Override PartName="/xl/drawings/drawing44.xml" ContentType="application/vnd.openxmlformats-officedocument.drawing+xml"/>
  <Override PartName="/xl/charts/chart79.xml" ContentType="application/vnd.openxmlformats-officedocument.drawingml.chart+xml"/>
  <Override PartName="/xl/drawings/drawing45.xml" ContentType="application/vnd.openxmlformats-officedocument.drawing+xml"/>
  <Override PartName="/xl/charts/chart80.xml" ContentType="application/vnd.openxmlformats-officedocument.drawingml.chart+xml"/>
  <Override PartName="/xl/drawings/drawing46.xml" ContentType="application/vnd.openxmlformats-officedocument.drawing+xml"/>
  <Override PartName="/xl/charts/chart81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RBOld/Library/Mobile Documents/com~apple~CloudDocs/Kentucky Power 2020 Rate Case/Baudino Testimony and Work Papers/EEI Material/"/>
    </mc:Choice>
  </mc:AlternateContent>
  <xr:revisionPtr revIDLastSave="0" documentId="13_ncr:1_{6ECB1ED4-7B71-3049-8C4A-1D1D29D457F2}" xr6:coauthVersionLast="45" xr6:coauthVersionMax="45" xr10:uidLastSave="{00000000-0000-0000-0000-000000000000}"/>
  <bookViews>
    <workbookView xWindow="1640" yWindow="460" windowWidth="25500" windowHeight="21140" tabRatio="873" activeTab="5" xr2:uid="{00000000-000D-0000-FFFF-FFFF00000000}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0Q2" sheetId="83" r:id="rId6"/>
    <sheet name="Credit_2020Q1" sheetId="81" r:id="rId7"/>
    <sheet name="Credit_2019Q4" sheetId="80" r:id="rId8"/>
    <sheet name="Credit_2019Q3" sheetId="79" r:id="rId9"/>
    <sheet name="Credit_2019Q2" sheetId="76" r:id="rId10"/>
    <sheet name="Credit_2019Q1" sheetId="78" r:id="rId11"/>
    <sheet name="Credit_2018Q4" sheetId="75" r:id="rId12"/>
    <sheet name="Credit_2018Q3" sheetId="74" r:id="rId13"/>
    <sheet name="Credit_2018Q2" sheetId="73" r:id="rId14"/>
    <sheet name="Credit_2018Q1" sheetId="71" r:id="rId15"/>
    <sheet name="Credit_2017Q4" sheetId="70" r:id="rId16"/>
    <sheet name="Credit_2017Q3" sheetId="69" r:id="rId17"/>
    <sheet name="Credit_2017Q2" sheetId="68" r:id="rId18"/>
    <sheet name="Credit_2017Q1" sheetId="66" r:id="rId19"/>
    <sheet name="Credit_2016Q4" sheetId="65" r:id="rId20"/>
    <sheet name="Credit_2016Q3" sheetId="64" r:id="rId21"/>
    <sheet name="Credit_2016Q2" sheetId="63" r:id="rId22"/>
    <sheet name="Credit_2016Q1" sheetId="61" r:id="rId23"/>
    <sheet name="Credit_2015Q4" sheetId="60" r:id="rId24"/>
    <sheet name="Credit_2015Q3" sheetId="58" r:id="rId25"/>
    <sheet name="Credit_2015Q2" sheetId="57" r:id="rId26"/>
    <sheet name="Credit_2015Q1" sheetId="56" r:id="rId27"/>
    <sheet name="Credit_2014Q4" sheetId="55" r:id="rId28"/>
    <sheet name="Credit_2014Q3" sheetId="54" r:id="rId29"/>
    <sheet name="Credit_2014Q2" sheetId="52" r:id="rId30"/>
    <sheet name="Credit_2014Q1" sheetId="51" r:id="rId31"/>
    <sheet name="Credit_2013Q4" sheetId="50" r:id="rId32"/>
    <sheet name="Credit_2013Q3" sheetId="49" r:id="rId33"/>
    <sheet name="Credit_2013Q2" sheetId="43" r:id="rId34"/>
    <sheet name="Credit_2013Q1" sheetId="40" r:id="rId35"/>
    <sheet name="Credit_2012Q4" sheetId="34" r:id="rId36"/>
    <sheet name="Credit_2012Q3" sheetId="45" r:id="rId37"/>
    <sheet name="Credit_2012Q2" sheetId="46" r:id="rId38"/>
    <sheet name="Credit_2012Q1" sheetId="47" r:id="rId39"/>
    <sheet name="Credit_2011Q4" sheetId="28" r:id="rId40"/>
    <sheet name="Credit_2011Q3" sheetId="27" r:id="rId41"/>
    <sheet name="Credit_2011Q2" sheetId="26" r:id="rId42"/>
    <sheet name="Credit_2011Q1" sheetId="25" r:id="rId43"/>
    <sheet name="Credit_2010Q4" sheetId="24" r:id="rId44"/>
    <sheet name="Credit_2009Q4" sheetId="20" r:id="rId45"/>
    <sheet name="Credit_2008Q4" sheetId="16" r:id="rId46"/>
    <sheet name="Credit_2007Q4" sheetId="17" r:id="rId47"/>
    <sheet name="Credit_2006Q4" sheetId="11" r:id="rId48"/>
    <sheet name="Credit_2001Q4" sheetId="8" r:id="rId49"/>
    <sheet name="Reg_Percent_2019" sheetId="82" r:id="rId50"/>
    <sheet name="Reg_Percent_2018" sheetId="77" r:id="rId51"/>
    <sheet name="Reg_Percent_2017" sheetId="72" r:id="rId52"/>
    <sheet name="Reg_Percent_2016" sheetId="67" r:id="rId53"/>
    <sheet name="Reg_Percent_2015" sheetId="62" r:id="rId54"/>
    <sheet name="Reg_Percent_2014" sheetId="59" r:id="rId55"/>
    <sheet name="Reg_Percent_2013" sheetId="53" r:id="rId56"/>
    <sheet name="Reg_Percent_2012" sheetId="44" r:id="rId57"/>
    <sheet name="Reg_Percent_2011" sheetId="38" r:id="rId58"/>
    <sheet name="Reg_Percent_2010" sheetId="48" r:id="rId59"/>
    <sheet name="Scale" sheetId="41" r:id="rId60"/>
  </sheets>
  <externalReferences>
    <externalReference r:id="rId61"/>
    <externalReference r:id="rId62"/>
    <externalReference r:id="rId63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BI63" i="83" l="1"/>
  <c r="BH63" i="83"/>
  <c r="BG63" i="83"/>
  <c r="BF63" i="83"/>
  <c r="AV63" i="83"/>
  <c r="AV31" i="83" l="1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C68" i="83" l="1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G13" i="83"/>
  <c r="E6" i="83"/>
  <c r="AW63" i="83" l="1"/>
  <c r="AX63" i="83" s="1"/>
  <c r="BC8" i="83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BC9" i="83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A31" i="7"/>
  <c r="CA21" i="7"/>
  <c r="CA11" i="7"/>
  <c r="CA7" i="7"/>
  <c r="CC7" i="7"/>
  <c r="CC11" i="7"/>
  <c r="CC21" i="7"/>
  <c r="CC31" i="7"/>
  <c r="BD11" i="7"/>
  <c r="BG7" i="7"/>
  <c r="BG11" i="7"/>
  <c r="BD7" i="7"/>
  <c r="G7" i="83"/>
  <c r="AJ18" i="83"/>
  <c r="AJ41" i="83"/>
  <c r="AJ12" i="83"/>
  <c r="G33" i="83"/>
  <c r="AJ11" i="83"/>
  <c r="G46" i="83"/>
  <c r="G45" i="83"/>
  <c r="AJ39" i="83"/>
  <c r="G38" i="83"/>
  <c r="AJ33" i="83"/>
  <c r="G27" i="83"/>
  <c r="AJ60" i="83"/>
  <c r="G61" i="83"/>
  <c r="AJ45" i="83"/>
  <c r="AJ7" i="83"/>
  <c r="AJ14" i="83"/>
  <c r="AJ44" i="83"/>
  <c r="G31" i="83"/>
  <c r="AJ53" i="83"/>
  <c r="G41" i="83"/>
  <c r="AJ58" i="83"/>
  <c r="G22" i="83"/>
  <c r="G42" i="83"/>
  <c r="AJ9" i="83"/>
  <c r="G49" i="83"/>
  <c r="AJ49" i="83"/>
  <c r="AJ36" i="83"/>
  <c r="AJ43" i="83"/>
  <c r="G24" i="83"/>
  <c r="G15" i="83"/>
  <c r="AJ22" i="83"/>
  <c r="AJ29" i="83"/>
  <c r="AJ30" i="83"/>
  <c r="G11" i="83"/>
  <c r="AJ15" i="83"/>
  <c r="G50" i="83"/>
  <c r="E12" i="83"/>
  <c r="AJ48" i="83"/>
  <c r="G14" i="83"/>
  <c r="AJ31" i="83"/>
  <c r="AJ20" i="83"/>
  <c r="AJ27" i="83"/>
  <c r="AJ47" i="83"/>
  <c r="AJ54" i="83"/>
  <c r="G48" i="83"/>
  <c r="E13" i="83"/>
  <c r="G21" i="83"/>
  <c r="AJ52" i="83"/>
  <c r="AJ62" i="83"/>
  <c r="G44" i="83"/>
  <c r="G32" i="83"/>
  <c r="AJ38" i="83"/>
  <c r="AJ37" i="83"/>
  <c r="AJ28" i="83"/>
  <c r="AJ65" i="83"/>
  <c r="G20" i="83"/>
  <c r="AJ59" i="83"/>
  <c r="G39" i="83"/>
  <c r="AJ51" i="83"/>
  <c r="G35" i="83"/>
  <c r="AJ34" i="83"/>
  <c r="G28" i="83"/>
  <c r="AJ42" i="83"/>
  <c r="AJ56" i="83"/>
  <c r="AJ24" i="83"/>
  <c r="AJ10" i="83"/>
  <c r="AJ32" i="83"/>
  <c r="G23" i="83"/>
  <c r="AJ19" i="83"/>
  <c r="G47" i="83"/>
  <c r="G10" i="83"/>
  <c r="AJ46" i="83"/>
  <c r="AJ66" i="83"/>
  <c r="AJ21" i="83"/>
  <c r="AJ61" i="83"/>
  <c r="AJ50" i="83"/>
  <c r="G37" i="83"/>
  <c r="G16" i="83"/>
  <c r="G34" i="83"/>
  <c r="G29" i="83"/>
  <c r="AJ55" i="83"/>
  <c r="G43" i="83"/>
  <c r="AJ40" i="83"/>
  <c r="G30" i="83"/>
  <c r="G26" i="83"/>
  <c r="AJ8" i="83"/>
  <c r="AJ26" i="83"/>
  <c r="G19" i="83"/>
  <c r="G40" i="83"/>
  <c r="AJ13" i="83"/>
  <c r="AJ16" i="83"/>
  <c r="AJ17" i="83"/>
  <c r="G8" i="83"/>
  <c r="AJ57" i="83"/>
  <c r="AJ25" i="83"/>
  <c r="E9" i="83"/>
  <c r="AJ64" i="83"/>
  <c r="AJ67" i="83"/>
  <c r="G36" i="83"/>
  <c r="G18" i="83"/>
  <c r="G25" i="83"/>
  <c r="AJ63" i="83"/>
  <c r="G17" i="83"/>
  <c r="AJ23" i="83"/>
  <c r="AJ35" i="83"/>
  <c r="AY63" i="83" l="1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V12" i="10"/>
  <c r="V11" i="10"/>
  <c r="V16" i="10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A58" i="5" s="1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V13" i="9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V12" i="9" s="1"/>
  <c r="BZ43" i="5"/>
  <c r="CA43" i="5"/>
  <c r="CB43" i="5"/>
  <c r="CC43" i="5"/>
  <c r="BZ42" i="5"/>
  <c r="BZ50" i="5" s="1"/>
  <c r="CA42" i="5"/>
  <c r="CA50" i="5" s="1"/>
  <c r="CB42" i="5"/>
  <c r="CB50" i="5" s="1"/>
  <c r="CC42" i="5"/>
  <c r="CC50" i="5" s="1"/>
  <c r="V11" i="9" s="1"/>
  <c r="AL14" i="83"/>
  <c r="AL7" i="83"/>
  <c r="E23" i="83"/>
  <c r="AK34" i="83"/>
  <c r="AK47" i="83"/>
  <c r="AL31" i="83"/>
  <c r="AK49" i="83"/>
  <c r="AK31" i="83"/>
  <c r="E44" i="83"/>
  <c r="E14" i="83"/>
  <c r="E27" i="83"/>
  <c r="AL29" i="83"/>
  <c r="E28" i="83"/>
  <c r="AK61" i="83"/>
  <c r="E21" i="83"/>
  <c r="E15" i="83"/>
  <c r="AK45" i="83"/>
  <c r="E39" i="83"/>
  <c r="AL45" i="83"/>
  <c r="E49" i="83"/>
  <c r="AK14" i="83"/>
  <c r="E42" i="83"/>
  <c r="AL15" i="83"/>
  <c r="AK37" i="83"/>
  <c r="E7" i="83"/>
  <c r="E41" i="83"/>
  <c r="AL23" i="83"/>
  <c r="AK7" i="83"/>
  <c r="E46" i="83"/>
  <c r="AL12" i="83"/>
  <c r="E37" i="83"/>
  <c r="AK24" i="83"/>
  <c r="AK11" i="83"/>
  <c r="E22" i="83"/>
  <c r="AL35" i="83"/>
  <c r="AL22" i="83"/>
  <c r="AL41" i="83"/>
  <c r="AL38" i="83"/>
  <c r="AK41" i="83"/>
  <c r="AK38" i="83"/>
  <c r="E38" i="83"/>
  <c r="AK17" i="83"/>
  <c r="AK30" i="83"/>
  <c r="AL9" i="83"/>
  <c r="AL61" i="83"/>
  <c r="AK29" i="83"/>
  <c r="AL24" i="83"/>
  <c r="E61" i="83"/>
  <c r="AK33" i="83"/>
  <c r="E26" i="83"/>
  <c r="AL21" i="83"/>
  <c r="E25" i="83"/>
  <c r="AK21" i="83"/>
  <c r="AK20" i="83"/>
  <c r="E17" i="83"/>
  <c r="AK23" i="83"/>
  <c r="AL36" i="83"/>
  <c r="AL49" i="83"/>
  <c r="AL34" i="83"/>
  <c r="E18" i="83"/>
  <c r="AK35" i="83"/>
  <c r="E35" i="83"/>
  <c r="AK42" i="83"/>
  <c r="AL33" i="83"/>
  <c r="AL37" i="83"/>
  <c r="AL16" i="83"/>
  <c r="E8" i="83"/>
  <c r="AL32" i="83"/>
  <c r="AK13" i="83"/>
  <c r="E19" i="83"/>
  <c r="AL8" i="83"/>
  <c r="AL50" i="83"/>
  <c r="AK8" i="83"/>
  <c r="AK50" i="83"/>
  <c r="AL46" i="83"/>
  <c r="AK12" i="83"/>
  <c r="E50" i="83"/>
  <c r="AL11" i="83"/>
  <c r="AK18" i="83"/>
  <c r="AL28" i="83"/>
  <c r="AL26" i="83"/>
  <c r="AL30" i="83"/>
  <c r="E34" i="83"/>
  <c r="AL27" i="83"/>
  <c r="E31" i="83"/>
  <c r="AK27" i="83"/>
  <c r="E48" i="83"/>
  <c r="AL40" i="83"/>
  <c r="AL47" i="83"/>
  <c r="AK43" i="83"/>
  <c r="AK26" i="83"/>
  <c r="AK22" i="83"/>
  <c r="E43" i="83"/>
  <c r="AK32" i="83"/>
  <c r="E40" i="83"/>
  <c r="AL17" i="83"/>
  <c r="E45" i="83"/>
  <c r="AK25" i="83"/>
  <c r="AK36" i="83"/>
  <c r="E24" i="83"/>
  <c r="AL44" i="83"/>
  <c r="AL39" i="83"/>
  <c r="E30" i="83"/>
  <c r="AK39" i="83"/>
  <c r="AL25" i="83"/>
  <c r="AK44" i="83"/>
  <c r="E20" i="83"/>
  <c r="E16" i="83"/>
  <c r="AL10" i="83"/>
  <c r="E33" i="83"/>
  <c r="AK40" i="83"/>
  <c r="E10" i="83"/>
  <c r="AK15" i="83"/>
  <c r="E32" i="83"/>
  <c r="AK46" i="83"/>
  <c r="AL42" i="83"/>
  <c r="AK10" i="83"/>
  <c r="AK28" i="83"/>
  <c r="AL20" i="83"/>
  <c r="E36" i="83"/>
  <c r="E29" i="83"/>
  <c r="AK16" i="83"/>
  <c r="AL48" i="83"/>
  <c r="AL18" i="83"/>
  <c r="AL19" i="83"/>
  <c r="AK19" i="83"/>
  <c r="E47" i="83"/>
  <c r="AK48" i="83"/>
  <c r="E11" i="83"/>
  <c r="AL43" i="83"/>
  <c r="AL13" i="83"/>
  <c r="AK9" i="83"/>
  <c r="V14" i="10" l="1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V13" i="10"/>
  <c r="CB58" i="5"/>
  <c r="CC53" i="5"/>
  <c r="V14" i="9" s="1"/>
  <c r="BI8" i="83" l="1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BZ56" i="5"/>
  <c r="CC61" i="5" s="1"/>
  <c r="CC63" i="5" s="1"/>
  <c r="BF11" i="83" l="1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AW11" i="81" s="1"/>
  <c r="AX11" i="81" s="1"/>
  <c r="L11" i="81"/>
  <c r="AV10" i="81"/>
  <c r="L10" i="81"/>
  <c r="AV9" i="81"/>
  <c r="AW20" i="81" s="1"/>
  <c r="AX20" i="81" s="1"/>
  <c r="L9" i="81"/>
  <c r="AV8" i="81"/>
  <c r="AW8" i="81" s="1"/>
  <c r="AX8" i="81" s="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G7" i="81"/>
  <c r="E6" i="81"/>
  <c r="G18" i="81"/>
  <c r="AJ12" i="81"/>
  <c r="AJ30" i="81"/>
  <c r="G39" i="81"/>
  <c r="BI12" i="83" l="1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X35" i="81"/>
  <c r="AW35" i="8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G21" i="81"/>
  <c r="AJ57" i="81"/>
  <c r="AJ29" i="81"/>
  <c r="AJ10" i="81"/>
  <c r="G43" i="81"/>
  <c r="G14" i="81"/>
  <c r="AJ8" i="81"/>
  <c r="G23" i="81"/>
  <c r="AJ55" i="81"/>
  <c r="AJ44" i="81"/>
  <c r="AJ9" i="81"/>
  <c r="G47" i="81"/>
  <c r="G24" i="81"/>
  <c r="G25" i="81"/>
  <c r="G38" i="81"/>
  <c r="G17" i="81"/>
  <c r="AJ65" i="81"/>
  <c r="AJ53" i="81"/>
  <c r="AJ24" i="81"/>
  <c r="AJ42" i="81"/>
  <c r="G46" i="81"/>
  <c r="AJ51" i="81"/>
  <c r="AJ48" i="81"/>
  <c r="AJ21" i="81"/>
  <c r="G50" i="81"/>
  <c r="G34" i="81"/>
  <c r="G15" i="81"/>
  <c r="E39" i="81"/>
  <c r="G27" i="81"/>
  <c r="AJ62" i="81"/>
  <c r="AJ26" i="81"/>
  <c r="G9" i="81"/>
  <c r="G12" i="81"/>
  <c r="AJ28" i="81"/>
  <c r="AJ13" i="81"/>
  <c r="AJ20" i="81"/>
  <c r="G32" i="81"/>
  <c r="G31" i="81"/>
  <c r="G42" i="81"/>
  <c r="G37" i="81"/>
  <c r="AJ67" i="81"/>
  <c r="AJ11" i="81"/>
  <c r="AJ52" i="81"/>
  <c r="AJ35" i="81"/>
  <c r="G33" i="81"/>
  <c r="AJ58" i="81"/>
  <c r="AJ64" i="81"/>
  <c r="AJ16" i="81"/>
  <c r="AJ27" i="81"/>
  <c r="G28" i="81"/>
  <c r="G10" i="81"/>
  <c r="G26" i="81"/>
  <c r="AJ56" i="81"/>
  <c r="AJ61" i="81"/>
  <c r="AJ46" i="81"/>
  <c r="AJ25" i="81"/>
  <c r="G40" i="81"/>
  <c r="G13" i="81"/>
  <c r="AJ31" i="81"/>
  <c r="G20" i="81"/>
  <c r="G22" i="81"/>
  <c r="AJ54" i="81"/>
  <c r="AJ47" i="81"/>
  <c r="AJ39" i="81"/>
  <c r="AJ22" i="81"/>
  <c r="E7" i="81"/>
  <c r="AJ60" i="81"/>
  <c r="AJ33" i="81"/>
  <c r="AJ7" i="81"/>
  <c r="G44" i="81"/>
  <c r="G16" i="81"/>
  <c r="G35" i="81"/>
  <c r="AJ66" i="81"/>
  <c r="AJ36" i="81"/>
  <c r="AJ34" i="81"/>
  <c r="AJ17" i="81"/>
  <c r="G29" i="81"/>
  <c r="AL12" i="81"/>
  <c r="AJ32" i="81"/>
  <c r="AJ15" i="81"/>
  <c r="G41" i="81"/>
  <c r="G36" i="81"/>
  <c r="AK12" i="81"/>
  <c r="AJ59" i="81"/>
  <c r="AJ23" i="81"/>
  <c r="AJ63" i="81"/>
  <c r="AJ50" i="81"/>
  <c r="AJ38" i="81"/>
  <c r="G11" i="81"/>
  <c r="E6" i="80"/>
  <c r="AL30" i="81"/>
  <c r="AJ49" i="81"/>
  <c r="AJ43" i="81"/>
  <c r="AJ18" i="81"/>
  <c r="G61" i="81"/>
  <c r="G30" i="81"/>
  <c r="AK30" i="81"/>
  <c r="AJ45" i="81"/>
  <c r="AJ41" i="81"/>
  <c r="AJ14" i="81"/>
  <c r="G49" i="81"/>
  <c r="G19" i="81"/>
  <c r="G8" i="81"/>
  <c r="E18" i="81"/>
  <c r="AJ37" i="81"/>
  <c r="G45" i="81"/>
  <c r="AJ40" i="81"/>
  <c r="AJ19" i="81"/>
  <c r="G48" i="81"/>
  <c r="BH13" i="83" l="1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X10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X37" i="80"/>
  <c r="AW37" i="80"/>
  <c r="AW41" i="80"/>
  <c r="AX41" i="80" s="1"/>
  <c r="AX30" i="80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K4" i="79"/>
  <c r="AK2" i="79" s="1"/>
  <c r="AJ4" i="79"/>
  <c r="AJ2" i="79" s="1"/>
  <c r="G3" i="79"/>
  <c r="AL2" i="79"/>
  <c r="E2" i="79"/>
  <c r="E3" i="79" s="1"/>
  <c r="A1" i="79"/>
  <c r="E44" i="81"/>
  <c r="AL48" i="81"/>
  <c r="AK11" i="81"/>
  <c r="E22" i="81"/>
  <c r="E41" i="81"/>
  <c r="AK44" i="81"/>
  <c r="E27" i="81"/>
  <c r="AL34" i="81"/>
  <c r="E33" i="81"/>
  <c r="AL7" i="81"/>
  <c r="AL49" i="81"/>
  <c r="AK38" i="81"/>
  <c r="AK50" i="81"/>
  <c r="AL24" i="81"/>
  <c r="AK31" i="81"/>
  <c r="AK9" i="81"/>
  <c r="AL8" i="81"/>
  <c r="AL10" i="81"/>
  <c r="E48" i="81"/>
  <c r="AK33" i="81"/>
  <c r="AK46" i="81"/>
  <c r="AL18" i="81"/>
  <c r="AK35" i="81"/>
  <c r="AL11" i="81"/>
  <c r="E12" i="81"/>
  <c r="E49" i="81"/>
  <c r="AL41" i="81"/>
  <c r="E30" i="81"/>
  <c r="AK13" i="81"/>
  <c r="AK28" i="81"/>
  <c r="AL14" i="81"/>
  <c r="AL16" i="81"/>
  <c r="AJ27" i="80"/>
  <c r="AJ33" i="80"/>
  <c r="G22" i="80"/>
  <c r="G40" i="80"/>
  <c r="G46" i="80"/>
  <c r="AJ52" i="80"/>
  <c r="AJ55" i="80"/>
  <c r="AJ58" i="80"/>
  <c r="G11" i="80"/>
  <c r="AJ19" i="80"/>
  <c r="AJ62" i="80"/>
  <c r="AJ15" i="80"/>
  <c r="AJ36" i="80"/>
  <c r="AJ26" i="80"/>
  <c r="AJ16" i="80"/>
  <c r="AJ57" i="80"/>
  <c r="AJ67" i="80"/>
  <c r="AJ53" i="80"/>
  <c r="AJ47" i="80"/>
  <c r="G12" i="80"/>
  <c r="AJ38" i="80"/>
  <c r="G13" i="80"/>
  <c r="G45" i="80"/>
  <c r="AJ56" i="80"/>
  <c r="G48" i="80"/>
  <c r="AJ60" i="80"/>
  <c r="AJ31" i="80"/>
  <c r="AL50" i="81"/>
  <c r="AL15" i="81"/>
  <c r="AK32" i="81"/>
  <c r="AK29" i="81"/>
  <c r="E24" i="81"/>
  <c r="E15" i="81"/>
  <c r="AL13" i="81"/>
  <c r="E13" i="81"/>
  <c r="E10" i="81"/>
  <c r="AL19" i="81"/>
  <c r="AL45" i="81"/>
  <c r="AK40" i="81"/>
  <c r="E36" i="81"/>
  <c r="AL25" i="81"/>
  <c r="AK61" i="81"/>
  <c r="AK27" i="81"/>
  <c r="AK42" i="81"/>
  <c r="E37" i="81"/>
  <c r="AK41" i="81"/>
  <c r="E32" i="81"/>
  <c r="AJ50" i="80"/>
  <c r="AJ49" i="80"/>
  <c r="AJ35" i="80"/>
  <c r="AJ12" i="80"/>
  <c r="AJ48" i="80"/>
  <c r="AJ11" i="80"/>
  <c r="AJ61" i="80"/>
  <c r="AJ13" i="80"/>
  <c r="AJ44" i="80"/>
  <c r="AJ43" i="80"/>
  <c r="G44" i="80"/>
  <c r="G25" i="80"/>
  <c r="G39" i="80"/>
  <c r="G43" i="80"/>
  <c r="AJ37" i="80"/>
  <c r="G29" i="80"/>
  <c r="G15" i="80"/>
  <c r="G28" i="80"/>
  <c r="G41" i="80"/>
  <c r="G34" i="80"/>
  <c r="AJ30" i="80"/>
  <c r="AJ8" i="80"/>
  <c r="G26" i="80"/>
  <c r="AJ9" i="80"/>
  <c r="G49" i="80"/>
  <c r="G33" i="80"/>
  <c r="AJ23" i="80"/>
  <c r="E35" i="81"/>
  <c r="AK21" i="81"/>
  <c r="E45" i="81"/>
  <c r="AL37" i="81"/>
  <c r="AL31" i="81"/>
  <c r="AL9" i="81"/>
  <c r="E23" i="81"/>
  <c r="AK17" i="81"/>
  <c r="AL36" i="81"/>
  <c r="AL61" i="81"/>
  <c r="E61" i="81"/>
  <c r="E34" i="81"/>
  <c r="AK20" i="81"/>
  <c r="AL42" i="81"/>
  <c r="E17" i="81"/>
  <c r="E40" i="81"/>
  <c r="AL44" i="81"/>
  <c r="E28" i="81"/>
  <c r="AL29" i="81"/>
  <c r="AK7" i="81"/>
  <c r="E8" i="81"/>
  <c r="AL38" i="81"/>
  <c r="AK39" i="81"/>
  <c r="E20" i="81"/>
  <c r="E29" i="81"/>
  <c r="AL33" i="81"/>
  <c r="AL21" i="81"/>
  <c r="AL28" i="81"/>
  <c r="AK26" i="81"/>
  <c r="AK34" i="81"/>
  <c r="AL40" i="81"/>
  <c r="AL43" i="81"/>
  <c r="AL39" i="81"/>
  <c r="AL20" i="81"/>
  <c r="AL26" i="81"/>
  <c r="AK19" i="81"/>
  <c r="AL23" i="81"/>
  <c r="AL17" i="81"/>
  <c r="AK8" i="81"/>
  <c r="E46" i="81"/>
  <c r="E19" i="81"/>
  <c r="AK45" i="81"/>
  <c r="AK23" i="81"/>
  <c r="E14" i="81"/>
  <c r="G17" i="80"/>
  <c r="AJ22" i="80"/>
  <c r="AJ10" i="80"/>
  <c r="G23" i="80"/>
  <c r="AJ66" i="80"/>
  <c r="AJ42" i="80"/>
  <c r="AJ28" i="80"/>
  <c r="AJ45" i="80"/>
  <c r="G10" i="80"/>
  <c r="G31" i="80"/>
  <c r="G37" i="80"/>
  <c r="AJ54" i="80"/>
  <c r="AJ65" i="80"/>
  <c r="AK47" i="81"/>
  <c r="E50" i="81"/>
  <c r="AK49" i="81"/>
  <c r="AK14" i="81"/>
  <c r="E25" i="81"/>
  <c r="AJ39" i="80"/>
  <c r="AJ18" i="80"/>
  <c r="AJ41" i="80"/>
  <c r="G18" i="80"/>
  <c r="G8" i="80"/>
  <c r="G7" i="80"/>
  <c r="AJ46" i="80"/>
  <c r="AJ24" i="80"/>
  <c r="E16" i="81"/>
  <c r="E9" i="81"/>
  <c r="E21" i="81"/>
  <c r="AK48" i="81"/>
  <c r="AL32" i="81"/>
  <c r="E47" i="81"/>
  <c r="E11" i="81"/>
  <c r="AL47" i="81"/>
  <c r="AL46" i="81"/>
  <c r="AK16" i="81"/>
  <c r="AK25" i="81"/>
  <c r="AJ13" i="79"/>
  <c r="G14" i="80"/>
  <c r="G21" i="80"/>
  <c r="AJ14" i="80"/>
  <c r="AJ59" i="80"/>
  <c r="AJ32" i="80"/>
  <c r="AJ17" i="80"/>
  <c r="G47" i="80"/>
  <c r="AK22" i="81"/>
  <c r="E26" i="81"/>
  <c r="AK43" i="81"/>
  <c r="E38" i="81"/>
  <c r="AK36" i="81"/>
  <c r="E43" i="81"/>
  <c r="AL22" i="81"/>
  <c r="E42" i="81"/>
  <c r="E31" i="81"/>
  <c r="AK24" i="81"/>
  <c r="AL27" i="81"/>
  <c r="G38" i="80"/>
  <c r="G36" i="80"/>
  <c r="AJ64" i="80"/>
  <c r="AJ25" i="80"/>
  <c r="G30" i="80"/>
  <c r="G32" i="80"/>
  <c r="AJ21" i="80"/>
  <c r="G24" i="80"/>
  <c r="AJ20" i="80"/>
  <c r="G16" i="80"/>
  <c r="AJ29" i="80"/>
  <c r="G20" i="80"/>
  <c r="G27" i="80"/>
  <c r="AK10" i="81"/>
  <c r="AK15" i="81"/>
  <c r="AL35" i="81"/>
  <c r="AK37" i="81"/>
  <c r="AK18" i="81"/>
  <c r="G42" i="80"/>
  <c r="AJ51" i="80"/>
  <c r="G50" i="80"/>
  <c r="G61" i="80"/>
  <c r="AJ63" i="80"/>
  <c r="E6" i="79"/>
  <c r="G9" i="80"/>
  <c r="G19" i="80"/>
  <c r="AJ40" i="80"/>
  <c r="AJ7" i="80"/>
  <c r="G35" i="80"/>
  <c r="AJ34" i="80"/>
  <c r="BG14" i="83" l="1"/>
  <c r="BH14" i="83"/>
  <c r="BI14" i="83"/>
  <c r="BF14" i="83"/>
  <c r="BD15" i="83"/>
  <c r="BC16" i="83"/>
  <c r="BD7" i="8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BI7" i="81"/>
  <c r="BH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F61" i="78"/>
  <c r="AV60" i="78"/>
  <c r="AH60" i="78"/>
  <c r="AG60" i="78"/>
  <c r="AF60" i="78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W7" i="78"/>
  <c r="AX7" i="78" s="1"/>
  <c r="AV7" i="78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E3" i="78"/>
  <c r="AJ2" i="78"/>
  <c r="E2" i="78"/>
  <c r="A1" i="78"/>
  <c r="G39" i="79"/>
  <c r="E47" i="80"/>
  <c r="AJ10" i="79"/>
  <c r="AJ44" i="79"/>
  <c r="AJ56" i="79"/>
  <c r="AJ26" i="79"/>
  <c r="G41" i="79"/>
  <c r="E23" i="80"/>
  <c r="AL35" i="80"/>
  <c r="AK46" i="80"/>
  <c r="AK33" i="80"/>
  <c r="E29" i="80"/>
  <c r="E17" i="80"/>
  <c r="AJ50" i="79"/>
  <c r="AK47" i="80"/>
  <c r="AJ64" i="79"/>
  <c r="G49" i="79"/>
  <c r="E22" i="80"/>
  <c r="AL47" i="80"/>
  <c r="G40" i="79"/>
  <c r="AJ47" i="79"/>
  <c r="G43" i="79"/>
  <c r="AJ8" i="79"/>
  <c r="AK49" i="80"/>
  <c r="AJ45" i="79"/>
  <c r="AJ38" i="79"/>
  <c r="AJ65" i="79"/>
  <c r="AJ62" i="79"/>
  <c r="G19" i="79"/>
  <c r="AL8" i="80"/>
  <c r="AL48" i="80"/>
  <c r="AJ18" i="79"/>
  <c r="AK15" i="80"/>
  <c r="E40" i="80"/>
  <c r="AJ49" i="79"/>
  <c r="AJ51" i="79"/>
  <c r="AK11" i="80"/>
  <c r="AK18" i="80"/>
  <c r="AK14" i="80"/>
  <c r="G44" i="79"/>
  <c r="G10" i="79"/>
  <c r="AL13" i="79"/>
  <c r="AJ59" i="79"/>
  <c r="AJ48" i="79"/>
  <c r="G13" i="79"/>
  <c r="AL18" i="80"/>
  <c r="AJ14" i="79"/>
  <c r="AL16" i="80"/>
  <c r="AJ61" i="79"/>
  <c r="AL20" i="80"/>
  <c r="AL23" i="80"/>
  <c r="AL27" i="80"/>
  <c r="AL44" i="80"/>
  <c r="G32" i="79"/>
  <c r="G18" i="79"/>
  <c r="G28" i="79"/>
  <c r="AL61" i="80"/>
  <c r="G14" i="79"/>
  <c r="AJ39" i="79"/>
  <c r="G34" i="79"/>
  <c r="G25" i="79"/>
  <c r="AL10" i="80"/>
  <c r="AK9" i="80"/>
  <c r="AJ35" i="79"/>
  <c r="G61" i="79"/>
  <c r="G24" i="79"/>
  <c r="E15" i="80"/>
  <c r="AJ28" i="79"/>
  <c r="E28" i="80"/>
  <c r="E8" i="80"/>
  <c r="G8" i="79"/>
  <c r="AL21" i="80"/>
  <c r="G9" i="79"/>
  <c r="AK27" i="80"/>
  <c r="AK8" i="80"/>
  <c r="G12" i="79"/>
  <c r="G26" i="79"/>
  <c r="AL22" i="80"/>
  <c r="E49" i="80"/>
  <c r="AJ40" i="79"/>
  <c r="AJ24" i="79"/>
  <c r="G48" i="79"/>
  <c r="E21" i="80"/>
  <c r="AK13" i="79"/>
  <c r="AJ67" i="79"/>
  <c r="AJ21" i="79"/>
  <c r="AL30" i="80"/>
  <c r="AJ32" i="79"/>
  <c r="AK22" i="80"/>
  <c r="AJ57" i="79"/>
  <c r="AL17" i="80"/>
  <c r="AJ20" i="79"/>
  <c r="E37" i="80"/>
  <c r="AJ36" i="79"/>
  <c r="AL13" i="80"/>
  <c r="AL33" i="80"/>
  <c r="E45" i="80"/>
  <c r="AL49" i="80"/>
  <c r="AK30" i="80"/>
  <c r="AJ23" i="79"/>
  <c r="G47" i="79"/>
  <c r="G21" i="79"/>
  <c r="AJ31" i="79"/>
  <c r="E36" i="80"/>
  <c r="E16" i="80"/>
  <c r="G22" i="79"/>
  <c r="AK26" i="80"/>
  <c r="G31" i="79"/>
  <c r="G38" i="79"/>
  <c r="G35" i="79"/>
  <c r="G23" i="79"/>
  <c r="AK42" i="80"/>
  <c r="E10" i="80"/>
  <c r="E13" i="80"/>
  <c r="AJ25" i="79"/>
  <c r="E33" i="80"/>
  <c r="AK13" i="80"/>
  <c r="AL37" i="80"/>
  <c r="AK41" i="80"/>
  <c r="AL29" i="80"/>
  <c r="AJ37" i="79"/>
  <c r="E18" i="80"/>
  <c r="AK43" i="80"/>
  <c r="E12" i="80"/>
  <c r="E11" i="80"/>
  <c r="AL11" i="80"/>
  <c r="AK21" i="80"/>
  <c r="AL50" i="80"/>
  <c r="AK32" i="80"/>
  <c r="AK48" i="80"/>
  <c r="G37" i="79"/>
  <c r="AJ33" i="79"/>
  <c r="E42" i="80"/>
  <c r="E14" i="80"/>
  <c r="AJ41" i="79"/>
  <c r="AJ9" i="79"/>
  <c r="E44" i="80"/>
  <c r="AK44" i="80"/>
  <c r="G50" i="79"/>
  <c r="G33" i="79"/>
  <c r="AK40" i="80"/>
  <c r="AJ11" i="79"/>
  <c r="E34" i="80"/>
  <c r="AK16" i="80"/>
  <c r="E19" i="80"/>
  <c r="AJ17" i="79"/>
  <c r="AJ60" i="79"/>
  <c r="AL38" i="80"/>
  <c r="AK25" i="80"/>
  <c r="E39" i="80"/>
  <c r="AL28" i="80"/>
  <c r="AJ55" i="79"/>
  <c r="AJ66" i="79"/>
  <c r="G17" i="79"/>
  <c r="G36" i="79"/>
  <c r="AJ63" i="79"/>
  <c r="AL41" i="80"/>
  <c r="AL25" i="80"/>
  <c r="AK19" i="80"/>
  <c r="AJ7" i="78"/>
  <c r="AK38" i="80"/>
  <c r="G20" i="79"/>
  <c r="AL12" i="80"/>
  <c r="AJ34" i="79"/>
  <c r="E35" i="80"/>
  <c r="G7" i="79"/>
  <c r="AL39" i="80"/>
  <c r="AJ42" i="79"/>
  <c r="AL45" i="80"/>
  <c r="AJ52" i="79"/>
  <c r="AJ7" i="79"/>
  <c r="E7" i="80"/>
  <c r="AJ19" i="79"/>
  <c r="AJ58" i="79"/>
  <c r="AL24" i="80"/>
  <c r="AK12" i="80"/>
  <c r="G30" i="79"/>
  <c r="G46" i="79"/>
  <c r="AK61" i="80"/>
  <c r="E46" i="80"/>
  <c r="E27" i="80"/>
  <c r="AL36" i="80"/>
  <c r="AL7" i="80"/>
  <c r="E50" i="80"/>
  <c r="AJ29" i="79"/>
  <c r="AK35" i="80"/>
  <c r="E61" i="80"/>
  <c r="AK50" i="80"/>
  <c r="AJ12" i="79"/>
  <c r="G16" i="79"/>
  <c r="AL43" i="80"/>
  <c r="AK31" i="80"/>
  <c r="E41" i="80"/>
  <c r="AJ54" i="79"/>
  <c r="G15" i="79"/>
  <c r="AL32" i="80"/>
  <c r="AJ16" i="79"/>
  <c r="AK39" i="80"/>
  <c r="AK10" i="80"/>
  <c r="AJ22" i="79"/>
  <c r="AJ30" i="79"/>
  <c r="AJ27" i="79"/>
  <c r="AL34" i="80"/>
  <c r="AJ15" i="79"/>
  <c r="E32" i="80"/>
  <c r="AL40" i="80"/>
  <c r="E48" i="80"/>
  <c r="AL14" i="80"/>
  <c r="AK34" i="80"/>
  <c r="E30" i="80"/>
  <c r="G45" i="79"/>
  <c r="AK24" i="80"/>
  <c r="E25" i="80"/>
  <c r="AK36" i="80"/>
  <c r="E6" i="78"/>
  <c r="AL19" i="80"/>
  <c r="AK37" i="80"/>
  <c r="AK20" i="80"/>
  <c r="AL15" i="80"/>
  <c r="E20" i="80"/>
  <c r="E9" i="80"/>
  <c r="G27" i="79"/>
  <c r="AL26" i="80"/>
  <c r="AK23" i="80"/>
  <c r="G29" i="79"/>
  <c r="E26" i="80"/>
  <c r="AL31" i="80"/>
  <c r="E24" i="80"/>
  <c r="AK29" i="80"/>
  <c r="AK7" i="80"/>
  <c r="AJ43" i="79"/>
  <c r="AK17" i="80"/>
  <c r="E38" i="80"/>
  <c r="AL46" i="80"/>
  <c r="AL42" i="80"/>
  <c r="G11" i="79"/>
  <c r="AJ53" i="79"/>
  <c r="AJ46" i="79"/>
  <c r="E31" i="80"/>
  <c r="G42" i="79"/>
  <c r="E43" i="80"/>
  <c r="AK28" i="80"/>
  <c r="AL9" i="80"/>
  <c r="AK45" i="80"/>
  <c r="BF15" i="83" l="1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AM44" i="80"/>
  <c r="AG37" i="80"/>
  <c r="AH37" i="80"/>
  <c r="AH38" i="80"/>
  <c r="AG38" i="80"/>
  <c r="AM41" i="80"/>
  <c r="AH16" i="80"/>
  <c r="AG16" i="80"/>
  <c r="AM61" i="80"/>
  <c r="AM21" i="80"/>
  <c r="AM27" i="80"/>
  <c r="AH12" i="80"/>
  <c r="AG12" i="80"/>
  <c r="AM31" i="80"/>
  <c r="AM29" i="80"/>
  <c r="AG18" i="80"/>
  <c r="AH18" i="80"/>
  <c r="AH28" i="80"/>
  <c r="AG28" i="80"/>
  <c r="AH10" i="80"/>
  <c r="AG10" i="80"/>
  <c r="AH14" i="80"/>
  <c r="AG14" i="80"/>
  <c r="AM24" i="80"/>
  <c r="AH13" i="80"/>
  <c r="AG13" i="80"/>
  <c r="AG36" i="80"/>
  <c r="AH36" i="80"/>
  <c r="AH25" i="80"/>
  <c r="AG25" i="80"/>
  <c r="AG41" i="80"/>
  <c r="AH41" i="80"/>
  <c r="AH34" i="80"/>
  <c r="AG34" i="80"/>
  <c r="AM30" i="80"/>
  <c r="AM49" i="80"/>
  <c r="AH61" i="80"/>
  <c r="AG61" i="80"/>
  <c r="AM32" i="80"/>
  <c r="AH21" i="80"/>
  <c r="AG21" i="80"/>
  <c r="AH27" i="80"/>
  <c r="AG27" i="80"/>
  <c r="AM9" i="80"/>
  <c r="AM50" i="80"/>
  <c r="AM12" i="80"/>
  <c r="AH31" i="80"/>
  <c r="AG31" i="80"/>
  <c r="AG29" i="80"/>
  <c r="AH29" i="80"/>
  <c r="AM18" i="80"/>
  <c r="AM28" i="80"/>
  <c r="AM10" i="80"/>
  <c r="AM11" i="80"/>
  <c r="AH24" i="80"/>
  <c r="AG24" i="80"/>
  <c r="AM13" i="80"/>
  <c r="AG26" i="80"/>
  <c r="AH26" i="80"/>
  <c r="AM34" i="80"/>
  <c r="AM36" i="80"/>
  <c r="AM25" i="80"/>
  <c r="U16" i="80" a="1"/>
  <c r="U16" i="80" s="1"/>
  <c r="R16" i="80" a="1"/>
  <c r="R16" i="80" s="1"/>
  <c r="R13" i="80"/>
  <c r="S13" i="80" s="1"/>
  <c r="R11" i="80"/>
  <c r="S11" i="80" s="1"/>
  <c r="R10" i="80"/>
  <c r="R9" i="80"/>
  <c r="R8" i="80"/>
  <c r="R12" i="80"/>
  <c r="O16" i="80" a="1"/>
  <c r="O16" i="80" s="1"/>
  <c r="U13" i="80"/>
  <c r="V13" i="80" s="1"/>
  <c r="O13" i="80"/>
  <c r="U12" i="80"/>
  <c r="V12" i="80" s="1"/>
  <c r="O12" i="80"/>
  <c r="U11" i="80"/>
  <c r="V11" i="80" s="1"/>
  <c r="O11" i="80"/>
  <c r="U10" i="80"/>
  <c r="V10" i="80" s="1"/>
  <c r="O10" i="80"/>
  <c r="U9" i="80"/>
  <c r="V9" i="80" s="1"/>
  <c r="O9" i="80"/>
  <c r="U8" i="80"/>
  <c r="O8" i="80"/>
  <c r="AM43" i="80"/>
  <c r="AH30" i="80"/>
  <c r="AG30" i="80"/>
  <c r="AM35" i="80"/>
  <c r="AM33" i="80"/>
  <c r="AG22" i="80"/>
  <c r="AH22" i="80"/>
  <c r="AH7" i="80"/>
  <c r="AG7" i="80"/>
  <c r="AM19" i="80"/>
  <c r="AG50" i="80"/>
  <c r="AH50" i="80"/>
  <c r="AM42" i="80"/>
  <c r="AG45" i="80"/>
  <c r="AH45" i="80"/>
  <c r="AM47" i="80"/>
  <c r="AM46" i="80"/>
  <c r="AM17" i="80"/>
  <c r="AM20" i="80"/>
  <c r="AM23" i="80"/>
  <c r="AH48" i="80"/>
  <c r="AG48" i="80"/>
  <c r="AG40" i="80"/>
  <c r="AH40" i="80"/>
  <c r="AH8" i="80"/>
  <c r="AG8" i="80"/>
  <c r="AH15" i="80"/>
  <c r="AG15" i="80"/>
  <c r="AH39" i="80"/>
  <c r="AG39" i="80"/>
  <c r="AG49" i="80"/>
  <c r="AH49" i="80"/>
  <c r="AG32" i="80"/>
  <c r="AH32" i="80"/>
  <c r="AH9" i="80"/>
  <c r="AG9" i="80"/>
  <c r="AH11" i="80"/>
  <c r="AG11" i="80"/>
  <c r="AH44" i="80"/>
  <c r="AG44" i="80"/>
  <c r="AM39" i="80"/>
  <c r="AM37" i="80"/>
  <c r="AM26" i="80"/>
  <c r="AM38" i="80"/>
  <c r="AH43" i="80"/>
  <c r="AG43" i="80"/>
  <c r="AM16" i="80"/>
  <c r="AH35" i="80"/>
  <c r="AG35" i="80"/>
  <c r="AG33" i="80"/>
  <c r="AH33" i="80"/>
  <c r="AM22" i="80"/>
  <c r="AM7" i="80"/>
  <c r="AG19" i="80"/>
  <c r="AH19" i="80"/>
  <c r="AH42" i="80"/>
  <c r="AG42" i="80"/>
  <c r="AM45" i="80"/>
  <c r="AH47" i="80"/>
  <c r="AG47" i="80"/>
  <c r="AG46" i="80"/>
  <c r="AH46" i="80"/>
  <c r="AH17" i="80"/>
  <c r="AG17" i="80"/>
  <c r="AH20" i="80"/>
  <c r="AG20" i="80"/>
  <c r="AH23" i="80"/>
  <c r="AG23" i="80"/>
  <c r="AM14" i="80"/>
  <c r="AM48" i="80"/>
  <c r="AM40" i="80"/>
  <c r="AM8" i="80"/>
  <c r="AM15" i="80"/>
  <c r="BD9" i="80"/>
  <c r="BC10" i="80"/>
  <c r="BD7" i="80"/>
  <c r="BC9" i="78"/>
  <c r="L14" i="78"/>
  <c r="M10" i="78" s="1"/>
  <c r="AW8" i="78"/>
  <c r="AX8" i="78" s="1"/>
  <c r="AX14" i="78"/>
  <c r="C77" i="78"/>
  <c r="AW11" i="78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W49" i="78"/>
  <c r="AX49" i="78" s="1"/>
  <c r="AW29" i="78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X11" i="78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X29" i="78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W46" i="78"/>
  <c r="AW48" i="78"/>
  <c r="AX48" i="78" s="1"/>
  <c r="AX44" i="78"/>
  <c r="AX46" i="78"/>
  <c r="AX51" i="78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K58" i="79"/>
  <c r="AM58" i="79" s="1"/>
  <c r="AL58" i="79"/>
  <c r="AK57" i="79"/>
  <c r="AM57" i="79" s="1"/>
  <c r="AL57" i="79"/>
  <c r="AK52" i="79"/>
  <c r="AM52" i="79" s="1"/>
  <c r="AL52" i="79"/>
  <c r="AL63" i="79"/>
  <c r="AK63" i="79"/>
  <c r="AM63" i="79" s="1"/>
  <c r="AL64" i="79"/>
  <c r="AK64" i="79"/>
  <c r="AM64" i="79" s="1"/>
  <c r="AL51" i="79"/>
  <c r="AK51" i="79"/>
  <c r="AM51" i="79" s="1"/>
  <c r="AK60" i="79"/>
  <c r="AM60" i="79" s="1"/>
  <c r="AL60" i="79"/>
  <c r="AK54" i="79"/>
  <c r="AM54" i="79" s="1"/>
  <c r="AL54" i="79"/>
  <c r="AK56" i="79"/>
  <c r="AM56" i="79" s="1"/>
  <c r="AL56" i="79"/>
  <c r="AL67" i="79"/>
  <c r="AK67" i="79"/>
  <c r="AM67" i="79" s="1"/>
  <c r="AL59" i="79"/>
  <c r="AK59" i="79"/>
  <c r="AM59" i="79" s="1"/>
  <c r="AL65" i="79"/>
  <c r="AK65" i="79"/>
  <c r="AM65" i="79" s="1"/>
  <c r="AL62" i="79"/>
  <c r="AK62" i="79"/>
  <c r="AM62" i="79" s="1"/>
  <c r="AH13" i="79"/>
  <c r="AG13" i="79"/>
  <c r="AK53" i="79"/>
  <c r="AM53" i="79" s="1"/>
  <c r="AL53" i="79"/>
  <c r="AK55" i="79"/>
  <c r="AM55" i="79" s="1"/>
  <c r="AL55" i="79"/>
  <c r="AL66" i="79"/>
  <c r="AK66" i="79"/>
  <c r="AM66" i="79" s="1"/>
  <c r="A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BI16" i="83" l="1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O14" i="80"/>
  <c r="P8" i="80" s="1"/>
  <c r="AA12" i="80"/>
  <c r="BD10" i="80"/>
  <c r="BC11" i="80"/>
  <c r="V8" i="80"/>
  <c r="U14" i="80"/>
  <c r="AA10" i="80"/>
  <c r="BI9" i="80"/>
  <c r="BH9" i="80"/>
  <c r="BG9" i="80"/>
  <c r="BF9" i="80"/>
  <c r="AA9" i="80"/>
  <c r="AA11" i="80"/>
  <c r="AA13" i="80"/>
  <c r="R14" i="80"/>
  <c r="S12" i="80" s="1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X58" i="5" s="1"/>
  <c r="BW56" i="5"/>
  <c r="BW58" i="5" s="1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G39" i="78"/>
  <c r="E39" i="79"/>
  <c r="AK61" i="79"/>
  <c r="E23" i="79"/>
  <c r="AL12" i="79"/>
  <c r="AJ13" i="78"/>
  <c r="AL39" i="79"/>
  <c r="AL43" i="79"/>
  <c r="AK34" i="79"/>
  <c r="G33" i="78"/>
  <c r="E31" i="79"/>
  <c r="AJ46" i="78"/>
  <c r="AL44" i="79"/>
  <c r="E41" i="79"/>
  <c r="AJ22" i="78"/>
  <c r="E19" i="79"/>
  <c r="E20" i="79"/>
  <c r="AL33" i="79"/>
  <c r="AJ52" i="78"/>
  <c r="AL20" i="79"/>
  <c r="AK12" i="79"/>
  <c r="E22" i="79"/>
  <c r="AK29" i="79"/>
  <c r="AK39" i="79"/>
  <c r="AK43" i="79"/>
  <c r="AL35" i="79"/>
  <c r="E28" i="79"/>
  <c r="AJ55" i="78"/>
  <c r="E13" i="79"/>
  <c r="AL21" i="79"/>
  <c r="G14" i="78"/>
  <c r="AL36" i="79"/>
  <c r="G22" i="78"/>
  <c r="AK44" i="79"/>
  <c r="AL61" i="79"/>
  <c r="G24" i="78"/>
  <c r="AK22" i="79"/>
  <c r="AJ61" i="78"/>
  <c r="G46" i="78"/>
  <c r="AK8" i="79"/>
  <c r="AJ23" i="78"/>
  <c r="E61" i="79"/>
  <c r="G42" i="78"/>
  <c r="E47" i="79"/>
  <c r="E48" i="79"/>
  <c r="E43" i="79"/>
  <c r="AJ39" i="78"/>
  <c r="AJ28" i="78"/>
  <c r="AK35" i="79"/>
  <c r="AJ40" i="78"/>
  <c r="E50" i="79"/>
  <c r="G61" i="78"/>
  <c r="AJ42" i="78"/>
  <c r="AL24" i="79"/>
  <c r="AJ12" i="78"/>
  <c r="G45" i="78"/>
  <c r="AK33" i="79"/>
  <c r="G21" i="78"/>
  <c r="E11" i="79"/>
  <c r="E27" i="79"/>
  <c r="AJ26" i="78"/>
  <c r="AJ47" i="78"/>
  <c r="AK19" i="79"/>
  <c r="AK37" i="79"/>
  <c r="AK18" i="79"/>
  <c r="AJ60" i="78"/>
  <c r="AK46" i="79"/>
  <c r="E32" i="79"/>
  <c r="AL22" i="79"/>
  <c r="G49" i="78"/>
  <c r="AJ21" i="78"/>
  <c r="AL27" i="79"/>
  <c r="AL42" i="79"/>
  <c r="E38" i="79"/>
  <c r="AK45" i="79"/>
  <c r="AL19" i="79"/>
  <c r="G10" i="78"/>
  <c r="AK17" i="79"/>
  <c r="AJ33" i="78"/>
  <c r="E17" i="79"/>
  <c r="AJ45" i="78"/>
  <c r="AJ51" i="78"/>
  <c r="AJ18" i="78"/>
  <c r="AK14" i="79"/>
  <c r="AK42" i="79"/>
  <c r="AL23" i="79"/>
  <c r="AL30" i="79"/>
  <c r="AK41" i="79"/>
  <c r="E29" i="79"/>
  <c r="AK32" i="79"/>
  <c r="E15" i="79"/>
  <c r="AL31" i="79"/>
  <c r="AL7" i="78"/>
  <c r="G13" i="78"/>
  <c r="AL50" i="79"/>
  <c r="AJ54" i="78"/>
  <c r="AK30" i="79"/>
  <c r="E35" i="79"/>
  <c r="AJ44" i="78"/>
  <c r="AL38" i="79"/>
  <c r="AL8" i="79"/>
  <c r="E9" i="79"/>
  <c r="AJ17" i="78"/>
  <c r="AK26" i="79"/>
  <c r="AJ24" i="78"/>
  <c r="AL29" i="79"/>
  <c r="E18" i="79"/>
  <c r="E33" i="79"/>
  <c r="AL46" i="79"/>
  <c r="G37" i="78"/>
  <c r="AJ19" i="78"/>
  <c r="G20" i="78"/>
  <c r="G8" i="78"/>
  <c r="AK24" i="79"/>
  <c r="AL48" i="79"/>
  <c r="AJ29" i="78"/>
  <c r="AK7" i="79"/>
  <c r="AK49" i="79"/>
  <c r="AJ62" i="78"/>
  <c r="AJ31" i="78"/>
  <c r="AL16" i="79"/>
  <c r="G47" i="78"/>
  <c r="G35" i="78"/>
  <c r="G23" i="78"/>
  <c r="AL37" i="79"/>
  <c r="G50" i="78"/>
  <c r="G44" i="78"/>
  <c r="G31" i="78"/>
  <c r="G34" i="78"/>
  <c r="E8" i="79"/>
  <c r="AJ37" i="78"/>
  <c r="AJ43" i="78"/>
  <c r="AJ14" i="78"/>
  <c r="G9" i="78"/>
  <c r="E14" i="79"/>
  <c r="AL10" i="79"/>
  <c r="AJ48" i="78"/>
  <c r="AK28" i="79"/>
  <c r="G48" i="78"/>
  <c r="E24" i="79"/>
  <c r="G26" i="78"/>
  <c r="AL11" i="79"/>
  <c r="E26" i="79"/>
  <c r="AL47" i="79"/>
  <c r="G41" i="78"/>
  <c r="AK11" i="79"/>
  <c r="AJ30" i="78"/>
  <c r="AJ10" i="78"/>
  <c r="AJ56" i="78"/>
  <c r="AL9" i="79"/>
  <c r="AL25" i="79"/>
  <c r="AJ38" i="78"/>
  <c r="AK7" i="78"/>
  <c r="AK31" i="79"/>
  <c r="G12" i="78"/>
  <c r="AJ11" i="78"/>
  <c r="AJ27" i="78"/>
  <c r="AJ25" i="78"/>
  <c r="G7" i="78"/>
  <c r="AJ58" i="78"/>
  <c r="AJ35" i="78"/>
  <c r="AL7" i="79"/>
  <c r="AK20" i="79"/>
  <c r="AL14" i="79"/>
  <c r="G29" i="78"/>
  <c r="AK48" i="79"/>
  <c r="AJ67" i="78"/>
  <c r="E25" i="79"/>
  <c r="G32" i="78"/>
  <c r="G30" i="78"/>
  <c r="AL49" i="79"/>
  <c r="AJ32" i="78"/>
  <c r="E21" i="79"/>
  <c r="AK16" i="79"/>
  <c r="AK47" i="79"/>
  <c r="AJ59" i="78"/>
  <c r="G25" i="78"/>
  <c r="E16" i="79"/>
  <c r="AL45" i="79"/>
  <c r="G28" i="78"/>
  <c r="AJ15" i="78"/>
  <c r="AJ8" i="78"/>
  <c r="AJ63" i="78"/>
  <c r="AL34" i="79"/>
  <c r="AK50" i="79"/>
  <c r="AJ65" i="78"/>
  <c r="E36" i="79"/>
  <c r="G16" i="78"/>
  <c r="AJ57" i="78"/>
  <c r="AK10" i="79"/>
  <c r="AJ36" i="78"/>
  <c r="E44" i="79"/>
  <c r="G36" i="78"/>
  <c r="G17" i="78"/>
  <c r="AK21" i="79"/>
  <c r="AK23" i="79"/>
  <c r="AL26" i="79"/>
  <c r="G40" i="78"/>
  <c r="G19" i="78"/>
  <c r="E37" i="79"/>
  <c r="AJ66" i="78"/>
  <c r="AL15" i="79"/>
  <c r="AL41" i="79"/>
  <c r="E45" i="79"/>
  <c r="AJ49" i="78"/>
  <c r="AJ9" i="78"/>
  <c r="AK15" i="79"/>
  <c r="AJ20" i="78"/>
  <c r="AK25" i="79"/>
  <c r="G18" i="78"/>
  <c r="AJ53" i="78"/>
  <c r="AL17" i="79"/>
  <c r="E7" i="79"/>
  <c r="AK9" i="79"/>
  <c r="E40" i="79"/>
  <c r="G43" i="78"/>
  <c r="AK36" i="79"/>
  <c r="AJ41" i="78"/>
  <c r="AK40" i="79"/>
  <c r="E30" i="79"/>
  <c r="AJ64" i="78"/>
  <c r="E34" i="79"/>
  <c r="E46" i="79"/>
  <c r="AJ34" i="78"/>
  <c r="G27" i="78"/>
  <c r="AJ50" i="78"/>
  <c r="G11" i="78"/>
  <c r="E10" i="79"/>
  <c r="G15" i="78"/>
  <c r="E49" i="79"/>
  <c r="AK27" i="79"/>
  <c r="E42" i="79"/>
  <c r="AL28" i="79"/>
  <c r="AL18" i="79"/>
  <c r="AJ16" i="78"/>
  <c r="AL40" i="79"/>
  <c r="G38" i="78"/>
  <c r="AK38" i="79"/>
  <c r="AL32" i="79"/>
  <c r="E12" i="79"/>
  <c r="BH17" i="83" l="1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AA14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V8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16" i="78"/>
  <c r="AL45" i="78"/>
  <c r="AL41" i="78"/>
  <c r="E23" i="78"/>
  <c r="E12" i="78"/>
  <c r="AL17" i="78"/>
  <c r="AK34" i="78"/>
  <c r="AL18" i="78"/>
  <c r="AK37" i="78"/>
  <c r="AK28" i="78"/>
  <c r="AL34" i="78"/>
  <c r="AK41" i="78"/>
  <c r="AL31" i="78"/>
  <c r="E34" i="78"/>
  <c r="AL49" i="78"/>
  <c r="AK61" i="78"/>
  <c r="E14" i="78"/>
  <c r="E17" i="78"/>
  <c r="AK45" i="78"/>
  <c r="AK13" i="78"/>
  <c r="AJ8" i="76"/>
  <c r="AK9" i="78"/>
  <c r="AL19" i="78"/>
  <c r="AL14" i="78"/>
  <c r="AK44" i="78"/>
  <c r="E25" i="78"/>
  <c r="AL47" i="78"/>
  <c r="AL61" i="78"/>
  <c r="AK35" i="78"/>
  <c r="E36" i="78"/>
  <c r="AL36" i="78"/>
  <c r="E41" i="78"/>
  <c r="AK48" i="78"/>
  <c r="E6" i="76"/>
  <c r="AL28" i="78"/>
  <c r="AL21" i="78"/>
  <c r="AL12" i="78"/>
  <c r="E44" i="78"/>
  <c r="AK47" i="78"/>
  <c r="E15" i="78"/>
  <c r="AK27" i="78"/>
  <c r="AL38" i="78"/>
  <c r="AK22" i="78"/>
  <c r="E48" i="78"/>
  <c r="AK14" i="78"/>
  <c r="AK32" i="78"/>
  <c r="AL46" i="78"/>
  <c r="AL32" i="78"/>
  <c r="AL35" i="78"/>
  <c r="AK36" i="78"/>
  <c r="AK8" i="78"/>
  <c r="E32" i="78"/>
  <c r="E45" i="78"/>
  <c r="AK23" i="78"/>
  <c r="AK29" i="78"/>
  <c r="AK17" i="78"/>
  <c r="E13" i="78"/>
  <c r="E35" i="78"/>
  <c r="AL24" i="78"/>
  <c r="E38" i="78"/>
  <c r="AK31" i="78"/>
  <c r="AK18" i="78"/>
  <c r="AK21" i="78"/>
  <c r="AL10" i="78"/>
  <c r="AL43" i="78"/>
  <c r="AK16" i="78"/>
  <c r="E29" i="78"/>
  <c r="E37" i="78"/>
  <c r="E28" i="78"/>
  <c r="AK19" i="78"/>
  <c r="AL37" i="78"/>
  <c r="E31" i="78"/>
  <c r="AL23" i="78"/>
  <c r="E40" i="78"/>
  <c r="AL29" i="78"/>
  <c r="E8" i="78"/>
  <c r="AL33" i="78"/>
  <c r="E39" i="78"/>
  <c r="E49" i="78"/>
  <c r="E19" i="78"/>
  <c r="E43" i="78"/>
  <c r="AK15" i="78"/>
  <c r="AK12" i="78"/>
  <c r="AL39" i="78"/>
  <c r="AK26" i="78"/>
  <c r="E11" i="78"/>
  <c r="AL25" i="78"/>
  <c r="AK38" i="78"/>
  <c r="AK33" i="78"/>
  <c r="E26" i="78"/>
  <c r="E9" i="78"/>
  <c r="E61" i="78"/>
  <c r="AL30" i="78"/>
  <c r="E18" i="78"/>
  <c r="AL9" i="78"/>
  <c r="AK39" i="78"/>
  <c r="AL26" i="78"/>
  <c r="AL50" i="78"/>
  <c r="AL11" i="78"/>
  <c r="AK10" i="78"/>
  <c r="AK46" i="78"/>
  <c r="AL48" i="78"/>
  <c r="AK49" i="78"/>
  <c r="E27" i="78"/>
  <c r="AK20" i="78"/>
  <c r="AL16" i="78"/>
  <c r="E30" i="78"/>
  <c r="E22" i="78"/>
  <c r="E7" i="78"/>
  <c r="E20" i="78"/>
  <c r="AL15" i="78"/>
  <c r="AK42" i="78"/>
  <c r="AL27" i="78"/>
  <c r="AL13" i="78"/>
  <c r="E21" i="78"/>
  <c r="AL20" i="78"/>
  <c r="E42" i="78"/>
  <c r="E46" i="78"/>
  <c r="AK50" i="78"/>
  <c r="AK11" i="78"/>
  <c r="AL22" i="78"/>
  <c r="AK24" i="78"/>
  <c r="AL8" i="78"/>
  <c r="AL40" i="78"/>
  <c r="AL44" i="78"/>
  <c r="AK40" i="78"/>
  <c r="E47" i="78"/>
  <c r="AK25" i="78"/>
  <c r="AK30" i="78"/>
  <c r="E33" i="78"/>
  <c r="E50" i="78"/>
  <c r="E10" i="78"/>
  <c r="AL42" i="78"/>
  <c r="E24" i="78"/>
  <c r="AK43" i="78"/>
  <c r="BG18" i="83" l="1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62" i="76"/>
  <c r="AJ16" i="76"/>
  <c r="AJ40" i="76"/>
  <c r="AJ53" i="76"/>
  <c r="AJ27" i="76"/>
  <c r="AJ50" i="76"/>
  <c r="G27" i="76"/>
  <c r="AJ63" i="76"/>
  <c r="AJ28" i="76"/>
  <c r="AJ29" i="76"/>
  <c r="G45" i="76"/>
  <c r="AJ54" i="76"/>
  <c r="G29" i="76"/>
  <c r="G47" i="76"/>
  <c r="G50" i="76"/>
  <c r="AJ41" i="76"/>
  <c r="G23" i="76"/>
  <c r="G28" i="76"/>
  <c r="G10" i="76"/>
  <c r="G32" i="76"/>
  <c r="AJ18" i="76"/>
  <c r="AJ34" i="76"/>
  <c r="G43" i="76"/>
  <c r="G12" i="76"/>
  <c r="G26" i="76"/>
  <c r="AJ15" i="76"/>
  <c r="AJ66" i="76"/>
  <c r="G37" i="76"/>
  <c r="AJ19" i="76"/>
  <c r="AJ56" i="76"/>
  <c r="AJ10" i="76"/>
  <c r="AJ21" i="76"/>
  <c r="AJ12" i="76"/>
  <c r="E6" i="75"/>
  <c r="AJ45" i="76"/>
  <c r="G35" i="76"/>
  <c r="G17" i="76"/>
  <c r="AJ33" i="76"/>
  <c r="AJ59" i="76"/>
  <c r="G18" i="76"/>
  <c r="G7" i="76"/>
  <c r="G13" i="76"/>
  <c r="AK8" i="76"/>
  <c r="G30" i="76"/>
  <c r="AJ25" i="76"/>
  <c r="G49" i="76"/>
  <c r="AJ65" i="76"/>
  <c r="AJ43" i="76"/>
  <c r="G24" i="76"/>
  <c r="AJ13" i="76"/>
  <c r="AJ32" i="76"/>
  <c r="AJ11" i="76"/>
  <c r="AJ9" i="76"/>
  <c r="AJ38" i="76"/>
  <c r="AJ31" i="76"/>
  <c r="AJ61" i="76"/>
  <c r="G22" i="76"/>
  <c r="AJ36" i="76"/>
  <c r="AJ26" i="76"/>
  <c r="G25" i="76"/>
  <c r="G36" i="76"/>
  <c r="G41" i="76"/>
  <c r="AJ35" i="76"/>
  <c r="AJ7" i="76"/>
  <c r="G14" i="76"/>
  <c r="G42" i="76"/>
  <c r="AL8" i="76"/>
  <c r="AJ49" i="76"/>
  <c r="G46" i="76"/>
  <c r="AJ60" i="76"/>
  <c r="AJ55" i="76"/>
  <c r="AJ64" i="76"/>
  <c r="G34" i="76"/>
  <c r="AJ52" i="76"/>
  <c r="AJ23" i="76"/>
  <c r="AJ20" i="75"/>
  <c r="G48" i="76"/>
  <c r="AJ14" i="76"/>
  <c r="AJ42" i="76"/>
  <c r="AJ13" i="75"/>
  <c r="AJ46" i="76"/>
  <c r="AJ37" i="76"/>
  <c r="G31" i="76"/>
  <c r="G33" i="76"/>
  <c r="AJ57" i="76"/>
  <c r="G21" i="76"/>
  <c r="AJ58" i="76"/>
  <c r="G16" i="76"/>
  <c r="G15" i="75"/>
  <c r="AJ22" i="76"/>
  <c r="AJ47" i="76"/>
  <c r="G11" i="76"/>
  <c r="G44" i="76"/>
  <c r="G15" i="76"/>
  <c r="G61" i="76"/>
  <c r="G38" i="76"/>
  <c r="AJ17" i="76"/>
  <c r="AJ24" i="76"/>
  <c r="AJ39" i="76"/>
  <c r="G19" i="76"/>
  <c r="G9" i="76"/>
  <c r="AJ20" i="76"/>
  <c r="G8" i="76"/>
  <c r="AJ51" i="76"/>
  <c r="G20" i="76"/>
  <c r="AJ30" i="76"/>
  <c r="G40" i="76"/>
  <c r="AJ67" i="76"/>
  <c r="AJ18" i="75"/>
  <c r="AJ48" i="76"/>
  <c r="AJ44" i="76"/>
  <c r="G39" i="76"/>
  <c r="BF19" i="83" l="1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AK15" i="76"/>
  <c r="G39" i="75"/>
  <c r="AL42" i="76"/>
  <c r="AJ61" i="75"/>
  <c r="E21" i="76"/>
  <c r="AL27" i="76"/>
  <c r="AK29" i="76"/>
  <c r="E30" i="76"/>
  <c r="AJ48" i="75"/>
  <c r="AK18" i="76"/>
  <c r="AL44" i="76"/>
  <c r="E47" i="76"/>
  <c r="AJ53" i="75"/>
  <c r="G37" i="75"/>
  <c r="G36" i="75"/>
  <c r="AK7" i="76"/>
  <c r="AL38" i="76"/>
  <c r="G34" i="75"/>
  <c r="AL33" i="76"/>
  <c r="E16" i="76"/>
  <c r="E42" i="76"/>
  <c r="G32" i="75"/>
  <c r="E41" i="76"/>
  <c r="G48" i="75"/>
  <c r="AJ65" i="75"/>
  <c r="AJ15" i="75"/>
  <c r="AL7" i="76"/>
  <c r="AL23" i="76"/>
  <c r="AL24" i="76"/>
  <c r="AK22" i="76"/>
  <c r="AJ44" i="75"/>
  <c r="E9" i="76"/>
  <c r="G51" i="75"/>
  <c r="E11" i="76"/>
  <c r="AJ50" i="75"/>
  <c r="AJ57" i="75"/>
  <c r="AK14" i="76"/>
  <c r="E7" i="76"/>
  <c r="AK46" i="76"/>
  <c r="AJ64" i="75"/>
  <c r="AJ66" i="75"/>
  <c r="G49" i="75"/>
  <c r="G45" i="75"/>
  <c r="G43" i="75"/>
  <c r="AK47" i="76"/>
  <c r="AL15" i="76"/>
  <c r="G17" i="75"/>
  <c r="AJ30" i="75"/>
  <c r="AJ43" i="75"/>
  <c r="E18" i="76"/>
  <c r="AL22" i="76"/>
  <c r="G18" i="75"/>
  <c r="AL61" i="76"/>
  <c r="AK13" i="75"/>
  <c r="AJ17" i="75"/>
  <c r="G25" i="75"/>
  <c r="AJ51" i="75"/>
  <c r="E6" i="74"/>
  <c r="AL26" i="76"/>
  <c r="AJ22" i="75"/>
  <c r="AL9" i="76"/>
  <c r="G13" i="75"/>
  <c r="AL36" i="76"/>
  <c r="AL47" i="76"/>
  <c r="AJ32" i="75"/>
  <c r="AK49" i="76"/>
  <c r="AK48" i="76"/>
  <c r="G7" i="74"/>
  <c r="AK26" i="76"/>
  <c r="G23" i="75"/>
  <c r="E45" i="76"/>
  <c r="AK33" i="76"/>
  <c r="G7" i="75"/>
  <c r="G14" i="75"/>
  <c r="AJ10" i="75"/>
  <c r="E48" i="76"/>
  <c r="AL31" i="76"/>
  <c r="E12" i="76"/>
  <c r="AK42" i="76"/>
  <c r="AL32" i="76"/>
  <c r="AJ45" i="75"/>
  <c r="G33" i="75"/>
  <c r="G41" i="75"/>
  <c r="AJ14" i="75"/>
  <c r="AJ55" i="75"/>
  <c r="E13" i="76"/>
  <c r="AL29" i="76"/>
  <c r="AK37" i="76"/>
  <c r="AJ7" i="75"/>
  <c r="AJ42" i="75"/>
  <c r="AK11" i="76"/>
  <c r="G11" i="75"/>
  <c r="E36" i="76"/>
  <c r="AL45" i="76"/>
  <c r="G42" i="75"/>
  <c r="AL12" i="76"/>
  <c r="AJ67" i="75"/>
  <c r="AJ12" i="75"/>
  <c r="G47" i="75"/>
  <c r="AK28" i="76"/>
  <c r="G27" i="75"/>
  <c r="AK36" i="76"/>
  <c r="AL19" i="76"/>
  <c r="E20" i="76"/>
  <c r="G22" i="75"/>
  <c r="AL28" i="76"/>
  <c r="E26" i="76"/>
  <c r="AK35" i="76"/>
  <c r="AJ40" i="75"/>
  <c r="AJ21" i="75"/>
  <c r="E34" i="76"/>
  <c r="AL43" i="76"/>
  <c r="AK19" i="76"/>
  <c r="AJ52" i="75"/>
  <c r="E17" i="76"/>
  <c r="E29" i="76"/>
  <c r="AK17" i="76"/>
  <c r="AJ39" i="75"/>
  <c r="AJ9" i="75"/>
  <c r="G38" i="75"/>
  <c r="AL48" i="76"/>
  <c r="AK23" i="76"/>
  <c r="E35" i="76"/>
  <c r="E40" i="76"/>
  <c r="AL14" i="76"/>
  <c r="G35" i="75"/>
  <c r="AK34" i="76"/>
  <c r="AJ46" i="75"/>
  <c r="AL20" i="76"/>
  <c r="AJ34" i="75"/>
  <c r="AK30" i="76"/>
  <c r="AL46" i="76"/>
  <c r="AL18" i="76"/>
  <c r="AL16" i="76"/>
  <c r="AJ62" i="75"/>
  <c r="G31" i="75"/>
  <c r="AJ19" i="75"/>
  <c r="E32" i="76"/>
  <c r="AJ60" i="75"/>
  <c r="G12" i="75"/>
  <c r="E33" i="76"/>
  <c r="E49" i="76"/>
  <c r="E14" i="76"/>
  <c r="AL25" i="76"/>
  <c r="AJ25" i="75"/>
  <c r="AJ59" i="75"/>
  <c r="AJ58" i="75"/>
  <c r="G16" i="75"/>
  <c r="G20" i="75"/>
  <c r="AL49" i="76"/>
  <c r="AL17" i="76"/>
  <c r="E38" i="76"/>
  <c r="AL40" i="76"/>
  <c r="AL11" i="76"/>
  <c r="AJ23" i="75"/>
  <c r="G8" i="75"/>
  <c r="AK25" i="76"/>
  <c r="E50" i="76"/>
  <c r="E8" i="76"/>
  <c r="AJ28" i="75"/>
  <c r="AJ47" i="75"/>
  <c r="E22" i="76"/>
  <c r="AJ33" i="75"/>
  <c r="AL37" i="76"/>
  <c r="AK20" i="75"/>
  <c r="AL41" i="76"/>
  <c r="AK31" i="76"/>
  <c r="AJ24" i="75"/>
  <c r="AL21" i="76"/>
  <c r="G40" i="75"/>
  <c r="AJ35" i="75"/>
  <c r="AJ54" i="75"/>
  <c r="G10" i="75"/>
  <c r="AL13" i="75"/>
  <c r="E31" i="76"/>
  <c r="AL34" i="76"/>
  <c r="AJ27" i="75"/>
  <c r="AK38" i="76"/>
  <c r="AK18" i="75"/>
  <c r="G29" i="75"/>
  <c r="G50" i="75"/>
  <c r="AL18" i="75"/>
  <c r="E23" i="76"/>
  <c r="G26" i="75"/>
  <c r="AJ31" i="75"/>
  <c r="AK20" i="76"/>
  <c r="AL10" i="76"/>
  <c r="E28" i="76"/>
  <c r="G46" i="75"/>
  <c r="AK27" i="76"/>
  <c r="G44" i="75"/>
  <c r="AK9" i="76"/>
  <c r="G28" i="75"/>
  <c r="E44" i="76"/>
  <c r="AJ37" i="75"/>
  <c r="AL20" i="75"/>
  <c r="AK12" i="76"/>
  <c r="AK41" i="76"/>
  <c r="AK21" i="76"/>
  <c r="AK39" i="76"/>
  <c r="E15" i="76"/>
  <c r="AK16" i="76"/>
  <c r="G61" i="75"/>
  <c r="AK40" i="76"/>
  <c r="AJ56" i="75"/>
  <c r="AL13" i="76"/>
  <c r="E27" i="76"/>
  <c r="AK44" i="76"/>
  <c r="E61" i="76"/>
  <c r="AJ16" i="75"/>
  <c r="G9" i="75"/>
  <c r="G30" i="75"/>
  <c r="AL39" i="76"/>
  <c r="AK24" i="76"/>
  <c r="AK45" i="76"/>
  <c r="AK43" i="76"/>
  <c r="AK13" i="76"/>
  <c r="AL35" i="76"/>
  <c r="AJ41" i="75"/>
  <c r="AK50" i="76"/>
  <c r="G24" i="75"/>
  <c r="AJ38" i="75"/>
  <c r="G19" i="75"/>
  <c r="E46" i="76"/>
  <c r="AJ36" i="75"/>
  <c r="AL50" i="76"/>
  <c r="E19" i="76"/>
  <c r="E37" i="76"/>
  <c r="AJ11" i="75"/>
  <c r="G52" i="75"/>
  <c r="E10" i="76"/>
  <c r="E24" i="76"/>
  <c r="AK61" i="76"/>
  <c r="AK32" i="76"/>
  <c r="AJ63" i="75"/>
  <c r="AJ29" i="75"/>
  <c r="E15" i="75"/>
  <c r="E39" i="76"/>
  <c r="AL30" i="76"/>
  <c r="AJ26" i="75"/>
  <c r="AK10" i="76"/>
  <c r="E25" i="76"/>
  <c r="AJ49" i="75"/>
  <c r="G21" i="75"/>
  <c r="AJ8" i="75"/>
  <c r="E43" i="76"/>
  <c r="BI20" i="83" l="1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M13" i="75"/>
  <c r="AK62" i="75"/>
  <c r="AM62" i="75" s="1"/>
  <c r="AL62" i="75"/>
  <c r="AL57" i="75"/>
  <c r="AK57" i="75"/>
  <c r="AM57" i="75" s="1"/>
  <c r="AL58" i="75"/>
  <c r="AK58" i="75"/>
  <c r="AM58" i="75" s="1"/>
  <c r="AM18" i="75"/>
  <c r="AH13" i="75"/>
  <c r="AG13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X33" i="74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BY7" i="7"/>
  <c r="BY31" i="7"/>
  <c r="BY21" i="7"/>
  <c r="BY11" i="7"/>
  <c r="BH21" i="83" l="1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P58" i="5" s="1"/>
  <c r="BO56" i="5"/>
  <c r="BO58" i="5" s="1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J67" i="74"/>
  <c r="AL37" i="75"/>
  <c r="AL31" i="75"/>
  <c r="AJ64" i="74"/>
  <c r="E28" i="75"/>
  <c r="AK50" i="75"/>
  <c r="AJ15" i="74"/>
  <c r="G33" i="74"/>
  <c r="AJ55" i="74"/>
  <c r="AK33" i="75"/>
  <c r="AL28" i="75"/>
  <c r="E35" i="75"/>
  <c r="AL10" i="75"/>
  <c r="AL16" i="75"/>
  <c r="AL30" i="75"/>
  <c r="G27" i="74"/>
  <c r="AK12" i="75"/>
  <c r="AL25" i="75"/>
  <c r="AK49" i="75"/>
  <c r="AJ20" i="74"/>
  <c r="G51" i="74"/>
  <c r="AK30" i="75"/>
  <c r="AL26" i="75"/>
  <c r="AJ31" i="74"/>
  <c r="AL9" i="75"/>
  <c r="E50" i="75"/>
  <c r="E48" i="75"/>
  <c r="AJ44" i="74"/>
  <c r="AL23" i="75"/>
  <c r="AK45" i="75"/>
  <c r="AL24" i="75"/>
  <c r="AK17" i="75"/>
  <c r="E49" i="75"/>
  <c r="E33" i="75"/>
  <c r="AL50" i="75"/>
  <c r="AL43" i="75"/>
  <c r="E45" i="75"/>
  <c r="E34" i="75"/>
  <c r="AL27" i="75"/>
  <c r="AK46" i="75"/>
  <c r="G39" i="74"/>
  <c r="AK51" i="75"/>
  <c r="AK28" i="75"/>
  <c r="AJ22" i="74"/>
  <c r="G61" i="74"/>
  <c r="AJ49" i="74"/>
  <c r="G14" i="74"/>
  <c r="G18" i="74"/>
  <c r="AK29" i="75"/>
  <c r="AL41" i="75"/>
  <c r="AJ28" i="74"/>
  <c r="AL8" i="75"/>
  <c r="E23" i="75"/>
  <c r="AJ54" i="74"/>
  <c r="G52" i="74"/>
  <c r="E22" i="75"/>
  <c r="E26" i="75"/>
  <c r="G13" i="74"/>
  <c r="G44" i="74"/>
  <c r="AK15" i="75"/>
  <c r="AJ56" i="74"/>
  <c r="G15" i="74"/>
  <c r="AJ19" i="74"/>
  <c r="AJ43" i="74"/>
  <c r="AL38" i="75"/>
  <c r="AK8" i="75"/>
  <c r="G25" i="74"/>
  <c r="E40" i="75"/>
  <c r="AJ7" i="74"/>
  <c r="AJ36" i="74"/>
  <c r="G24" i="74"/>
  <c r="AJ30" i="74"/>
  <c r="E42" i="75"/>
  <c r="E29" i="75"/>
  <c r="AK44" i="75"/>
  <c r="AJ39" i="74"/>
  <c r="AL42" i="75"/>
  <c r="AL52" i="75"/>
  <c r="G46" i="74"/>
  <c r="AK10" i="75"/>
  <c r="E43" i="75"/>
  <c r="AK61" i="75"/>
  <c r="AK41" i="75"/>
  <c r="AL46" i="75"/>
  <c r="G31" i="74"/>
  <c r="G20" i="74"/>
  <c r="G49" i="74"/>
  <c r="G12" i="74"/>
  <c r="E13" i="75"/>
  <c r="E19" i="75"/>
  <c r="AL45" i="75"/>
  <c r="G9" i="74"/>
  <c r="AJ27" i="74"/>
  <c r="AK43" i="75"/>
  <c r="G38" i="74"/>
  <c r="AK36" i="75"/>
  <c r="AJ52" i="74"/>
  <c r="AL61" i="75"/>
  <c r="AJ17" i="74"/>
  <c r="AK26" i="75"/>
  <c r="AK34" i="75"/>
  <c r="AJ57" i="74"/>
  <c r="AL40" i="75"/>
  <c r="AK27" i="75"/>
  <c r="E27" i="75"/>
  <c r="G34" i="74"/>
  <c r="E12" i="75"/>
  <c r="AL49" i="75"/>
  <c r="AJ41" i="74"/>
  <c r="G32" i="74"/>
  <c r="AL12" i="75"/>
  <c r="AK37" i="75"/>
  <c r="AJ23" i="74"/>
  <c r="AL35" i="75"/>
  <c r="AJ33" i="74"/>
  <c r="G40" i="74"/>
  <c r="E36" i="75"/>
  <c r="AJ32" i="74"/>
  <c r="E16" i="75"/>
  <c r="AJ8" i="74"/>
  <c r="E37" i="75"/>
  <c r="E31" i="75"/>
  <c r="E61" i="75"/>
  <c r="AJ60" i="74"/>
  <c r="G28" i="74"/>
  <c r="E51" i="75"/>
  <c r="G35" i="74"/>
  <c r="AJ29" i="74"/>
  <c r="G41" i="74"/>
  <c r="AJ24" i="74"/>
  <c r="AJ65" i="74"/>
  <c r="G17" i="74"/>
  <c r="AJ59" i="74"/>
  <c r="E39" i="75"/>
  <c r="AL21" i="75"/>
  <c r="AJ63" i="74"/>
  <c r="G30" i="74"/>
  <c r="E41" i="75"/>
  <c r="G10" i="74"/>
  <c r="AK25" i="75"/>
  <c r="AL32" i="75"/>
  <c r="AJ37" i="74"/>
  <c r="G19" i="74"/>
  <c r="G43" i="74"/>
  <c r="AJ25" i="74"/>
  <c r="AK35" i="75"/>
  <c r="AK14" i="75"/>
  <c r="AJ42" i="74"/>
  <c r="AL29" i="75"/>
  <c r="G22" i="74"/>
  <c r="AL44" i="75"/>
  <c r="AK40" i="75"/>
  <c r="E20" i="75"/>
  <c r="E44" i="75"/>
  <c r="G8" i="74"/>
  <c r="AL22" i="75"/>
  <c r="AL11" i="75"/>
  <c r="G26" i="74"/>
  <c r="AK23" i="75"/>
  <c r="E30" i="75"/>
  <c r="AL47" i="75"/>
  <c r="AJ13" i="74"/>
  <c r="AL7" i="75"/>
  <c r="AJ34" i="74"/>
  <c r="AJ50" i="74"/>
  <c r="AJ66" i="74"/>
  <c r="AL14" i="75"/>
  <c r="G37" i="74"/>
  <c r="AK32" i="75"/>
  <c r="AL51" i="75"/>
  <c r="E7" i="74"/>
  <c r="AK31" i="75"/>
  <c r="AK24" i="75"/>
  <c r="E25" i="75"/>
  <c r="AJ16" i="74"/>
  <c r="AK48" i="75"/>
  <c r="AJ12" i="74"/>
  <c r="AJ38" i="74"/>
  <c r="E10" i="75"/>
  <c r="AK19" i="75"/>
  <c r="AJ51" i="74"/>
  <c r="AJ11" i="74"/>
  <c r="AJ40" i="74"/>
  <c r="AK21" i="75"/>
  <c r="AL15" i="75"/>
  <c r="AJ26" i="74"/>
  <c r="AJ35" i="74"/>
  <c r="AK39" i="75"/>
  <c r="AL19" i="75"/>
  <c r="E8" i="75"/>
  <c r="AJ10" i="74"/>
  <c r="E47" i="75"/>
  <c r="E24" i="75"/>
  <c r="G11" i="74"/>
  <c r="AL39" i="75"/>
  <c r="AJ46" i="74"/>
  <c r="AJ48" i="74"/>
  <c r="AL36" i="75"/>
  <c r="E38" i="75"/>
  <c r="AK7" i="75"/>
  <c r="G45" i="74"/>
  <c r="AJ53" i="74"/>
  <c r="AK11" i="75"/>
  <c r="AJ47" i="74"/>
  <c r="G21" i="74"/>
  <c r="AJ9" i="74"/>
  <c r="AL33" i="75"/>
  <c r="E18" i="75"/>
  <c r="AL48" i="75"/>
  <c r="E14" i="75"/>
  <c r="G47" i="74"/>
  <c r="AJ61" i="74"/>
  <c r="E21" i="75"/>
  <c r="AL17" i="75"/>
  <c r="AK42" i="75"/>
  <c r="G23" i="74"/>
  <c r="AJ45" i="74"/>
  <c r="AJ58" i="74"/>
  <c r="AK9" i="75"/>
  <c r="AL34" i="75"/>
  <c r="AJ14" i="74"/>
  <c r="E52" i="75"/>
  <c r="E9" i="75"/>
  <c r="E7" i="75"/>
  <c r="AJ62" i="74"/>
  <c r="G50" i="74"/>
  <c r="E46" i="75"/>
  <c r="AK47" i="75"/>
  <c r="E17" i="75"/>
  <c r="AJ18" i="74"/>
  <c r="AJ21" i="74"/>
  <c r="G36" i="74"/>
  <c r="E32" i="75"/>
  <c r="G16" i="74"/>
  <c r="G42" i="74"/>
  <c r="G29" i="74"/>
  <c r="G48" i="74"/>
  <c r="E11" i="75"/>
  <c r="AK22" i="75"/>
  <c r="AK38" i="75"/>
  <c r="AK52" i="75"/>
  <c r="AK16" i="75"/>
  <c r="BA7" i="7"/>
  <c r="BG22" i="83" l="1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K4" i="73"/>
  <c r="AK2" i="73" s="1"/>
  <c r="AJ4" i="73"/>
  <c r="AJ2" i="73" s="1"/>
  <c r="G3" i="73"/>
  <c r="AL2" i="73"/>
  <c r="E2" i="73"/>
  <c r="E3" i="73" s="1"/>
  <c r="A1" i="73"/>
  <c r="AL48" i="74"/>
  <c r="E47" i="74"/>
  <c r="E48" i="74"/>
  <c r="AK27" i="74"/>
  <c r="AK17" i="74"/>
  <c r="AK20" i="74"/>
  <c r="E13" i="74"/>
  <c r="AL12" i="74"/>
  <c r="AL17" i="74"/>
  <c r="AL18" i="74"/>
  <c r="AK50" i="74"/>
  <c r="G51" i="73"/>
  <c r="AK39" i="74"/>
  <c r="G26" i="73"/>
  <c r="E41" i="74"/>
  <c r="E28" i="74"/>
  <c r="E49" i="74"/>
  <c r="E8" i="74"/>
  <c r="AL41" i="74"/>
  <c r="AK29" i="74"/>
  <c r="AL34" i="74"/>
  <c r="E27" i="74"/>
  <c r="AK41" i="74"/>
  <c r="AK45" i="74"/>
  <c r="AL46" i="74"/>
  <c r="E31" i="74"/>
  <c r="AK48" i="74"/>
  <c r="E24" i="74"/>
  <c r="AK51" i="74"/>
  <c r="AL29" i="74"/>
  <c r="AK42" i="74"/>
  <c r="AK49" i="74"/>
  <c r="AK9" i="74"/>
  <c r="E15" i="74"/>
  <c r="E22" i="74"/>
  <c r="E25" i="74"/>
  <c r="AL32" i="74"/>
  <c r="E26" i="74"/>
  <c r="AK16" i="74"/>
  <c r="AL50" i="74"/>
  <c r="AK34" i="74"/>
  <c r="E43" i="74"/>
  <c r="E37" i="74"/>
  <c r="E14" i="74"/>
  <c r="E21" i="74"/>
  <c r="E61" i="74"/>
  <c r="AL19" i="74"/>
  <c r="AL43" i="74"/>
  <c r="AL25" i="74"/>
  <c r="AL36" i="74"/>
  <c r="G30" i="73"/>
  <c r="E40" i="74"/>
  <c r="AK24" i="74"/>
  <c r="E20" i="74"/>
  <c r="AK37" i="74"/>
  <c r="E18" i="74"/>
  <c r="AL28" i="74"/>
  <c r="AK28" i="74"/>
  <c r="E46" i="74"/>
  <c r="E50" i="74"/>
  <c r="E12" i="74"/>
  <c r="AL14" i="74"/>
  <c r="AL8" i="74"/>
  <c r="E30" i="74"/>
  <c r="E35" i="74"/>
  <c r="E52" i="74"/>
  <c r="AL31" i="74"/>
  <c r="AL47" i="74"/>
  <c r="AK61" i="74"/>
  <c r="E34" i="74"/>
  <c r="AK30" i="74"/>
  <c r="AL39" i="74"/>
  <c r="E10" i="74"/>
  <c r="AL38" i="74"/>
  <c r="AK21" i="74"/>
  <c r="E29" i="74"/>
  <c r="AK22" i="74"/>
  <c r="AL15" i="74"/>
  <c r="AL35" i="74"/>
  <c r="AK13" i="74"/>
  <c r="AK36" i="74"/>
  <c r="AL61" i="74"/>
  <c r="AL44" i="74"/>
  <c r="AK38" i="74"/>
  <c r="AK31" i="74"/>
  <c r="AK10" i="74"/>
  <c r="AL33" i="74"/>
  <c r="AK15" i="74"/>
  <c r="AL40" i="74"/>
  <c r="AL13" i="74"/>
  <c r="E17" i="74"/>
  <c r="AL11" i="74"/>
  <c r="E44" i="74"/>
  <c r="AL49" i="74"/>
  <c r="AL21" i="74"/>
  <c r="AL20" i="74"/>
  <c r="E51" i="74"/>
  <c r="AK8" i="74"/>
  <c r="AL37" i="74"/>
  <c r="E42" i="74"/>
  <c r="AK25" i="74"/>
  <c r="AL9" i="74"/>
  <c r="AK35" i="74"/>
  <c r="AK14" i="74"/>
  <c r="AL30" i="74"/>
  <c r="E39" i="74"/>
  <c r="E9" i="74"/>
  <c r="AL45" i="74"/>
  <c r="AK7" i="74"/>
  <c r="E16" i="74"/>
  <c r="E6" i="73"/>
  <c r="AK52" i="74"/>
  <c r="AK33" i="74"/>
  <c r="AL51" i="74"/>
  <c r="E32" i="74"/>
  <c r="AK47" i="74"/>
  <c r="AK44" i="74"/>
  <c r="E36" i="74"/>
  <c r="AK26" i="74"/>
  <c r="AK23" i="74"/>
  <c r="AK43" i="74"/>
  <c r="E11" i="74"/>
  <c r="AK11" i="74"/>
  <c r="AL22" i="74"/>
  <c r="AL7" i="74"/>
  <c r="AL42" i="74"/>
  <c r="AL52" i="74"/>
  <c r="AL10" i="74"/>
  <c r="AK18" i="74"/>
  <c r="E19" i="74"/>
  <c r="AL27" i="74"/>
  <c r="AK19" i="74"/>
  <c r="AK12" i="74"/>
  <c r="AK40" i="74"/>
  <c r="AL23" i="74"/>
  <c r="E38" i="74"/>
  <c r="AK46" i="74"/>
  <c r="E23" i="74"/>
  <c r="AL16" i="74"/>
  <c r="AL24" i="74"/>
  <c r="AL26" i="74"/>
  <c r="AK32" i="74"/>
  <c r="E33" i="74"/>
  <c r="E45" i="74"/>
  <c r="BA11" i="7"/>
  <c r="BF23" i="83" l="1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K4" i="71"/>
  <c r="AK2" i="71" s="1"/>
  <c r="AJ4" i="71"/>
  <c r="AJ2" i="71" s="1"/>
  <c r="G3" i="71"/>
  <c r="AL2" i="71"/>
  <c r="E2" i="71"/>
  <c r="E3" i="71" s="1"/>
  <c r="A1" i="71"/>
  <c r="G53" i="73"/>
  <c r="G11" i="73"/>
  <c r="G31" i="73"/>
  <c r="AJ19" i="73"/>
  <c r="AJ43" i="73"/>
  <c r="G17" i="73"/>
  <c r="AJ64" i="73"/>
  <c r="AJ65" i="73"/>
  <c r="G19" i="73"/>
  <c r="AJ48" i="73"/>
  <c r="AJ14" i="73"/>
  <c r="AJ30" i="73"/>
  <c r="AJ27" i="73"/>
  <c r="G28" i="73"/>
  <c r="AJ29" i="73"/>
  <c r="AJ57" i="73"/>
  <c r="G61" i="73"/>
  <c r="G35" i="73"/>
  <c r="AJ12" i="73"/>
  <c r="G24" i="73"/>
  <c r="E51" i="73"/>
  <c r="AJ44" i="73"/>
  <c r="AJ21" i="73"/>
  <c r="G39" i="73"/>
  <c r="G33" i="73"/>
  <c r="G29" i="73"/>
  <c r="AJ60" i="73"/>
  <c r="AJ39" i="73"/>
  <c r="AJ45" i="73"/>
  <c r="AJ63" i="73"/>
  <c r="G41" i="73"/>
  <c r="G10" i="73"/>
  <c r="G40" i="73"/>
  <c r="AJ38" i="73"/>
  <c r="AJ61" i="73"/>
  <c r="G43" i="73"/>
  <c r="AJ7" i="73"/>
  <c r="G21" i="73"/>
  <c r="AJ34" i="73"/>
  <c r="G22" i="73"/>
  <c r="AJ46" i="73"/>
  <c r="G52" i="73"/>
  <c r="AJ15" i="73"/>
  <c r="G34" i="73"/>
  <c r="AJ28" i="73"/>
  <c r="AJ31" i="73"/>
  <c r="G37" i="73"/>
  <c r="E26" i="73"/>
  <c r="AJ26" i="73"/>
  <c r="AJ10" i="73"/>
  <c r="G46" i="73"/>
  <c r="AJ20" i="73"/>
  <c r="AJ49" i="73"/>
  <c r="AJ8" i="73"/>
  <c r="AJ41" i="73"/>
  <c r="G14" i="73"/>
  <c r="G23" i="73"/>
  <c r="G25" i="73"/>
  <c r="AJ58" i="73"/>
  <c r="G44" i="73"/>
  <c r="G20" i="73"/>
  <c r="AJ56" i="73"/>
  <c r="G13" i="73"/>
  <c r="G9" i="73"/>
  <c r="AJ16" i="73"/>
  <c r="G49" i="73"/>
  <c r="AJ11" i="73"/>
  <c r="G27" i="73"/>
  <c r="AJ67" i="73"/>
  <c r="G38" i="73"/>
  <c r="AJ66" i="73"/>
  <c r="AJ37" i="73"/>
  <c r="AJ9" i="73"/>
  <c r="AJ51" i="73"/>
  <c r="G41" i="71"/>
  <c r="AJ36" i="73"/>
  <c r="G36" i="73"/>
  <c r="AJ53" i="73"/>
  <c r="AJ18" i="73"/>
  <c r="AJ52" i="73"/>
  <c r="AJ42" i="73"/>
  <c r="G45" i="73"/>
  <c r="AJ50" i="73"/>
  <c r="E6" i="71"/>
  <c r="AJ33" i="73"/>
  <c r="AJ54" i="73"/>
  <c r="G48" i="73"/>
  <c r="G47" i="73"/>
  <c r="AJ35" i="73"/>
  <c r="G8" i="73"/>
  <c r="G50" i="73"/>
  <c r="G15" i="73"/>
  <c r="AJ23" i="73"/>
  <c r="AJ13" i="73"/>
  <c r="E30" i="73"/>
  <c r="AJ24" i="73"/>
  <c r="AJ62" i="73"/>
  <c r="G42" i="73"/>
  <c r="G32" i="73"/>
  <c r="AJ55" i="73"/>
  <c r="AJ47" i="73"/>
  <c r="AJ25" i="73"/>
  <c r="AJ59" i="73"/>
  <c r="G12" i="73"/>
  <c r="AJ40" i="73"/>
  <c r="G16" i="73"/>
  <c r="G7" i="73"/>
  <c r="AJ17" i="73"/>
  <c r="AJ22" i="73"/>
  <c r="AJ32" i="73"/>
  <c r="G18" i="73"/>
  <c r="BI24" i="83" l="1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9" i="71"/>
  <c r="G8" i="71"/>
  <c r="G10" i="71"/>
  <c r="G11" i="71"/>
  <c r="E41" i="73"/>
  <c r="E7" i="73"/>
  <c r="G14" i="71"/>
  <c r="E34" i="73"/>
  <c r="BH25" i="83" l="1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E35" i="73"/>
  <c r="AK11" i="73"/>
  <c r="AJ24" i="71"/>
  <c r="E23" i="73"/>
  <c r="AL13" i="73"/>
  <c r="AJ16" i="71"/>
  <c r="G47" i="71"/>
  <c r="AL32" i="73"/>
  <c r="E24" i="73"/>
  <c r="AJ34" i="71"/>
  <c r="G24" i="71"/>
  <c r="AJ35" i="71"/>
  <c r="AL19" i="73"/>
  <c r="AK16" i="73"/>
  <c r="AK9" i="73"/>
  <c r="G46" i="71"/>
  <c r="AJ8" i="71"/>
  <c r="G19" i="71"/>
  <c r="AJ21" i="71"/>
  <c r="E36" i="73"/>
  <c r="AK48" i="73"/>
  <c r="AJ47" i="71"/>
  <c r="AJ23" i="71"/>
  <c r="AJ64" i="71"/>
  <c r="E29" i="73"/>
  <c r="AJ7" i="71"/>
  <c r="AJ15" i="71"/>
  <c r="AK29" i="73"/>
  <c r="G37" i="71"/>
  <c r="E15" i="73"/>
  <c r="G12" i="71"/>
  <c r="E33" i="73"/>
  <c r="AJ20" i="71"/>
  <c r="AJ22" i="71"/>
  <c r="G53" i="71"/>
  <c r="AL17" i="73"/>
  <c r="AJ13" i="71"/>
  <c r="AK14" i="73"/>
  <c r="G30" i="71"/>
  <c r="G52" i="71"/>
  <c r="G39" i="71"/>
  <c r="AJ60" i="71"/>
  <c r="AL48" i="73"/>
  <c r="AJ17" i="71"/>
  <c r="E13" i="73"/>
  <c r="E49" i="73"/>
  <c r="AL26" i="73"/>
  <c r="AL25" i="73"/>
  <c r="E61" i="73"/>
  <c r="AJ30" i="71"/>
  <c r="AJ31" i="71"/>
  <c r="AK31" i="73"/>
  <c r="AL37" i="73"/>
  <c r="AL51" i="73"/>
  <c r="AK52" i="73"/>
  <c r="AJ14" i="71"/>
  <c r="G48" i="71"/>
  <c r="G28" i="71"/>
  <c r="AJ9" i="71"/>
  <c r="E31" i="73"/>
  <c r="AK43" i="73"/>
  <c r="E22" i="73"/>
  <c r="E43" i="73"/>
  <c r="AJ33" i="71"/>
  <c r="G32" i="71"/>
  <c r="AK12" i="73"/>
  <c r="AK47" i="73"/>
  <c r="AK25" i="73"/>
  <c r="AK10" i="73"/>
  <c r="AL29" i="73"/>
  <c r="E21" i="73"/>
  <c r="E45" i="73"/>
  <c r="AL35" i="73"/>
  <c r="E10" i="71"/>
  <c r="AJ38" i="71"/>
  <c r="E40" i="73"/>
  <c r="E12" i="73"/>
  <c r="AK17" i="73"/>
  <c r="E9" i="73"/>
  <c r="AK19" i="73"/>
  <c r="AL15" i="73"/>
  <c r="AL22" i="73"/>
  <c r="AL20" i="73"/>
  <c r="AJ57" i="71"/>
  <c r="AL34" i="73"/>
  <c r="AK61" i="73"/>
  <c r="AJ67" i="71"/>
  <c r="AK35" i="73"/>
  <c r="AK7" i="73"/>
  <c r="AK36" i="73"/>
  <c r="AJ45" i="71"/>
  <c r="G36" i="71"/>
  <c r="AJ48" i="71"/>
  <c r="AK50" i="73"/>
  <c r="AJ41" i="71"/>
  <c r="AK45" i="73"/>
  <c r="AK39" i="73"/>
  <c r="AJ49" i="71"/>
  <c r="E16" i="73"/>
  <c r="AK33" i="73"/>
  <c r="AJ19" i="71"/>
  <c r="AJ54" i="71"/>
  <c r="AK15" i="73"/>
  <c r="AL7" i="73"/>
  <c r="AL38" i="73"/>
  <c r="G27" i="71"/>
  <c r="E48" i="73"/>
  <c r="G16" i="71"/>
  <c r="E14" i="73"/>
  <c r="AK20" i="73"/>
  <c r="AJ11" i="71"/>
  <c r="E32" i="73"/>
  <c r="AL52" i="73"/>
  <c r="E28" i="73"/>
  <c r="E11" i="71"/>
  <c r="E20" i="73"/>
  <c r="AL9" i="73"/>
  <c r="G22" i="71"/>
  <c r="AL49" i="73"/>
  <c r="G42" i="71"/>
  <c r="AJ39" i="71"/>
  <c r="AJ18" i="71"/>
  <c r="AL10" i="73"/>
  <c r="AL41" i="73"/>
  <c r="AK28" i="73"/>
  <c r="G35" i="71"/>
  <c r="AL23" i="73"/>
  <c r="AL39" i="73"/>
  <c r="G18" i="71"/>
  <c r="AK13" i="73"/>
  <c r="G26" i="71"/>
  <c r="G40" i="71"/>
  <c r="G23" i="70"/>
  <c r="AJ61" i="71"/>
  <c r="AL44" i="73"/>
  <c r="AK23" i="73"/>
  <c r="AL12" i="73"/>
  <c r="E41" i="71"/>
  <c r="E25" i="73"/>
  <c r="AK27" i="73"/>
  <c r="AK38" i="73"/>
  <c r="AJ32" i="71"/>
  <c r="AL11" i="73"/>
  <c r="AJ66" i="71"/>
  <c r="E52" i="73"/>
  <c r="AJ26" i="71"/>
  <c r="G31" i="71"/>
  <c r="AL50" i="73"/>
  <c r="G43" i="71"/>
  <c r="G61" i="71"/>
  <c r="AJ62" i="71"/>
  <c r="G25" i="71"/>
  <c r="AL30" i="73"/>
  <c r="AJ55" i="71"/>
  <c r="AL16" i="73"/>
  <c r="AJ43" i="71"/>
  <c r="G51" i="71"/>
  <c r="AL33" i="73"/>
  <c r="E19" i="73"/>
  <c r="AK51" i="73"/>
  <c r="AK21" i="73"/>
  <c r="AK24" i="73"/>
  <c r="AL27" i="73"/>
  <c r="E47" i="73"/>
  <c r="AL28" i="73"/>
  <c r="AJ25" i="71"/>
  <c r="AJ36" i="71"/>
  <c r="E38" i="73"/>
  <c r="AL46" i="73"/>
  <c r="AL40" i="73"/>
  <c r="AJ52" i="71"/>
  <c r="G13" i="71"/>
  <c r="AL31" i="73"/>
  <c r="E8" i="73"/>
  <c r="E42" i="73"/>
  <c r="E11" i="73"/>
  <c r="G45" i="71"/>
  <c r="E46" i="73"/>
  <c r="AK30" i="73"/>
  <c r="AK44" i="73"/>
  <c r="AK42" i="73"/>
  <c r="E44" i="73"/>
  <c r="AJ29" i="71"/>
  <c r="AL47" i="73"/>
  <c r="AJ63" i="71"/>
  <c r="G20" i="71"/>
  <c r="G50" i="71"/>
  <c r="G34" i="71"/>
  <c r="AL61" i="73"/>
  <c r="AL43" i="73"/>
  <c r="AJ58" i="71"/>
  <c r="AL45" i="73"/>
  <c r="AL14" i="73"/>
  <c r="AL8" i="73"/>
  <c r="G15" i="71"/>
  <c r="AJ10" i="71"/>
  <c r="AK41" i="73"/>
  <c r="AJ56" i="71"/>
  <c r="AK18" i="73"/>
  <c r="G23" i="71"/>
  <c r="AJ42" i="71"/>
  <c r="AJ65" i="71"/>
  <c r="E50" i="73"/>
  <c r="G7" i="71"/>
  <c r="AK22" i="73"/>
  <c r="AL21" i="73"/>
  <c r="E8" i="71"/>
  <c r="AK49" i="73"/>
  <c r="AK37" i="73"/>
  <c r="AJ44" i="71"/>
  <c r="G33" i="71"/>
  <c r="G49" i="71"/>
  <c r="AK8" i="73"/>
  <c r="E6" i="70"/>
  <c r="E10" i="73"/>
  <c r="AL24" i="73"/>
  <c r="AJ46" i="71"/>
  <c r="AJ27" i="71"/>
  <c r="AJ12" i="71"/>
  <c r="E14" i="71"/>
  <c r="AJ28" i="71"/>
  <c r="AJ50" i="71"/>
  <c r="G29" i="71"/>
  <c r="AK46" i="73"/>
  <c r="AJ53" i="71"/>
  <c r="AJ40" i="71"/>
  <c r="E18" i="73"/>
  <c r="G21" i="71"/>
  <c r="E9" i="71"/>
  <c r="AJ51" i="71"/>
  <c r="AK34" i="73"/>
  <c r="AL18" i="73"/>
  <c r="AL36" i="73"/>
  <c r="E39" i="73"/>
  <c r="E27" i="73"/>
  <c r="G44" i="71"/>
  <c r="AK32" i="73"/>
  <c r="E37" i="73"/>
  <c r="AJ37" i="71"/>
  <c r="AK40" i="73"/>
  <c r="AJ59" i="71"/>
  <c r="E17" i="73"/>
  <c r="AL42" i="73"/>
  <c r="G17" i="71"/>
  <c r="G38" i="71"/>
  <c r="AK26" i="73"/>
  <c r="BG26" i="83" l="1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AL13" i="71"/>
  <c r="E15" i="71"/>
  <c r="AK7" i="71"/>
  <c r="E49" i="71"/>
  <c r="E23" i="71"/>
  <c r="AK37" i="71"/>
  <c r="G38" i="70"/>
  <c r="AL18" i="71"/>
  <c r="E22" i="71"/>
  <c r="AJ31" i="70"/>
  <c r="AK13" i="71"/>
  <c r="AK8" i="71"/>
  <c r="E34" i="71"/>
  <c r="AJ35" i="70"/>
  <c r="AL15" i="71"/>
  <c r="AJ41" i="70"/>
  <c r="AL11" i="71"/>
  <c r="AJ15" i="70"/>
  <c r="AJ7" i="70"/>
  <c r="G42" i="70"/>
  <c r="G52" i="70"/>
  <c r="AL7" i="71"/>
  <c r="E24" i="71"/>
  <c r="G24" i="70"/>
  <c r="AK46" i="71"/>
  <c r="AL61" i="71"/>
  <c r="AJ50" i="70"/>
  <c r="G50" i="70"/>
  <c r="E28" i="71"/>
  <c r="AK11" i="71"/>
  <c r="AK32" i="71"/>
  <c r="AJ52" i="70"/>
  <c r="AJ66" i="70"/>
  <c r="G51" i="70"/>
  <c r="AK43" i="71"/>
  <c r="AJ33" i="70"/>
  <c r="E25" i="71"/>
  <c r="AK10" i="71"/>
  <c r="AK42" i="71"/>
  <c r="AJ42" i="70"/>
  <c r="AL53" i="71"/>
  <c r="G53" i="70"/>
  <c r="AJ17" i="70"/>
  <c r="G19" i="70"/>
  <c r="AK21" i="71"/>
  <c r="AJ9" i="70"/>
  <c r="AK31" i="71"/>
  <c r="G22" i="70"/>
  <c r="AL40" i="71"/>
  <c r="AJ28" i="70"/>
  <c r="AL26" i="71"/>
  <c r="AK61" i="71"/>
  <c r="AK25" i="71"/>
  <c r="AJ20" i="70"/>
  <c r="AK27" i="71"/>
  <c r="AL16" i="71"/>
  <c r="G38" i="69"/>
  <c r="AJ53" i="70"/>
  <c r="AJ23" i="70"/>
  <c r="G43" i="70"/>
  <c r="AK33" i="71"/>
  <c r="AL17" i="71"/>
  <c r="G12" i="70"/>
  <c r="AJ30" i="70"/>
  <c r="AL9" i="71"/>
  <c r="G28" i="70"/>
  <c r="E37" i="71"/>
  <c r="G9" i="70"/>
  <c r="AJ38" i="70"/>
  <c r="AJ60" i="70"/>
  <c r="G27" i="69"/>
  <c r="AJ7" i="69"/>
  <c r="G41" i="70"/>
  <c r="E45" i="71"/>
  <c r="AK20" i="71"/>
  <c r="AK24" i="71"/>
  <c r="E30" i="71"/>
  <c r="AJ22" i="70"/>
  <c r="G31" i="70"/>
  <c r="AJ47" i="70"/>
  <c r="G8" i="70"/>
  <c r="G49" i="70"/>
  <c r="AK35" i="71"/>
  <c r="AK51" i="71"/>
  <c r="AL14" i="71"/>
  <c r="AJ40" i="70"/>
  <c r="G15" i="70"/>
  <c r="AJ58" i="70"/>
  <c r="AL47" i="71"/>
  <c r="E13" i="71"/>
  <c r="AJ64" i="70"/>
  <c r="AL35" i="71"/>
  <c r="E52" i="71"/>
  <c r="G17" i="70"/>
  <c r="AK50" i="71"/>
  <c r="E47" i="71"/>
  <c r="AJ57" i="70"/>
  <c r="AL48" i="71"/>
  <c r="AK19" i="71"/>
  <c r="AK12" i="71"/>
  <c r="AK45" i="71"/>
  <c r="G13" i="70"/>
  <c r="E44" i="71"/>
  <c r="E17" i="71"/>
  <c r="AK17" i="71"/>
  <c r="G7" i="70"/>
  <c r="E27" i="71"/>
  <c r="E12" i="71"/>
  <c r="G15" i="69"/>
  <c r="AL27" i="71"/>
  <c r="AK41" i="71"/>
  <c r="AL41" i="71"/>
  <c r="E61" i="71"/>
  <c r="AL8" i="71"/>
  <c r="AK9" i="71"/>
  <c r="AJ54" i="70"/>
  <c r="AL12" i="71"/>
  <c r="AK29" i="71"/>
  <c r="G16" i="70"/>
  <c r="G48" i="70"/>
  <c r="G14" i="70"/>
  <c r="AL19" i="71"/>
  <c r="AK14" i="71"/>
  <c r="G37" i="70"/>
  <c r="AK48" i="71"/>
  <c r="AL23" i="71"/>
  <c r="AJ43" i="70"/>
  <c r="AL45" i="71"/>
  <c r="AL43" i="71"/>
  <c r="E38" i="71"/>
  <c r="G47" i="70"/>
  <c r="AJ46" i="70"/>
  <c r="E16" i="71"/>
  <c r="G39" i="70"/>
  <c r="AJ37" i="70"/>
  <c r="AJ34" i="70"/>
  <c r="E48" i="71"/>
  <c r="G10" i="70"/>
  <c r="G34" i="70"/>
  <c r="AJ10" i="70"/>
  <c r="AJ63" i="70"/>
  <c r="G23" i="69"/>
  <c r="E36" i="71"/>
  <c r="G18" i="70"/>
  <c r="AJ39" i="70"/>
  <c r="AK47" i="71"/>
  <c r="E35" i="71"/>
  <c r="G29" i="70"/>
  <c r="E32" i="71"/>
  <c r="AK44" i="71"/>
  <c r="AJ45" i="70"/>
  <c r="E6" i="69"/>
  <c r="E31" i="71"/>
  <c r="G26" i="70"/>
  <c r="AK36" i="71"/>
  <c r="G61" i="70"/>
  <c r="E43" i="71"/>
  <c r="E23" i="70"/>
  <c r="AJ67" i="70"/>
  <c r="AK49" i="71"/>
  <c r="AL39" i="71"/>
  <c r="AJ27" i="70"/>
  <c r="AJ65" i="70"/>
  <c r="AJ25" i="70"/>
  <c r="AJ12" i="70"/>
  <c r="G54" i="70"/>
  <c r="AK28" i="71"/>
  <c r="AL28" i="71"/>
  <c r="AJ29" i="70"/>
  <c r="AJ48" i="70"/>
  <c r="AK52" i="71"/>
  <c r="AK18" i="71"/>
  <c r="AJ8" i="70"/>
  <c r="AL25" i="71"/>
  <c r="AK34" i="71"/>
  <c r="AL51" i="71"/>
  <c r="AL20" i="71"/>
  <c r="AK39" i="71"/>
  <c r="G11" i="70"/>
  <c r="AJ18" i="70"/>
  <c r="AJ14" i="70"/>
  <c r="AK23" i="71"/>
  <c r="AJ59" i="70"/>
  <c r="AJ56" i="70"/>
  <c r="G25" i="70"/>
  <c r="AL46" i="71"/>
  <c r="AJ44" i="70"/>
  <c r="AL22" i="71"/>
  <c r="E20" i="71"/>
  <c r="E21" i="71"/>
  <c r="AK22" i="71"/>
  <c r="G46" i="70"/>
  <c r="E19" i="71"/>
  <c r="E18" i="71"/>
  <c r="AL49" i="71"/>
  <c r="G45" i="70"/>
  <c r="AL42" i="71"/>
  <c r="AK40" i="71"/>
  <c r="AJ24" i="70"/>
  <c r="G44" i="70"/>
  <c r="G35" i="70"/>
  <c r="AJ19" i="70"/>
  <c r="AL30" i="71"/>
  <c r="AJ36" i="70"/>
  <c r="E33" i="71"/>
  <c r="AJ13" i="70"/>
  <c r="G21" i="70"/>
  <c r="AJ11" i="70"/>
  <c r="AL21" i="71"/>
  <c r="G32" i="70"/>
  <c r="AK15" i="71"/>
  <c r="AL32" i="71"/>
  <c r="AL31" i="71"/>
  <c r="AL52" i="71"/>
  <c r="AL34" i="71"/>
  <c r="E40" i="71"/>
  <c r="E53" i="71"/>
  <c r="G27" i="70"/>
  <c r="AK30" i="71"/>
  <c r="AL44" i="71"/>
  <c r="AL10" i="71"/>
  <c r="AJ26" i="70"/>
  <c r="G36" i="70"/>
  <c r="AL24" i="71"/>
  <c r="AJ32" i="70"/>
  <c r="E29" i="71"/>
  <c r="AK26" i="71"/>
  <c r="AJ21" i="70"/>
  <c r="AL50" i="71"/>
  <c r="G40" i="70"/>
  <c r="AL33" i="71"/>
  <c r="G30" i="70"/>
  <c r="AJ62" i="70"/>
  <c r="G33" i="70"/>
  <c r="E46" i="71"/>
  <c r="AJ55" i="70"/>
  <c r="E50" i="71"/>
  <c r="AJ16" i="70"/>
  <c r="E51" i="71"/>
  <c r="AL29" i="71"/>
  <c r="AJ61" i="70"/>
  <c r="AJ51" i="70"/>
  <c r="E39" i="71"/>
  <c r="E42" i="71"/>
  <c r="G20" i="70"/>
  <c r="E7" i="71"/>
  <c r="AJ49" i="70"/>
  <c r="E26" i="71"/>
  <c r="AL37" i="71"/>
  <c r="AL36" i="71"/>
  <c r="AK53" i="71"/>
  <c r="AK16" i="71"/>
  <c r="BF27" i="83" l="1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AH48" i="71"/>
  <c r="AG48" i="71"/>
  <c r="AM19" i="71"/>
  <c r="AM14" i="71"/>
  <c r="AG21" i="71"/>
  <c r="AH21" i="71"/>
  <c r="AH13" i="71"/>
  <c r="AG13" i="71"/>
  <c r="AG27" i="71"/>
  <c r="AH27" i="71"/>
  <c r="AM43" i="71"/>
  <c r="AM47" i="71"/>
  <c r="AM33" i="71"/>
  <c r="AM32" i="71"/>
  <c r="AM53" i="71"/>
  <c r="AG41" i="71"/>
  <c r="AH41" i="71"/>
  <c r="AM36" i="71"/>
  <c r="AM51" i="71"/>
  <c r="AG11" i="71"/>
  <c r="AH11" i="71"/>
  <c r="AM26" i="71"/>
  <c r="AM29" i="71"/>
  <c r="AM7" i="71"/>
  <c r="AH24" i="71"/>
  <c r="AG24" i="71"/>
  <c r="AM25" i="71"/>
  <c r="AH18" i="71"/>
  <c r="AG18" i="71"/>
  <c r="AM50" i="71"/>
  <c r="AH46" i="71"/>
  <c r="AG46" i="71"/>
  <c r="AH30" i="71"/>
  <c r="AG30" i="71"/>
  <c r="AM16" i="71"/>
  <c r="AM39" i="71"/>
  <c r="AG45" i="71"/>
  <c r="AH45" i="71"/>
  <c r="AM28" i="71"/>
  <c r="AH14" i="71"/>
  <c r="AG14" i="71"/>
  <c r="AM13" i="71"/>
  <c r="AM27" i="71"/>
  <c r="AM22" i="71"/>
  <c r="AG42" i="71"/>
  <c r="AH42" i="71"/>
  <c r="AG12" i="71"/>
  <c r="AH12" i="71"/>
  <c r="AH32" i="71"/>
  <c r="AG32" i="71"/>
  <c r="AM37" i="71"/>
  <c r="AG23" i="71"/>
  <c r="AH23" i="71"/>
  <c r="AM35" i="71"/>
  <c r="AH51" i="71"/>
  <c r="AG51" i="71"/>
  <c r="AH20" i="71"/>
  <c r="AG20" i="71"/>
  <c r="AH26" i="71"/>
  <c r="AG26" i="71"/>
  <c r="AM40" i="71"/>
  <c r="AH49" i="71"/>
  <c r="AG49" i="71"/>
  <c r="AH25" i="71"/>
  <c r="AG25" i="71"/>
  <c r="AM46" i="71"/>
  <c r="AM30" i="71"/>
  <c r="AH52" i="71"/>
  <c r="AG52" i="71"/>
  <c r="AH39" i="71"/>
  <c r="AG39" i="71"/>
  <c r="AH17" i="71"/>
  <c r="AG17" i="71"/>
  <c r="AH34" i="71"/>
  <c r="AG34" i="71"/>
  <c r="AM45" i="71"/>
  <c r="AM31" i="71"/>
  <c r="AG28" i="71"/>
  <c r="AH28" i="71"/>
  <c r="AM15" i="71"/>
  <c r="AH61" i="71"/>
  <c r="AG61" i="71"/>
  <c r="AG22" i="71"/>
  <c r="AH22" i="71"/>
  <c r="AM42" i="71"/>
  <c r="AM12" i="71"/>
  <c r="AH37" i="71"/>
  <c r="AG37" i="71"/>
  <c r="AM23" i="71"/>
  <c r="AG35" i="71"/>
  <c r="AH35" i="71"/>
  <c r="U16" i="71" a="1"/>
  <c r="U16" i="71" s="1"/>
  <c r="U10" i="71"/>
  <c r="V10" i="71" s="1"/>
  <c r="O16" i="71" a="1"/>
  <c r="O16" i="71" s="1"/>
  <c r="O13" i="71"/>
  <c r="R9" i="71"/>
  <c r="U8" i="71"/>
  <c r="V8" i="71" s="1"/>
  <c r="O12" i="71"/>
  <c r="U13" i="71"/>
  <c r="V13" i="71" s="1"/>
  <c r="R11" i="71"/>
  <c r="R8" i="71"/>
  <c r="O11" i="71"/>
  <c r="R16" i="71" a="1"/>
  <c r="R16" i="71" s="1"/>
  <c r="R13" i="71"/>
  <c r="O10" i="71"/>
  <c r="U11" i="71"/>
  <c r="V11" i="71" s="1"/>
  <c r="O9" i="71"/>
  <c r="U12" i="71"/>
  <c r="V12" i="71" s="1"/>
  <c r="R10" i="71"/>
  <c r="O8" i="71"/>
  <c r="U9" i="71"/>
  <c r="V9" i="71" s="1"/>
  <c r="R12" i="71"/>
  <c r="AM20" i="71"/>
  <c r="AG40" i="71"/>
  <c r="AH40" i="71"/>
  <c r="AM49" i="71"/>
  <c r="AG8" i="71"/>
  <c r="AH8" i="71"/>
  <c r="AM52" i="71"/>
  <c r="AM44" i="71"/>
  <c r="AG10" i="71"/>
  <c r="AH10" i="71"/>
  <c r="AM17" i="71"/>
  <c r="AH9" i="71"/>
  <c r="AG9" i="71"/>
  <c r="AM34" i="71"/>
  <c r="AM48" i="71"/>
  <c r="AG19" i="71"/>
  <c r="AH19" i="71"/>
  <c r="AG31" i="71"/>
  <c r="AH31" i="71"/>
  <c r="AM21" i="71"/>
  <c r="AG15" i="71"/>
  <c r="AH15" i="71"/>
  <c r="AM61" i="71"/>
  <c r="AH43" i="71"/>
  <c r="AG43" i="71"/>
  <c r="AG47" i="71"/>
  <c r="AH47" i="71"/>
  <c r="AG33" i="71"/>
  <c r="AH33" i="71"/>
  <c r="AG53" i="71"/>
  <c r="AH53" i="71"/>
  <c r="AM41" i="71"/>
  <c r="AH36" i="71"/>
  <c r="AG36" i="71"/>
  <c r="AM11" i="71"/>
  <c r="AG29" i="71"/>
  <c r="AH29" i="71"/>
  <c r="AG7" i="71"/>
  <c r="AH7" i="71"/>
  <c r="AM24" i="71"/>
  <c r="AM18" i="71"/>
  <c r="AH50" i="71"/>
  <c r="AG50" i="71"/>
  <c r="AM8" i="71"/>
  <c r="AG16" i="71"/>
  <c r="AH16" i="71"/>
  <c r="AG44" i="71"/>
  <c r="AH44" i="71"/>
  <c r="AM10" i="71"/>
  <c r="AM9" i="71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AL58" i="70"/>
  <c r="AK58" i="70"/>
  <c r="AM58" i="70" s="1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K60" i="70"/>
  <c r="AM60" i="70" s="1"/>
  <c r="AL60" i="70"/>
  <c r="AL56" i="70"/>
  <c r="AK56" i="70"/>
  <c r="AM56" i="70" s="1"/>
  <c r="AK67" i="70"/>
  <c r="AM67" i="70" s="1"/>
  <c r="AL67" i="70"/>
  <c r="AL64" i="70"/>
  <c r="AK64" i="70"/>
  <c r="AM64" i="70" s="1"/>
  <c r="AL65" i="70"/>
  <c r="AK65" i="70"/>
  <c r="AM65" i="70" s="1"/>
  <c r="AK57" i="70"/>
  <c r="AM57" i="70" s="1"/>
  <c r="AL57" i="70"/>
  <c r="AL66" i="70"/>
  <c r="AK66" i="70"/>
  <c r="AM66" i="70" s="1"/>
  <c r="AL59" i="70"/>
  <c r="AK59" i="70"/>
  <c r="AM59" i="70" s="1"/>
  <c r="AL63" i="70"/>
  <c r="AK63" i="70"/>
  <c r="AM63" i="70" s="1"/>
  <c r="AK55" i="70"/>
  <c r="AM55" i="70" s="1"/>
  <c r="AL55" i="70"/>
  <c r="AK62" i="70"/>
  <c r="AM62" i="70" s="1"/>
  <c r="AL62" i="70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K4" i="68"/>
  <c r="AK2" i="68" s="1"/>
  <c r="AJ4" i="68"/>
  <c r="AJ2" i="68" s="1"/>
  <c r="G3" i="68"/>
  <c r="AL2" i="68"/>
  <c r="E2" i="68"/>
  <c r="E3" i="68" s="1"/>
  <c r="A1" i="68"/>
  <c r="G31" i="69"/>
  <c r="G26" i="69"/>
  <c r="AL8" i="70"/>
  <c r="AK10" i="70"/>
  <c r="AL10" i="70"/>
  <c r="AK8" i="70"/>
  <c r="AL12" i="70"/>
  <c r="AL30" i="70"/>
  <c r="AK30" i="70"/>
  <c r="AK12" i="70"/>
  <c r="AJ10" i="69"/>
  <c r="BI28" i="83" l="1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AA10" i="71"/>
  <c r="U5" i="73"/>
  <c r="S10" i="73"/>
  <c r="S11" i="73"/>
  <c r="R5" i="73"/>
  <c r="S12" i="73"/>
  <c r="AA11" i="71"/>
  <c r="P9" i="73"/>
  <c r="AA14" i="73"/>
  <c r="AA8" i="71"/>
  <c r="AA13" i="71"/>
  <c r="O14" i="71"/>
  <c r="P12" i="71" s="1"/>
  <c r="AA12" i="71"/>
  <c r="R14" i="71"/>
  <c r="S9" i="71" s="1"/>
  <c r="AA9" i="71"/>
  <c r="U14" i="71"/>
  <c r="U5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AG8" i="70"/>
  <c r="AH8" i="70"/>
  <c r="AH12" i="70"/>
  <c r="AG12" i="70"/>
  <c r="AM8" i="70"/>
  <c r="AM12" i="70"/>
  <c r="AM10" i="70"/>
  <c r="AM30" i="70"/>
  <c r="AH10" i="70"/>
  <c r="AG10" i="70"/>
  <c r="AH30" i="70"/>
  <c r="AG30" i="70"/>
  <c r="P13" i="71"/>
  <c r="O5" i="71"/>
  <c r="BD11" i="71"/>
  <c r="BC12" i="71"/>
  <c r="BF10" i="71"/>
  <c r="BG10" i="71"/>
  <c r="BI10" i="71"/>
  <c r="BH10" i="71"/>
  <c r="S13" i="71"/>
  <c r="P11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M58" i="5" s="1"/>
  <c r="BL56" i="5"/>
  <c r="BK56" i="5"/>
  <c r="BK58" i="5" s="1"/>
  <c r="BJ56" i="5"/>
  <c r="BM47" i="5"/>
  <c r="BL47" i="5"/>
  <c r="BK47" i="5"/>
  <c r="BJ47" i="5"/>
  <c r="BM46" i="5"/>
  <c r="BM52" i="5" s="1"/>
  <c r="R13" i="9" s="1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M50" i="5" s="1"/>
  <c r="R11" i="9" s="1"/>
  <c r="BL42" i="5"/>
  <c r="BL50" i="5" s="1"/>
  <c r="BK42" i="5"/>
  <c r="BK50" i="5" s="1"/>
  <c r="BJ42" i="5"/>
  <c r="BJ50" i="5" s="1"/>
  <c r="BM40" i="5"/>
  <c r="BL40" i="5"/>
  <c r="BK40" i="5"/>
  <c r="BJ40" i="5"/>
  <c r="BU31" i="7"/>
  <c r="BU21" i="7"/>
  <c r="BU11" i="7"/>
  <c r="BU7" i="7"/>
  <c r="BH29" i="83" l="1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AA14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R14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R12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BG30" i="83" l="1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F31" i="83" l="1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W34" i="65"/>
  <c r="AX34" i="65" s="1"/>
  <c r="AW14" i="65"/>
  <c r="AX14" i="65" s="1"/>
  <c r="AW20" i="65"/>
  <c r="AX20" i="65" s="1"/>
  <c r="AX25" i="65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K4" i="64"/>
  <c r="AJ4" i="64"/>
  <c r="AJ2" i="64" s="1"/>
  <c r="G3" i="64"/>
  <c r="AL2" i="64"/>
  <c r="AK2" i="64"/>
  <c r="E2" i="64"/>
  <c r="E3" i="64" s="1"/>
  <c r="A1" i="64"/>
  <c r="BI32" i="83" l="1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3" i="83" l="1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AJ44" i="68"/>
  <c r="G11" i="69"/>
  <c r="G7" i="69"/>
  <c r="AK33" i="70"/>
  <c r="AJ41" i="69"/>
  <c r="E45" i="70"/>
  <c r="AK11" i="70"/>
  <c r="G14" i="69"/>
  <c r="AJ8" i="69"/>
  <c r="AL54" i="70"/>
  <c r="AL27" i="70"/>
  <c r="AJ51" i="68"/>
  <c r="E12" i="70"/>
  <c r="E18" i="70"/>
  <c r="G34" i="68"/>
  <c r="G9" i="68"/>
  <c r="AJ39" i="69"/>
  <c r="AL14" i="70"/>
  <c r="AJ14" i="68"/>
  <c r="AL25" i="70"/>
  <c r="E22" i="70"/>
  <c r="E42" i="70"/>
  <c r="AJ33" i="68"/>
  <c r="G32" i="69"/>
  <c r="AJ11" i="69"/>
  <c r="AK54" i="70"/>
  <c r="E51" i="70"/>
  <c r="G14" i="68"/>
  <c r="E16" i="70"/>
  <c r="E39" i="70"/>
  <c r="AK22" i="70"/>
  <c r="E21" i="70"/>
  <c r="AJ42" i="69"/>
  <c r="AJ11" i="68"/>
  <c r="AJ28" i="69"/>
  <c r="G41" i="68"/>
  <c r="G28" i="68"/>
  <c r="AJ59" i="68"/>
  <c r="G46" i="68"/>
  <c r="AJ32" i="68"/>
  <c r="AK61" i="70"/>
  <c r="E38" i="70"/>
  <c r="G52" i="68"/>
  <c r="AL22" i="70"/>
  <c r="AL31" i="70"/>
  <c r="G34" i="69"/>
  <c r="E31" i="69"/>
  <c r="AJ55" i="68"/>
  <c r="AK15" i="70"/>
  <c r="AJ49" i="69"/>
  <c r="AJ7" i="68"/>
  <c r="E33" i="70"/>
  <c r="AL37" i="70"/>
  <c r="G21" i="68"/>
  <c r="G51" i="69"/>
  <c r="E11" i="70"/>
  <c r="AJ56" i="68"/>
  <c r="E10" i="70"/>
  <c r="AJ24" i="69"/>
  <c r="AJ60" i="68"/>
  <c r="G31" i="68"/>
  <c r="E49" i="70"/>
  <c r="AL18" i="70"/>
  <c r="E43" i="70"/>
  <c r="AJ57" i="69"/>
  <c r="G37" i="68"/>
  <c r="AJ37" i="69"/>
  <c r="G10" i="68"/>
  <c r="AL10" i="69"/>
  <c r="AL52" i="70"/>
  <c r="AJ15" i="69"/>
  <c r="G43" i="69"/>
  <c r="AJ47" i="68"/>
  <c r="G16" i="68"/>
  <c r="G61" i="69"/>
  <c r="AJ40" i="69"/>
  <c r="G44" i="69"/>
  <c r="AJ67" i="69"/>
  <c r="G45" i="69"/>
  <c r="AK43" i="70"/>
  <c r="AJ26" i="68"/>
  <c r="AL35" i="70"/>
  <c r="AK25" i="70"/>
  <c r="AJ64" i="68"/>
  <c r="E15" i="70"/>
  <c r="G47" i="69"/>
  <c r="AJ20" i="69"/>
  <c r="AL32" i="70"/>
  <c r="AJ47" i="69"/>
  <c r="AL53" i="70"/>
  <c r="G39" i="68"/>
  <c r="G12" i="66"/>
  <c r="G17" i="66"/>
  <c r="AJ64" i="66"/>
  <c r="AJ10" i="66"/>
  <c r="AJ57" i="66"/>
  <c r="G13" i="66"/>
  <c r="AJ53" i="66"/>
  <c r="AJ52" i="66"/>
  <c r="G37" i="66"/>
  <c r="G11" i="66"/>
  <c r="AJ45" i="66"/>
  <c r="AJ66" i="66"/>
  <c r="AJ50" i="66"/>
  <c r="G45" i="66"/>
  <c r="AJ14" i="66"/>
  <c r="G54" i="66"/>
  <c r="AJ27" i="66"/>
  <c r="G52" i="66"/>
  <c r="G32" i="66"/>
  <c r="AJ62" i="66"/>
  <c r="AJ29" i="66"/>
  <c r="AJ39" i="66"/>
  <c r="AJ23" i="66"/>
  <c r="G48" i="66"/>
  <c r="AJ8" i="66"/>
  <c r="G41" i="66"/>
  <c r="AJ26" i="66"/>
  <c r="AJ47" i="66"/>
  <c r="G20" i="66"/>
  <c r="AJ60" i="66"/>
  <c r="G24" i="66"/>
  <c r="G34" i="66"/>
  <c r="AK7" i="69"/>
  <c r="AJ56" i="69"/>
  <c r="G18" i="68"/>
  <c r="AJ37" i="68"/>
  <c r="AJ66" i="69"/>
  <c r="AJ61" i="69"/>
  <c r="G53" i="68"/>
  <c r="AK42" i="70"/>
  <c r="G50" i="66"/>
  <c r="AJ42" i="66"/>
  <c r="AJ67" i="66"/>
  <c r="G22" i="68"/>
  <c r="AJ49" i="68"/>
  <c r="G9" i="69"/>
  <c r="AL13" i="70"/>
  <c r="E41" i="70"/>
  <c r="AJ20" i="68"/>
  <c r="AJ31" i="68"/>
  <c r="AL24" i="70"/>
  <c r="G51" i="68"/>
  <c r="AJ35" i="69"/>
  <c r="AJ8" i="68"/>
  <c r="AJ46" i="68"/>
  <c r="AL15" i="70"/>
  <c r="G45" i="68"/>
  <c r="G61" i="68"/>
  <c r="G27" i="68"/>
  <c r="AL9" i="70"/>
  <c r="AJ30" i="69"/>
  <c r="G41" i="69"/>
  <c r="AJ62" i="68"/>
  <c r="AK46" i="70"/>
  <c r="AJ54" i="68"/>
  <c r="AK41" i="70"/>
  <c r="AK37" i="70"/>
  <c r="G47" i="68"/>
  <c r="G7" i="68"/>
  <c r="AJ25" i="68"/>
  <c r="AJ63" i="68"/>
  <c r="E35" i="70"/>
  <c r="E27" i="70"/>
  <c r="G13" i="69"/>
  <c r="AJ59" i="69"/>
  <c r="AJ33" i="69"/>
  <c r="G17" i="68"/>
  <c r="G32" i="68"/>
  <c r="AJ36" i="68"/>
  <c r="AL17" i="70"/>
  <c r="E6" i="66"/>
  <c r="G22" i="69"/>
  <c r="G8" i="69"/>
  <c r="E26" i="70"/>
  <c r="E50" i="70"/>
  <c r="AJ27" i="68"/>
  <c r="AL43" i="70"/>
  <c r="AK39" i="70"/>
  <c r="AJ63" i="69"/>
  <c r="AJ26" i="69"/>
  <c r="AL28" i="70"/>
  <c r="G54" i="68"/>
  <c r="G44" i="68"/>
  <c r="G33" i="68"/>
  <c r="AJ53" i="68"/>
  <c r="G43" i="68"/>
  <c r="AK24" i="70"/>
  <c r="AL41" i="70"/>
  <c r="AL49" i="70"/>
  <c r="AK48" i="70"/>
  <c r="AJ67" i="68"/>
  <c r="G25" i="69"/>
  <c r="AJ9" i="68"/>
  <c r="AJ18" i="68"/>
  <c r="AJ57" i="68"/>
  <c r="AJ45" i="69"/>
  <c r="AJ18" i="69"/>
  <c r="AJ15" i="68"/>
  <c r="G29" i="68"/>
  <c r="G30" i="69"/>
  <c r="E28" i="70"/>
  <c r="E36" i="70"/>
  <c r="AJ38" i="68"/>
  <c r="AJ19" i="68"/>
  <c r="AL50" i="70"/>
  <c r="G42" i="69"/>
  <c r="G10" i="69"/>
  <c r="E15" i="69"/>
  <c r="AK20" i="70"/>
  <c r="E9" i="70"/>
  <c r="G24" i="68"/>
  <c r="AJ22" i="69"/>
  <c r="G23" i="68"/>
  <c r="E40" i="70"/>
  <c r="G12" i="69"/>
  <c r="E46" i="70"/>
  <c r="E17" i="70"/>
  <c r="E29" i="70"/>
  <c r="E34" i="70"/>
  <c r="G20" i="69"/>
  <c r="AL40" i="70"/>
  <c r="AJ36" i="69"/>
  <c r="AJ39" i="68"/>
  <c r="AK44" i="70"/>
  <c r="G27" i="66"/>
  <c r="G36" i="66"/>
  <c r="AJ37" i="66"/>
  <c r="AJ31" i="66"/>
  <c r="G38" i="66"/>
  <c r="G47" i="66"/>
  <c r="G8" i="66"/>
  <c r="G31" i="66"/>
  <c r="AJ9" i="66"/>
  <c r="AJ16" i="66"/>
  <c r="G49" i="66"/>
  <c r="AJ24" i="65"/>
  <c r="AJ43" i="66"/>
  <c r="AJ17" i="65"/>
  <c r="AJ17" i="66"/>
  <c r="AJ20" i="66"/>
  <c r="AJ28" i="66"/>
  <c r="G53" i="66"/>
  <c r="AJ21" i="66"/>
  <c r="AJ22" i="66"/>
  <c r="G40" i="66"/>
  <c r="G9" i="66"/>
  <c r="AJ19" i="66"/>
  <c r="G39" i="66"/>
  <c r="AJ18" i="66"/>
  <c r="AK26" i="70"/>
  <c r="AJ27" i="69"/>
  <c r="AK52" i="70"/>
  <c r="AK28" i="70"/>
  <c r="AJ40" i="68"/>
  <c r="E30" i="70"/>
  <c r="AJ12" i="68"/>
  <c r="AJ29" i="68"/>
  <c r="AJ46" i="69"/>
  <c r="G14" i="66"/>
  <c r="AJ41" i="66"/>
  <c r="E25" i="70"/>
  <c r="AJ64" i="69"/>
  <c r="AJ42" i="68"/>
  <c r="AJ13" i="68"/>
  <c r="AJ12" i="69"/>
  <c r="G50" i="69"/>
  <c r="AJ51" i="69"/>
  <c r="AK45" i="70"/>
  <c r="AJ61" i="68"/>
  <c r="AJ19" i="69"/>
  <c r="AL47" i="70"/>
  <c r="E26" i="69"/>
  <c r="E27" i="69"/>
  <c r="AJ10" i="68"/>
  <c r="AK13" i="70"/>
  <c r="E14" i="70"/>
  <c r="E44" i="70"/>
  <c r="AJ17" i="69"/>
  <c r="AJ16" i="68"/>
  <c r="AK9" i="70"/>
  <c r="E6" i="68"/>
  <c r="E31" i="70"/>
  <c r="G36" i="68"/>
  <c r="E61" i="70"/>
  <c r="AK35" i="70"/>
  <c r="G13" i="68"/>
  <c r="AJ13" i="69"/>
  <c r="AL61" i="70"/>
  <c r="G50" i="68"/>
  <c r="E52" i="70"/>
  <c r="G35" i="69"/>
  <c r="AJ31" i="69"/>
  <c r="AL19" i="70"/>
  <c r="E23" i="69"/>
  <c r="E37" i="70"/>
  <c r="G16" i="69"/>
  <c r="AJ23" i="68"/>
  <c r="AL44" i="70"/>
  <c r="AK23" i="70"/>
  <c r="E13" i="70"/>
  <c r="AJ43" i="68"/>
  <c r="G40" i="68"/>
  <c r="G49" i="68"/>
  <c r="AJ58" i="68"/>
  <c r="AK36" i="70"/>
  <c r="G49" i="69"/>
  <c r="AK18" i="70"/>
  <c r="AK21" i="70"/>
  <c r="G24" i="69"/>
  <c r="AK53" i="70"/>
  <c r="AJ50" i="68"/>
  <c r="G18" i="69"/>
  <c r="G30" i="68"/>
  <c r="AJ48" i="68"/>
  <c r="G8" i="68"/>
  <c r="E8" i="70"/>
  <c r="AL38" i="70"/>
  <c r="G21" i="69"/>
  <c r="AK34" i="70"/>
  <c r="AJ40" i="66"/>
  <c r="E19" i="70"/>
  <c r="G48" i="69"/>
  <c r="G12" i="68"/>
  <c r="AJ52" i="68"/>
  <c r="AL48" i="70"/>
  <c r="AK31" i="70"/>
  <c r="AJ43" i="69"/>
  <c r="G40" i="69"/>
  <c r="AJ16" i="69"/>
  <c r="AK49" i="70"/>
  <c r="G52" i="69"/>
  <c r="AJ65" i="69"/>
  <c r="AK50" i="70"/>
  <c r="AL7" i="69"/>
  <c r="G26" i="66"/>
  <c r="AJ35" i="66"/>
  <c r="AJ30" i="66"/>
  <c r="AK47" i="70"/>
  <c r="G26" i="68"/>
  <c r="AJ35" i="68"/>
  <c r="AJ29" i="69"/>
  <c r="E24" i="70"/>
  <c r="E38" i="69"/>
  <c r="G28" i="69"/>
  <c r="AL42" i="70"/>
  <c r="AL23" i="70"/>
  <c r="G20" i="68"/>
  <c r="G25" i="68"/>
  <c r="AL51" i="70"/>
  <c r="AJ48" i="69"/>
  <c r="G15" i="68"/>
  <c r="AJ65" i="68"/>
  <c r="G29" i="69"/>
  <c r="AL20" i="70"/>
  <c r="AL46" i="70"/>
  <c r="G19" i="69"/>
  <c r="AK17" i="70"/>
  <c r="AJ45" i="68"/>
  <c r="G46" i="69"/>
  <c r="G48" i="68"/>
  <c r="AL21" i="70"/>
  <c r="G53" i="69"/>
  <c r="AJ44" i="69"/>
  <c r="AJ34" i="68"/>
  <c r="E47" i="70"/>
  <c r="AL11" i="70"/>
  <c r="E54" i="70"/>
  <c r="AK51" i="70"/>
  <c r="AJ60" i="69"/>
  <c r="G22" i="66"/>
  <c r="G35" i="68"/>
  <c r="AJ21" i="69"/>
  <c r="AJ66" i="68"/>
  <c r="AK40" i="70"/>
  <c r="AL45" i="70"/>
  <c r="AJ52" i="69"/>
  <c r="AL34" i="70"/>
  <c r="AL33" i="70"/>
  <c r="AK14" i="70"/>
  <c r="G36" i="69"/>
  <c r="G11" i="68"/>
  <c r="AJ22" i="68"/>
  <c r="AJ34" i="69"/>
  <c r="G33" i="69"/>
  <c r="AK27" i="70"/>
  <c r="E48" i="70"/>
  <c r="AJ32" i="69"/>
  <c r="AK19" i="70"/>
  <c r="AJ23" i="69"/>
  <c r="E20" i="70"/>
  <c r="AJ58" i="66"/>
  <c r="AJ33" i="66"/>
  <c r="AJ24" i="66"/>
  <c r="E6" i="65"/>
  <c r="G23" i="66"/>
  <c r="AJ49" i="66"/>
  <c r="G43" i="66"/>
  <c r="AJ7" i="66"/>
  <c r="AJ38" i="66"/>
  <c r="G46" i="66"/>
  <c r="G35" i="66"/>
  <c r="G28" i="66"/>
  <c r="G30" i="66"/>
  <c r="AJ9" i="69"/>
  <c r="AK16" i="70"/>
  <c r="AL39" i="70"/>
  <c r="G39" i="69"/>
  <c r="AJ56" i="66"/>
  <c r="AJ22" i="65"/>
  <c r="G25" i="66"/>
  <c r="G44" i="66"/>
  <c r="AJ24" i="68"/>
  <c r="AJ53" i="69"/>
  <c r="AJ30" i="68"/>
  <c r="AJ17" i="68"/>
  <c r="AJ41" i="68"/>
  <c r="AJ21" i="68"/>
  <c r="E32" i="70"/>
  <c r="G42" i="68"/>
  <c r="AL7" i="70"/>
  <c r="G38" i="68"/>
  <c r="AJ62" i="69"/>
  <c r="E7" i="70"/>
  <c r="AJ55" i="69"/>
  <c r="G15" i="66"/>
  <c r="AJ55" i="66"/>
  <c r="G61" i="66"/>
  <c r="G42" i="66"/>
  <c r="G18" i="66"/>
  <c r="AJ34" i="66"/>
  <c r="G33" i="66"/>
  <c r="G10" i="66"/>
  <c r="G51" i="66"/>
  <c r="AJ44" i="66"/>
  <c r="AJ32" i="66"/>
  <c r="AJ51" i="66"/>
  <c r="AJ65" i="66"/>
  <c r="G19" i="66"/>
  <c r="G37" i="69"/>
  <c r="AL29" i="70"/>
  <c r="AL36" i="70"/>
  <c r="AL16" i="70"/>
  <c r="AJ61" i="66"/>
  <c r="AJ20" i="65"/>
  <c r="AJ11" i="66"/>
  <c r="AJ41" i="65"/>
  <c r="AJ28" i="68"/>
  <c r="G54" i="69"/>
  <c r="AK29" i="70"/>
  <c r="AL26" i="70"/>
  <c r="G17" i="69"/>
  <c r="AJ14" i="69"/>
  <c r="AJ38" i="69"/>
  <c r="E53" i="70"/>
  <c r="AK10" i="69"/>
  <c r="AJ54" i="69"/>
  <c r="G19" i="68"/>
  <c r="AK32" i="70"/>
  <c r="AK38" i="70"/>
  <c r="AJ36" i="66"/>
  <c r="G21" i="66"/>
  <c r="AJ12" i="66"/>
  <c r="G29" i="66"/>
  <c r="AJ15" i="66"/>
  <c r="AJ54" i="66"/>
  <c r="G16" i="66"/>
  <c r="AJ48" i="66"/>
  <c r="AJ59" i="66"/>
  <c r="AJ25" i="69"/>
  <c r="AJ50" i="69"/>
  <c r="AK7" i="70"/>
  <c r="AJ58" i="69"/>
  <c r="AJ25" i="66"/>
  <c r="AJ13" i="66"/>
  <c r="AJ63" i="66"/>
  <c r="G7" i="66"/>
  <c r="AJ46" i="66"/>
  <c r="AU7" i="7"/>
  <c r="BG34" i="83" l="1"/>
  <c r="BH34" i="83"/>
  <c r="BI34" i="83"/>
  <c r="BF34" i="83"/>
  <c r="BC36" i="83"/>
  <c r="BD35" i="83"/>
  <c r="AK63" i="66"/>
  <c r="AM63" i="66" s="1"/>
  <c r="AL63" i="66"/>
  <c r="AK58" i="69"/>
  <c r="AM58" i="69" s="1"/>
  <c r="AL58" i="69"/>
  <c r="AM7" i="70"/>
  <c r="AK59" i="66"/>
  <c r="AM59" i="66" s="1"/>
  <c r="AL59" i="66"/>
  <c r="AM38" i="70"/>
  <c r="AM32" i="70"/>
  <c r="AM10" i="69"/>
  <c r="AH26" i="70"/>
  <c r="AG26" i="70"/>
  <c r="AM29" i="70"/>
  <c r="AG16" i="70"/>
  <c r="AH16" i="70"/>
  <c r="AG36" i="70"/>
  <c r="AH36" i="70"/>
  <c r="AH29" i="70"/>
  <c r="AG29" i="70"/>
  <c r="AK65" i="66"/>
  <c r="AM65" i="66" s="1"/>
  <c r="AL65" i="66"/>
  <c r="AL55" i="66"/>
  <c r="AK55" i="66"/>
  <c r="AM55" i="66" s="1"/>
  <c r="AK55" i="69"/>
  <c r="AM55" i="69" s="1"/>
  <c r="AL55" i="69"/>
  <c r="U10" i="70"/>
  <c r="V10" i="70" s="1"/>
  <c r="O10" i="70"/>
  <c r="R12" i="70"/>
  <c r="O12" i="70"/>
  <c r="R10" i="70"/>
  <c r="O8" i="70"/>
  <c r="U13" i="70"/>
  <c r="V13" i="70" s="1"/>
  <c r="R16" i="70" a="1"/>
  <c r="R16" i="70" s="1"/>
  <c r="R13" i="70"/>
  <c r="R11" i="70"/>
  <c r="O13" i="70"/>
  <c r="P13" i="70" s="1"/>
  <c r="O9" i="70"/>
  <c r="R8" i="70"/>
  <c r="U16" i="70" a="1"/>
  <c r="U16" i="70" s="1"/>
  <c r="O11" i="70"/>
  <c r="U9" i="70"/>
  <c r="V9" i="70" s="1"/>
  <c r="U8" i="70"/>
  <c r="V8" i="70" s="1"/>
  <c r="U11" i="70"/>
  <c r="V11" i="70" s="1"/>
  <c r="R9" i="70"/>
  <c r="U12" i="70"/>
  <c r="V12" i="70" s="1"/>
  <c r="O16" i="70" a="1"/>
  <c r="O16" i="70" s="1"/>
  <c r="AL62" i="69"/>
  <c r="AK62" i="69"/>
  <c r="AM62" i="69" s="1"/>
  <c r="AH7" i="70"/>
  <c r="AG7" i="70"/>
  <c r="AL56" i="66"/>
  <c r="AK56" i="66"/>
  <c r="AM56" i="66" s="1"/>
  <c r="AG39" i="70"/>
  <c r="AH39" i="70"/>
  <c r="AM16" i="70"/>
  <c r="AL58" i="66"/>
  <c r="AK58" i="66"/>
  <c r="AM58" i="66" s="1"/>
  <c r="AM19" i="70"/>
  <c r="AM27" i="70"/>
  <c r="AM14" i="70"/>
  <c r="AG33" i="70"/>
  <c r="AH33" i="70"/>
  <c r="AG34" i="70"/>
  <c r="AH34" i="70"/>
  <c r="AG45" i="70"/>
  <c r="AH45" i="70"/>
  <c r="AM40" i="70"/>
  <c r="AK66" i="68"/>
  <c r="AM66" i="68" s="1"/>
  <c r="AL66" i="68"/>
  <c r="AK60" i="69"/>
  <c r="AM60" i="69" s="1"/>
  <c r="AL60" i="69"/>
  <c r="AM51" i="70"/>
  <c r="AG11" i="70"/>
  <c r="AH11" i="70"/>
  <c r="AH21" i="70"/>
  <c r="AG21" i="70"/>
  <c r="AM17" i="70"/>
  <c r="AG46" i="70"/>
  <c r="AH46" i="70"/>
  <c r="AG20" i="70"/>
  <c r="AH20" i="70"/>
  <c r="AK65" i="68"/>
  <c r="AM65" i="68" s="1"/>
  <c r="AL65" i="68"/>
  <c r="AH51" i="70"/>
  <c r="AG51" i="70"/>
  <c r="AH23" i="70"/>
  <c r="AG23" i="70"/>
  <c r="AH42" i="70"/>
  <c r="AG42" i="70"/>
  <c r="AM47" i="70"/>
  <c r="AH7" i="69"/>
  <c r="AG7" i="69"/>
  <c r="AM50" i="70"/>
  <c r="AL65" i="69"/>
  <c r="AK65" i="69"/>
  <c r="AM65" i="69" s="1"/>
  <c r="AM49" i="70"/>
  <c r="AM31" i="70"/>
  <c r="AH48" i="70"/>
  <c r="AG48" i="70"/>
  <c r="AM34" i="70"/>
  <c r="AH38" i="70"/>
  <c r="AG38" i="70"/>
  <c r="AM53" i="70"/>
  <c r="AM21" i="70"/>
  <c r="AM18" i="70"/>
  <c r="AM36" i="70"/>
  <c r="AL58" i="68"/>
  <c r="AK58" i="68"/>
  <c r="AM58" i="68" s="1"/>
  <c r="AM23" i="70"/>
  <c r="AH44" i="70"/>
  <c r="AG44" i="70"/>
  <c r="AH19" i="70"/>
  <c r="AG19" i="70"/>
  <c r="AH61" i="70"/>
  <c r="AG61" i="70"/>
  <c r="AM35" i="70"/>
  <c r="AM9" i="70"/>
  <c r="AM13" i="70"/>
  <c r="AG47" i="70"/>
  <c r="AH47" i="70"/>
  <c r="AM45" i="70"/>
  <c r="AK64" i="69"/>
  <c r="AM64" i="69" s="1"/>
  <c r="AL64" i="69"/>
  <c r="AM28" i="70"/>
  <c r="AM52" i="70"/>
  <c r="AM26" i="70"/>
  <c r="AM44" i="70"/>
  <c r="AH40" i="70"/>
  <c r="AG40" i="70"/>
  <c r="AM20" i="70"/>
  <c r="AG50" i="70"/>
  <c r="AH50" i="70"/>
  <c r="AK57" i="68"/>
  <c r="AM57" i="68" s="1"/>
  <c r="AL57" i="68"/>
  <c r="AL67" i="68"/>
  <c r="AK67" i="68"/>
  <c r="AM67" i="68" s="1"/>
  <c r="AM48" i="70"/>
  <c r="AG49" i="70"/>
  <c r="AH49" i="70"/>
  <c r="AG41" i="70"/>
  <c r="AH41" i="70"/>
  <c r="AM24" i="70"/>
  <c r="AH28" i="70"/>
  <c r="AG28" i="70"/>
  <c r="AL63" i="69"/>
  <c r="AK63" i="69"/>
  <c r="AM63" i="69" s="1"/>
  <c r="AM39" i="70"/>
  <c r="AG43" i="70"/>
  <c r="AH43" i="70"/>
  <c r="AG17" i="70"/>
  <c r="AH17" i="70"/>
  <c r="AL59" i="69"/>
  <c r="AK59" i="69"/>
  <c r="AM59" i="69" s="1"/>
  <c r="AK63" i="68"/>
  <c r="AM63" i="68" s="1"/>
  <c r="AL63" i="68"/>
  <c r="AM37" i="70"/>
  <c r="AM41" i="70"/>
  <c r="AM46" i="70"/>
  <c r="AK62" i="68"/>
  <c r="AM62" i="68" s="1"/>
  <c r="AL62" i="68"/>
  <c r="AH9" i="70"/>
  <c r="AG9" i="70"/>
  <c r="AG15" i="70"/>
  <c r="AH15" i="70"/>
  <c r="AH24" i="70"/>
  <c r="AG24" i="70"/>
  <c r="AH13" i="70"/>
  <c r="AG13" i="70"/>
  <c r="AL67" i="66"/>
  <c r="AK67" i="66"/>
  <c r="AM67" i="66" s="1"/>
  <c r="AM42" i="70"/>
  <c r="AL66" i="69"/>
  <c r="AK66" i="69"/>
  <c r="AM66" i="69" s="1"/>
  <c r="AK56" i="69"/>
  <c r="AM56" i="69" s="1"/>
  <c r="AL56" i="69"/>
  <c r="AM7" i="69"/>
  <c r="AL60" i="66"/>
  <c r="AK60" i="66"/>
  <c r="AM60" i="66" s="1"/>
  <c r="AK62" i="66"/>
  <c r="AM62" i="66" s="1"/>
  <c r="AL62" i="66"/>
  <c r="AK66" i="66"/>
  <c r="AM66" i="66" s="1"/>
  <c r="AL66" i="66"/>
  <c r="AK57" i="66"/>
  <c r="AM57" i="66" s="1"/>
  <c r="AL57" i="66"/>
  <c r="AK64" i="66"/>
  <c r="AM64" i="66" s="1"/>
  <c r="AL64" i="66"/>
  <c r="AG53" i="70"/>
  <c r="AH53" i="70"/>
  <c r="AH32" i="70"/>
  <c r="AG32" i="70"/>
  <c r="AL64" i="68"/>
  <c r="AK64" i="68"/>
  <c r="AM64" i="68" s="1"/>
  <c r="AM25" i="70"/>
  <c r="AG35" i="70"/>
  <c r="AH35" i="70"/>
  <c r="AM43" i="70"/>
  <c r="AL67" i="69"/>
  <c r="AK67" i="69"/>
  <c r="AM67" i="69" s="1"/>
  <c r="AH52" i="70"/>
  <c r="AG52" i="70"/>
  <c r="AH10" i="69"/>
  <c r="AG10" i="69"/>
  <c r="AK57" i="69"/>
  <c r="AM57" i="69" s="1"/>
  <c r="AL57" i="69"/>
  <c r="AH18" i="70"/>
  <c r="AG18" i="70"/>
  <c r="AL60" i="68"/>
  <c r="AK60" i="68"/>
  <c r="AM60" i="68" s="1"/>
  <c r="AK56" i="68"/>
  <c r="AM56" i="68" s="1"/>
  <c r="AL56" i="68"/>
  <c r="AG37" i="70"/>
  <c r="AH37" i="70"/>
  <c r="AM15" i="70"/>
  <c r="AL55" i="68"/>
  <c r="AK55" i="68"/>
  <c r="AM55" i="68" s="1"/>
  <c r="AG31" i="70"/>
  <c r="AH31" i="70"/>
  <c r="AH22" i="70"/>
  <c r="AG22" i="70"/>
  <c r="AM61" i="70"/>
  <c r="AK59" i="68"/>
  <c r="AM59" i="68" s="1"/>
  <c r="AL59" i="68"/>
  <c r="AM22" i="70"/>
  <c r="AM54" i="70"/>
  <c r="AH25" i="70"/>
  <c r="AG25" i="70"/>
  <c r="AG14" i="70"/>
  <c r="AH14" i="70"/>
  <c r="AH27" i="70"/>
  <c r="AG27" i="70"/>
  <c r="AG54" i="70"/>
  <c r="AH54" i="70"/>
  <c r="AM11" i="70"/>
  <c r="AM33" i="70"/>
  <c r="AA8" i="70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Q7" i="7"/>
  <c r="BQ11" i="7"/>
  <c r="BQ21" i="7"/>
  <c r="BQ31" i="7"/>
  <c r="E7" i="66"/>
  <c r="AL25" i="69"/>
  <c r="AK54" i="66"/>
  <c r="E19" i="68"/>
  <c r="AL38" i="69"/>
  <c r="E17" i="69"/>
  <c r="E54" i="69"/>
  <c r="E18" i="66"/>
  <c r="E38" i="68"/>
  <c r="AK21" i="68"/>
  <c r="AL17" i="68"/>
  <c r="AK53" i="69"/>
  <c r="E28" i="66"/>
  <c r="AL23" i="69"/>
  <c r="AK22" i="68"/>
  <c r="AK21" i="69"/>
  <c r="AL44" i="69"/>
  <c r="E48" i="68"/>
  <c r="E28" i="69"/>
  <c r="AK35" i="68"/>
  <c r="AK16" i="69"/>
  <c r="AK52" i="68"/>
  <c r="AK40" i="66"/>
  <c r="E30" i="68"/>
  <c r="E49" i="69"/>
  <c r="E49" i="68"/>
  <c r="AL23" i="68"/>
  <c r="AK31" i="69"/>
  <c r="E13" i="68"/>
  <c r="AK16" i="68"/>
  <c r="AL61" i="68"/>
  <c r="E50" i="69"/>
  <c r="AL13" i="68"/>
  <c r="AK29" i="68"/>
  <c r="AK40" i="68"/>
  <c r="AK27" i="69"/>
  <c r="AK36" i="69"/>
  <c r="E12" i="69"/>
  <c r="E24" i="68"/>
  <c r="AK38" i="68"/>
  <c r="AL15" i="68"/>
  <c r="AL45" i="69"/>
  <c r="AL18" i="68"/>
  <c r="E25" i="69"/>
  <c r="E33" i="68"/>
  <c r="AK27" i="68"/>
  <c r="E32" i="68"/>
  <c r="E47" i="68"/>
  <c r="AL54" i="68"/>
  <c r="E41" i="69"/>
  <c r="AL8" i="68"/>
  <c r="E51" i="68"/>
  <c r="AK31" i="68"/>
  <c r="E22" i="68"/>
  <c r="E53" i="68"/>
  <c r="E32" i="66"/>
  <c r="E39" i="68"/>
  <c r="AK47" i="69"/>
  <c r="AK20" i="69"/>
  <c r="AL26" i="68"/>
  <c r="E61" i="69"/>
  <c r="E43" i="69"/>
  <c r="AK37" i="69"/>
  <c r="AK49" i="69"/>
  <c r="AK32" i="68"/>
  <c r="AL28" i="69"/>
  <c r="AL42" i="69"/>
  <c r="AL11" i="69"/>
  <c r="AL33" i="68"/>
  <c r="AK14" i="68"/>
  <c r="AL39" i="69"/>
  <c r="AL51" i="68"/>
  <c r="E7" i="69"/>
  <c r="AL30" i="68"/>
  <c r="AK23" i="69"/>
  <c r="AL16" i="69"/>
  <c r="AL40" i="66"/>
  <c r="AL22" i="69"/>
  <c r="AK18" i="69"/>
  <c r="AL9" i="68"/>
  <c r="AK53" i="68"/>
  <c r="AK36" i="68"/>
  <c r="E7" i="68"/>
  <c r="E24" i="66"/>
  <c r="AL20" i="69"/>
  <c r="E10" i="68"/>
  <c r="AL24" i="69"/>
  <c r="AK51" i="68"/>
  <c r="AK25" i="69"/>
  <c r="AL54" i="66"/>
  <c r="AK54" i="69"/>
  <c r="AK38" i="69"/>
  <c r="AK28" i="68"/>
  <c r="E37" i="69"/>
  <c r="AL21" i="68"/>
  <c r="AK17" i="68"/>
  <c r="AL53" i="69"/>
  <c r="E33" i="69"/>
  <c r="AL22" i="68"/>
  <c r="AL52" i="69"/>
  <c r="AL21" i="69"/>
  <c r="AL34" i="68"/>
  <c r="E53" i="69"/>
  <c r="E46" i="69"/>
  <c r="E19" i="69"/>
  <c r="E15" i="68"/>
  <c r="AL29" i="69"/>
  <c r="E26" i="68"/>
  <c r="E52" i="69"/>
  <c r="E40" i="69"/>
  <c r="E12" i="68"/>
  <c r="E8" i="68"/>
  <c r="E18" i="69"/>
  <c r="E24" i="69"/>
  <c r="E40" i="68"/>
  <c r="E16" i="69"/>
  <c r="AL31" i="69"/>
  <c r="AL16" i="68"/>
  <c r="AL10" i="68"/>
  <c r="AK19" i="69"/>
  <c r="AL12" i="69"/>
  <c r="AK42" i="68"/>
  <c r="AL46" i="69"/>
  <c r="AK12" i="68"/>
  <c r="AK39" i="68"/>
  <c r="E23" i="68"/>
  <c r="AL38" i="68"/>
  <c r="AK15" i="68"/>
  <c r="AK45" i="69"/>
  <c r="AK18" i="68"/>
  <c r="E43" i="68"/>
  <c r="E44" i="68"/>
  <c r="AL26" i="69"/>
  <c r="AL27" i="68"/>
  <c r="E17" i="68"/>
  <c r="AL25" i="68"/>
  <c r="AL30" i="69"/>
  <c r="E27" i="68"/>
  <c r="AK8" i="68"/>
  <c r="AK20" i="68"/>
  <c r="E9" i="69"/>
  <c r="AK61" i="69"/>
  <c r="AK37" i="68"/>
  <c r="E54" i="66"/>
  <c r="E47" i="69"/>
  <c r="E44" i="69"/>
  <c r="E16" i="68"/>
  <c r="AL15" i="69"/>
  <c r="AL37" i="69"/>
  <c r="AL49" i="69"/>
  <c r="E34" i="69"/>
  <c r="AL32" i="68"/>
  <c r="E28" i="68"/>
  <c r="AK11" i="68"/>
  <c r="AK11" i="69"/>
  <c r="E9" i="68"/>
  <c r="AL8" i="69"/>
  <c r="AK41" i="69"/>
  <c r="E11" i="69"/>
  <c r="E42" i="68"/>
  <c r="AL41" i="68"/>
  <c r="AK24" i="68"/>
  <c r="AK9" i="69"/>
  <c r="AK32" i="69"/>
  <c r="E36" i="69"/>
  <c r="E22" i="66"/>
  <c r="AL48" i="69"/>
  <c r="E20" i="68"/>
  <c r="E26" i="66"/>
  <c r="AL43" i="69"/>
  <c r="AK13" i="69"/>
  <c r="AK13" i="68"/>
  <c r="AL40" i="68"/>
  <c r="AL27" i="69"/>
  <c r="AL36" i="69"/>
  <c r="E42" i="69"/>
  <c r="E29" i="68"/>
  <c r="E22" i="69"/>
  <c r="E45" i="68"/>
  <c r="AK35" i="69"/>
  <c r="AK49" i="68"/>
  <c r="E31" i="68"/>
  <c r="AL7" i="68"/>
  <c r="AK42" i="69"/>
  <c r="AK33" i="68"/>
  <c r="AL14" i="68"/>
  <c r="AL44" i="68"/>
  <c r="AL50" i="69"/>
  <c r="AL54" i="69"/>
  <c r="AK14" i="69"/>
  <c r="AL28" i="68"/>
  <c r="AK41" i="68"/>
  <c r="AK30" i="68"/>
  <c r="AL24" i="68"/>
  <c r="E39" i="69"/>
  <c r="AL9" i="69"/>
  <c r="AL32" i="69"/>
  <c r="AK34" i="69"/>
  <c r="E11" i="68"/>
  <c r="AK52" i="69"/>
  <c r="E35" i="68"/>
  <c r="AK34" i="68"/>
  <c r="AL45" i="68"/>
  <c r="E29" i="69"/>
  <c r="AK48" i="69"/>
  <c r="E25" i="68"/>
  <c r="AK29" i="69"/>
  <c r="AK43" i="69"/>
  <c r="E48" i="69"/>
  <c r="E21" i="69"/>
  <c r="AK48" i="68"/>
  <c r="AK50" i="68"/>
  <c r="AL43" i="68"/>
  <c r="E35" i="69"/>
  <c r="AL13" i="69"/>
  <c r="E36" i="68"/>
  <c r="AL17" i="69"/>
  <c r="AK10" i="68"/>
  <c r="AL19" i="69"/>
  <c r="AL51" i="69"/>
  <c r="AK12" i="69"/>
  <c r="AL42" i="68"/>
  <c r="AK46" i="69"/>
  <c r="AL12" i="68"/>
  <c r="E9" i="66"/>
  <c r="AL39" i="68"/>
  <c r="AK22" i="69"/>
  <c r="E10" i="69"/>
  <c r="AL19" i="68"/>
  <c r="E30" i="69"/>
  <c r="AL18" i="69"/>
  <c r="AK9" i="68"/>
  <c r="AL53" i="68"/>
  <c r="E54" i="68"/>
  <c r="AK26" i="69"/>
  <c r="E8" i="69"/>
  <c r="AL36" i="68"/>
  <c r="AK33" i="69"/>
  <c r="E13" i="69"/>
  <c r="AK25" i="68"/>
  <c r="AK30" i="69"/>
  <c r="E61" i="68"/>
  <c r="AK46" i="68"/>
  <c r="AL35" i="69"/>
  <c r="AL20" i="68"/>
  <c r="AL49" i="68"/>
  <c r="AL61" i="69"/>
  <c r="AL37" i="68"/>
  <c r="E45" i="69"/>
  <c r="AL40" i="69"/>
  <c r="AK47" i="68"/>
  <c r="AK15" i="69"/>
  <c r="E37" i="68"/>
  <c r="AK24" i="69"/>
  <c r="E51" i="69"/>
  <c r="AK7" i="68"/>
  <c r="E52" i="68"/>
  <c r="E46" i="68"/>
  <c r="E41" i="68"/>
  <c r="AL11" i="68"/>
  <c r="E14" i="68"/>
  <c r="E32" i="69"/>
  <c r="E34" i="68"/>
  <c r="AK8" i="69"/>
  <c r="AL41" i="69"/>
  <c r="AK44" i="68"/>
  <c r="AK50" i="69"/>
  <c r="AL14" i="69"/>
  <c r="AL34" i="69"/>
  <c r="AK44" i="69"/>
  <c r="AK45" i="68"/>
  <c r="AL35" i="68"/>
  <c r="AL52" i="68"/>
  <c r="AL48" i="68"/>
  <c r="AL50" i="68"/>
  <c r="AK43" i="68"/>
  <c r="AK23" i="68"/>
  <c r="E50" i="68"/>
  <c r="AK17" i="69"/>
  <c r="AK61" i="68"/>
  <c r="AK51" i="69"/>
  <c r="AL29" i="68"/>
  <c r="E8" i="66"/>
  <c r="E20" i="69"/>
  <c r="AK19" i="68"/>
  <c r="AL33" i="69"/>
  <c r="AK54" i="68"/>
  <c r="AL46" i="68"/>
  <c r="AL31" i="68"/>
  <c r="E18" i="68"/>
  <c r="AL47" i="69"/>
  <c r="AK26" i="68"/>
  <c r="AK40" i="69"/>
  <c r="AL47" i="68"/>
  <c r="E21" i="68"/>
  <c r="AK28" i="69"/>
  <c r="AK39" i="69"/>
  <c r="E14" i="69"/>
  <c r="BF35" i="83" l="1"/>
  <c r="BG35" i="83"/>
  <c r="BI35" i="83"/>
  <c r="BH35" i="83"/>
  <c r="BD36" i="83"/>
  <c r="BC37" i="83"/>
  <c r="AA12" i="70"/>
  <c r="AA9" i="70"/>
  <c r="AA11" i="70"/>
  <c r="O14" i="70"/>
  <c r="P10" i="70" s="1"/>
  <c r="AM39" i="69"/>
  <c r="AM28" i="69"/>
  <c r="AH47" i="68"/>
  <c r="AG47" i="68"/>
  <c r="AM40" i="69"/>
  <c r="AM26" i="68"/>
  <c r="AG47" i="69"/>
  <c r="AH47" i="69"/>
  <c r="AG31" i="68"/>
  <c r="AH31" i="68"/>
  <c r="AG46" i="68"/>
  <c r="AH46" i="68"/>
  <c r="AM54" i="68"/>
  <c r="AG33" i="69"/>
  <c r="AH33" i="69"/>
  <c r="AM19" i="68"/>
  <c r="AH29" i="68"/>
  <c r="AG29" i="68"/>
  <c r="AM51" i="69"/>
  <c r="AM61" i="68"/>
  <c r="AM17" i="69"/>
  <c r="AM23" i="68"/>
  <c r="AM43" i="68"/>
  <c r="AH50" i="68"/>
  <c r="AG50" i="68"/>
  <c r="AG48" i="68"/>
  <c r="AH48" i="68"/>
  <c r="AH52" i="68"/>
  <c r="AG52" i="68"/>
  <c r="AH35" i="68"/>
  <c r="AG35" i="68"/>
  <c r="AM45" i="68"/>
  <c r="AM44" i="69"/>
  <c r="AH34" i="69"/>
  <c r="AG34" i="69"/>
  <c r="AH14" i="69"/>
  <c r="AG14" i="69"/>
  <c r="AM50" i="69"/>
  <c r="AM44" i="68"/>
  <c r="AH41" i="69"/>
  <c r="AG41" i="69"/>
  <c r="AM8" i="69"/>
  <c r="AG11" i="68"/>
  <c r="AH11" i="68"/>
  <c r="AM7" i="68"/>
  <c r="AM24" i="69"/>
  <c r="AM15" i="69"/>
  <c r="AM47" i="68"/>
  <c r="AG40" i="69"/>
  <c r="AH40" i="69"/>
  <c r="AH37" i="68"/>
  <c r="AG37" i="68"/>
  <c r="AG61" i="69"/>
  <c r="AH61" i="69"/>
  <c r="AG49" i="68"/>
  <c r="AH49" i="68"/>
  <c r="AG20" i="68"/>
  <c r="AH20" i="68"/>
  <c r="AG35" i="69"/>
  <c r="AH35" i="69"/>
  <c r="AM46" i="68"/>
  <c r="AM30" i="69"/>
  <c r="AM25" i="68"/>
  <c r="AM33" i="69"/>
  <c r="AH36" i="68"/>
  <c r="AG36" i="68"/>
  <c r="AM26" i="69"/>
  <c r="AH53" i="68"/>
  <c r="AG53" i="68"/>
  <c r="AM9" i="68"/>
  <c r="AH18" i="69"/>
  <c r="AG18" i="69"/>
  <c r="AG19" i="68"/>
  <c r="AH19" i="68"/>
  <c r="AM22" i="69"/>
  <c r="AH39" i="68"/>
  <c r="AG39" i="68"/>
  <c r="AG12" i="68"/>
  <c r="AH12" i="68"/>
  <c r="AM46" i="69"/>
  <c r="AG42" i="68"/>
  <c r="AH42" i="68"/>
  <c r="AM12" i="69"/>
  <c r="AH51" i="69"/>
  <c r="AG51" i="69"/>
  <c r="AH19" i="69"/>
  <c r="AG19" i="69"/>
  <c r="AM10" i="68"/>
  <c r="AH17" i="69"/>
  <c r="AG17" i="69"/>
  <c r="AG13" i="69"/>
  <c r="AH13" i="69"/>
  <c r="AH43" i="68"/>
  <c r="AG43" i="68"/>
  <c r="AM50" i="68"/>
  <c r="AM48" i="68"/>
  <c r="AM43" i="69"/>
  <c r="AM29" i="69"/>
  <c r="AM48" i="69"/>
  <c r="AH45" i="68"/>
  <c r="AG45" i="68"/>
  <c r="AM34" i="68"/>
  <c r="AM52" i="69"/>
  <c r="AM34" i="69"/>
  <c r="AG32" i="69"/>
  <c r="AH32" i="69"/>
  <c r="AG9" i="69"/>
  <c r="AH9" i="69"/>
  <c r="AH24" i="68"/>
  <c r="AG24" i="68"/>
  <c r="AM30" i="68"/>
  <c r="AM41" i="68"/>
  <c r="AG28" i="68"/>
  <c r="AH28" i="68"/>
  <c r="AM14" i="69"/>
  <c r="AG54" i="69"/>
  <c r="AH54" i="69"/>
  <c r="AG50" i="69"/>
  <c r="AH50" i="69"/>
  <c r="AG44" i="68"/>
  <c r="AH44" i="68"/>
  <c r="AH14" i="68"/>
  <c r="AG14" i="68"/>
  <c r="AM33" i="68"/>
  <c r="AM42" i="69"/>
  <c r="AG7" i="68"/>
  <c r="AH7" i="68"/>
  <c r="AM49" i="68"/>
  <c r="AM35" i="69"/>
  <c r="AG36" i="69"/>
  <c r="AH36" i="69"/>
  <c r="AH27" i="69"/>
  <c r="AG27" i="69"/>
  <c r="AH40" i="68"/>
  <c r="AG40" i="68"/>
  <c r="AM13" i="68"/>
  <c r="AM13" i="69"/>
  <c r="AH43" i="69"/>
  <c r="AG43" i="69"/>
  <c r="AH48" i="69"/>
  <c r="AG48" i="69"/>
  <c r="AM32" i="69"/>
  <c r="AM9" i="69"/>
  <c r="AM24" i="68"/>
  <c r="AG41" i="68"/>
  <c r="AH41" i="68"/>
  <c r="AM41" i="69"/>
  <c r="AH8" i="69"/>
  <c r="AG8" i="69"/>
  <c r="AM11" i="69"/>
  <c r="AM11" i="68"/>
  <c r="AG32" i="68"/>
  <c r="AH32" i="68"/>
  <c r="AH49" i="69"/>
  <c r="AG49" i="69"/>
  <c r="AH37" i="69"/>
  <c r="AG37" i="69"/>
  <c r="AG15" i="69"/>
  <c r="AH15" i="69"/>
  <c r="AM37" i="68"/>
  <c r="AM61" i="69"/>
  <c r="AM20" i="68"/>
  <c r="AM8" i="68"/>
  <c r="AH30" i="69"/>
  <c r="AG30" i="69"/>
  <c r="AH25" i="68"/>
  <c r="AG25" i="68"/>
  <c r="AH27" i="68"/>
  <c r="AG27" i="68"/>
  <c r="AH26" i="69"/>
  <c r="AG26" i="69"/>
  <c r="AM18" i="68"/>
  <c r="AM45" i="69"/>
  <c r="AM15" i="68"/>
  <c r="AH38" i="68"/>
  <c r="AG38" i="68"/>
  <c r="AM39" i="68"/>
  <c r="AM12" i="68"/>
  <c r="AH46" i="69"/>
  <c r="AG46" i="69"/>
  <c r="AM42" i="68"/>
  <c r="AH12" i="69"/>
  <c r="AG12" i="69"/>
  <c r="AM19" i="69"/>
  <c r="AH10" i="68"/>
  <c r="AG10" i="68"/>
  <c r="AH16" i="68"/>
  <c r="AG16" i="68"/>
  <c r="AH31" i="69"/>
  <c r="AG31" i="69"/>
  <c r="AH29" i="69"/>
  <c r="AG29" i="69"/>
  <c r="AH34" i="68"/>
  <c r="AG34" i="68"/>
  <c r="AG21" i="69"/>
  <c r="AH21" i="69"/>
  <c r="AH52" i="69"/>
  <c r="AG52" i="69"/>
  <c r="AG22" i="68"/>
  <c r="AH22" i="68"/>
  <c r="AH53" i="69"/>
  <c r="AG53" i="69"/>
  <c r="AM17" i="68"/>
  <c r="AH21" i="68"/>
  <c r="AG21" i="68"/>
  <c r="AM28" i="68"/>
  <c r="AM38" i="69"/>
  <c r="AM54" i="69"/>
  <c r="AH54" i="66"/>
  <c r="AG54" i="66"/>
  <c r="AM25" i="69"/>
  <c r="AM51" i="68"/>
  <c r="AH24" i="69"/>
  <c r="AG24" i="69"/>
  <c r="AG20" i="69"/>
  <c r="AH20" i="69"/>
  <c r="R12" i="68"/>
  <c r="U9" i="68"/>
  <c r="V9" i="68" s="1"/>
  <c r="R13" i="68"/>
  <c r="U10" i="68"/>
  <c r="V10" i="68" s="1"/>
  <c r="O10" i="68"/>
  <c r="R9" i="68"/>
  <c r="O12" i="68"/>
  <c r="R8" i="68"/>
  <c r="R10" i="68"/>
  <c r="O13" i="68"/>
  <c r="P13" i="68" s="1"/>
  <c r="R16" i="68" a="1"/>
  <c r="R16" i="68" s="1"/>
  <c r="O16" i="68" a="1"/>
  <c r="O16" i="68" s="1"/>
  <c r="U11" i="68"/>
  <c r="V11" i="68" s="1"/>
  <c r="O8" i="68"/>
  <c r="U8" i="68"/>
  <c r="V8" i="68" s="1"/>
  <c r="O9" i="68"/>
  <c r="AA9" i="68" s="1"/>
  <c r="U16" i="68" a="1"/>
  <c r="U16" i="68" s="1"/>
  <c r="O11" i="68"/>
  <c r="R11" i="68"/>
  <c r="U13" i="68"/>
  <c r="V13" i="68" s="1"/>
  <c r="U12" i="68"/>
  <c r="V12" i="68" s="1"/>
  <c r="AM36" i="68"/>
  <c r="AM53" i="68"/>
  <c r="AH9" i="68"/>
  <c r="AG9" i="68"/>
  <c r="AM18" i="69"/>
  <c r="AH22" i="69"/>
  <c r="AG22" i="69"/>
  <c r="AG40" i="66"/>
  <c r="AH40" i="66"/>
  <c r="AH16" i="69"/>
  <c r="AG16" i="69"/>
  <c r="AM23" i="69"/>
  <c r="AH30" i="68"/>
  <c r="AG30" i="68"/>
  <c r="R9" i="69"/>
  <c r="O13" i="69"/>
  <c r="P13" i="69" s="1"/>
  <c r="U16" i="69" a="1"/>
  <c r="U16" i="69" s="1"/>
  <c r="U12" i="69"/>
  <c r="V12" i="69" s="1"/>
  <c r="U9" i="69"/>
  <c r="V9" i="69" s="1"/>
  <c r="R8" i="69"/>
  <c r="R12" i="69"/>
  <c r="U11" i="69"/>
  <c r="V11" i="69" s="1"/>
  <c r="O8" i="69"/>
  <c r="O16" i="69" a="1"/>
  <c r="O16" i="69" s="1"/>
  <c r="R10" i="69"/>
  <c r="U13" i="69"/>
  <c r="V13" i="69" s="1"/>
  <c r="R16" i="69" a="1"/>
  <c r="R16" i="69" s="1"/>
  <c r="O10" i="69"/>
  <c r="R13" i="69"/>
  <c r="O12" i="69"/>
  <c r="U10" i="69"/>
  <c r="V10" i="69" s="1"/>
  <c r="O11" i="69"/>
  <c r="R11" i="69"/>
  <c r="O9" i="69"/>
  <c r="U8" i="69"/>
  <c r="V8" i="69" s="1"/>
  <c r="AH51" i="68"/>
  <c r="AG51" i="68"/>
  <c r="AH39" i="69"/>
  <c r="AG39" i="69"/>
  <c r="AM14" i="68"/>
  <c r="AH33" i="68"/>
  <c r="AG33" i="68"/>
  <c r="AH11" i="69"/>
  <c r="AG11" i="69"/>
  <c r="AH42" i="69"/>
  <c r="AG42" i="69"/>
  <c r="AG28" i="69"/>
  <c r="AH28" i="69"/>
  <c r="AM32" i="68"/>
  <c r="AM49" i="69"/>
  <c r="AM37" i="69"/>
  <c r="AG26" i="68"/>
  <c r="AH26" i="68"/>
  <c r="AM20" i="69"/>
  <c r="AM47" i="69"/>
  <c r="AM31" i="68"/>
  <c r="AH8" i="68"/>
  <c r="AG8" i="68"/>
  <c r="AH54" i="68"/>
  <c r="AG54" i="68"/>
  <c r="AM27" i="68"/>
  <c r="AG18" i="68"/>
  <c r="AH18" i="68"/>
  <c r="AH45" i="69"/>
  <c r="AG45" i="69"/>
  <c r="AG15" i="68"/>
  <c r="AH15" i="68"/>
  <c r="AM38" i="68"/>
  <c r="AM36" i="69"/>
  <c r="AM27" i="69"/>
  <c r="AM40" i="68"/>
  <c r="AM29" i="68"/>
  <c r="AH13" i="68"/>
  <c r="AG13" i="68"/>
  <c r="AH61" i="68"/>
  <c r="AG61" i="68"/>
  <c r="AM16" i="68"/>
  <c r="AM31" i="69"/>
  <c r="AH23" i="68"/>
  <c r="AG23" i="68"/>
  <c r="AM40" i="66"/>
  <c r="AM52" i="68"/>
  <c r="AM16" i="69"/>
  <c r="AM35" i="68"/>
  <c r="AH44" i="69"/>
  <c r="AG44" i="69"/>
  <c r="AM21" i="69"/>
  <c r="AM22" i="68"/>
  <c r="AG23" i="69"/>
  <c r="AH23" i="69"/>
  <c r="AM53" i="69"/>
  <c r="AH17" i="68"/>
  <c r="AG17" i="68"/>
  <c r="AM21" i="68"/>
  <c r="AG38" i="69"/>
  <c r="AH38" i="69"/>
  <c r="AM54" i="66"/>
  <c r="AG25" i="69"/>
  <c r="AH25" i="69"/>
  <c r="AA10" i="70"/>
  <c r="U14" i="70"/>
  <c r="U5" i="70" s="1"/>
  <c r="R14" i="70"/>
  <c r="S12" i="70" s="1"/>
  <c r="AA13" i="70"/>
  <c r="P14" i="70"/>
  <c r="O5" i="70"/>
  <c r="P9" i="70"/>
  <c r="V14" i="70"/>
  <c r="S9" i="70"/>
  <c r="AA9" i="69"/>
  <c r="AA12" i="69"/>
  <c r="BD30" i="81"/>
  <c r="BC31" i="81"/>
  <c r="AA10" i="68"/>
  <c r="BI29" i="81"/>
  <c r="BH29" i="81"/>
  <c r="BG29" i="81"/>
  <c r="BF29" i="81"/>
  <c r="AA13" i="68"/>
  <c r="AA11" i="68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I52" i="5" s="1"/>
  <c r="Q13" i="9" s="1"/>
  <c r="BH46" i="5"/>
  <c r="BH52" i="5" s="1"/>
  <c r="BG46" i="5"/>
  <c r="BG52" i="5" s="1"/>
  <c r="BF46" i="5"/>
  <c r="BF52" i="5" s="1"/>
  <c r="BI45" i="5"/>
  <c r="BH45" i="5"/>
  <c r="BG45" i="5"/>
  <c r="BF45" i="5"/>
  <c r="BI44" i="5"/>
  <c r="BI51" i="5" s="1"/>
  <c r="Q12" i="9" s="1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I50" i="5" s="1"/>
  <c r="Q11" i="9" s="1"/>
  <c r="Q14" i="9" s="1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BI36" i="83" l="1"/>
  <c r="BF36" i="83"/>
  <c r="BG36" i="83"/>
  <c r="BH36" i="83"/>
  <c r="BD37" i="83"/>
  <c r="BC38" i="83"/>
  <c r="AA12" i="68"/>
  <c r="P8" i="70"/>
  <c r="P12" i="70"/>
  <c r="AA13" i="69"/>
  <c r="R14" i="69"/>
  <c r="S12" i="69" s="1"/>
  <c r="AA8" i="68"/>
  <c r="R14" i="68"/>
  <c r="S8" i="68" s="1"/>
  <c r="O14" i="68"/>
  <c r="P11" i="68" s="1"/>
  <c r="AA14" i="70"/>
  <c r="AA11" i="69"/>
  <c r="AA10" i="69"/>
  <c r="U14" i="68"/>
  <c r="U5" i="68" s="1"/>
  <c r="P11" i="70"/>
  <c r="S14" i="70"/>
  <c r="S8" i="70"/>
  <c r="S10" i="70"/>
  <c r="S11" i="70"/>
  <c r="S13" i="70"/>
  <c r="U14" i="69"/>
  <c r="V14" i="69" s="1"/>
  <c r="AA8" i="69"/>
  <c r="O14" i="69"/>
  <c r="P10" i="69" s="1"/>
  <c r="R5" i="70"/>
  <c r="S11" i="69"/>
  <c r="S9" i="69"/>
  <c r="S10" i="69"/>
  <c r="S14" i="69"/>
  <c r="R5" i="69"/>
  <c r="S8" i="69"/>
  <c r="AA14" i="68"/>
  <c r="S14" i="68"/>
  <c r="S10" i="68"/>
  <c r="R5" i="68"/>
  <c r="S12" i="68"/>
  <c r="P12" i="69"/>
  <c r="P8" i="69"/>
  <c r="P9" i="69"/>
  <c r="S9" i="68"/>
  <c r="S11" i="68"/>
  <c r="S13" i="68"/>
  <c r="BF30" i="81"/>
  <c r="BI30" i="81"/>
  <c r="BH30" i="81"/>
  <c r="BG30" i="81"/>
  <c r="BC32" i="81"/>
  <c r="BD31" i="81"/>
  <c r="U5" i="69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BH37" i="83" l="1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J4" i="58"/>
  <c r="AJ2" i="58" s="1"/>
  <c r="G3" i="58"/>
  <c r="AL2" i="58"/>
  <c r="AK2" i="58"/>
  <c r="E2" i="58"/>
  <c r="E3" i="58" s="1"/>
  <c r="A1" i="58"/>
  <c r="G57" i="60"/>
  <c r="BG38" i="83" l="1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E58" i="5" s="1"/>
  <c r="BD56" i="5"/>
  <c r="BD58" i="5" s="1"/>
  <c r="BC56" i="5"/>
  <c r="BC58" i="5" s="1"/>
  <c r="BB56" i="5"/>
  <c r="BE47" i="5"/>
  <c r="BD47" i="5"/>
  <c r="BC47" i="5"/>
  <c r="BB47" i="5"/>
  <c r="BE46" i="5"/>
  <c r="BE52" i="5" s="1"/>
  <c r="P13" i="9" s="1"/>
  <c r="BD46" i="5"/>
  <c r="BD52" i="5" s="1"/>
  <c r="BC46" i="5"/>
  <c r="BC52" i="5" s="1"/>
  <c r="BB46" i="5"/>
  <c r="BB52" i="5" s="1"/>
  <c r="BE45" i="5"/>
  <c r="BD45" i="5"/>
  <c r="BC45" i="5"/>
  <c r="BB45" i="5"/>
  <c r="BE44" i="5"/>
  <c r="BE51" i="5" s="1"/>
  <c r="P12" i="9" s="1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E50" i="5" s="1"/>
  <c r="P11" i="9" s="1"/>
  <c r="BD42" i="5"/>
  <c r="BD50" i="5" s="1"/>
  <c r="BC42" i="5"/>
  <c r="BC50" i="5" s="1"/>
  <c r="BB42" i="5"/>
  <c r="BB50" i="5" s="1"/>
  <c r="BE40" i="5"/>
  <c r="BD40" i="5"/>
  <c r="BC40" i="5"/>
  <c r="BB40" i="5"/>
  <c r="BW31" i="7"/>
  <c r="BW21" i="7"/>
  <c r="BW11" i="7"/>
  <c r="BW7" i="7"/>
  <c r="BF39" i="83" l="1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P14" i="9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I40" i="83" l="1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H41" i="83" l="1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K4" i="57"/>
  <c r="AJ4" i="57"/>
  <c r="AJ2" i="57" s="1"/>
  <c r="G3" i="57"/>
  <c r="AL2" i="57"/>
  <c r="AK2" i="57"/>
  <c r="E2" i="57"/>
  <c r="E3" i="57" s="1"/>
  <c r="A1" i="57"/>
  <c r="BG42" i="83" l="1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F43" i="83" l="1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I44" i="83" l="1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H45" i="83" l="1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47" i="83" l="1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49" i="83" l="1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G44" i="61"/>
  <c r="G47" i="64"/>
  <c r="G11" i="61"/>
  <c r="G47" i="61"/>
  <c r="G21" i="57"/>
  <c r="G62" i="63"/>
  <c r="G29" i="57"/>
  <c r="G53" i="60"/>
  <c r="AJ54" i="57"/>
  <c r="G21" i="60"/>
  <c r="AJ35" i="60"/>
  <c r="G48" i="57"/>
  <c r="G31" i="58"/>
  <c r="AJ43" i="61"/>
  <c r="AJ64" i="58"/>
  <c r="AJ40" i="63"/>
  <c r="AL31" i="66"/>
  <c r="AJ38" i="65"/>
  <c r="AJ42" i="60"/>
  <c r="AJ27" i="60"/>
  <c r="G11" i="58"/>
  <c r="G42" i="61"/>
  <c r="G57" i="57"/>
  <c r="G61" i="61"/>
  <c r="AJ20" i="63"/>
  <c r="AL36" i="66"/>
  <c r="G9" i="58"/>
  <c r="AJ32" i="57"/>
  <c r="AJ67" i="61"/>
  <c r="G12" i="64"/>
  <c r="G42" i="57"/>
  <c r="AJ56" i="64"/>
  <c r="G26" i="57"/>
  <c r="AK47" i="66"/>
  <c r="G47" i="65"/>
  <c r="G8" i="64"/>
  <c r="AJ22" i="61"/>
  <c r="G15" i="65"/>
  <c r="AJ40" i="61"/>
  <c r="G43" i="58"/>
  <c r="G51" i="58"/>
  <c r="G7" i="58"/>
  <c r="AL8" i="66"/>
  <c r="AJ50" i="63"/>
  <c r="AK28" i="66"/>
  <c r="AJ42" i="58"/>
  <c r="E45" i="66"/>
  <c r="G16" i="63"/>
  <c r="G52" i="61"/>
  <c r="G43" i="64"/>
  <c r="AJ42" i="61"/>
  <c r="G30" i="61"/>
  <c r="E6" i="63"/>
  <c r="G37" i="65"/>
  <c r="AJ44" i="57"/>
  <c r="AJ8" i="61"/>
  <c r="AJ14" i="58"/>
  <c r="G15" i="61"/>
  <c r="AJ63" i="60"/>
  <c r="G45" i="57"/>
  <c r="G20" i="65"/>
  <c r="G28" i="61"/>
  <c r="AL28" i="66"/>
  <c r="G50" i="65"/>
  <c r="AK10" i="66"/>
  <c r="G8" i="65"/>
  <c r="AJ63" i="63"/>
  <c r="AJ59" i="63"/>
  <c r="AJ39" i="58"/>
  <c r="AJ37" i="64"/>
  <c r="G32" i="58"/>
  <c r="AJ26" i="61"/>
  <c r="G41" i="63"/>
  <c r="G10" i="61"/>
  <c r="AJ61" i="61"/>
  <c r="G61" i="60"/>
  <c r="AK19" i="66"/>
  <c r="G15" i="58"/>
  <c r="G42" i="63"/>
  <c r="E27" i="66"/>
  <c r="AJ57" i="57"/>
  <c r="AJ17" i="60"/>
  <c r="G52" i="57"/>
  <c r="AJ10" i="60"/>
  <c r="AJ13" i="57"/>
  <c r="AJ32" i="65"/>
  <c r="AJ58" i="58"/>
  <c r="AL13" i="66"/>
  <c r="G11" i="65"/>
  <c r="AJ41" i="61"/>
  <c r="AJ30" i="57"/>
  <c r="G31" i="61"/>
  <c r="G38" i="61"/>
  <c r="AJ31" i="64"/>
  <c r="AL39" i="66"/>
  <c r="G39" i="57"/>
  <c r="AJ22" i="58"/>
  <c r="G19" i="58"/>
  <c r="G23" i="60"/>
  <c r="G40" i="63"/>
  <c r="AK45" i="58"/>
  <c r="E46" i="66"/>
  <c r="E10" i="66"/>
  <c r="AL10" i="66"/>
  <c r="AJ21" i="57"/>
  <c r="G21" i="64"/>
  <c r="G27" i="64"/>
  <c r="AJ59" i="57"/>
  <c r="G28" i="64"/>
  <c r="AJ37" i="65"/>
  <c r="AJ23" i="58"/>
  <c r="G55" i="65"/>
  <c r="G48" i="63"/>
  <c r="AL61" i="66"/>
  <c r="E6" i="64"/>
  <c r="AJ35" i="65"/>
  <c r="AJ15" i="58"/>
  <c r="AJ57" i="60"/>
  <c r="AJ46" i="63"/>
  <c r="G12" i="58"/>
  <c r="AJ8" i="65"/>
  <c r="G13" i="63"/>
  <c r="G21" i="61"/>
  <c r="AJ17" i="58"/>
  <c r="AK17" i="65"/>
  <c r="AK39" i="66"/>
  <c r="G25" i="60"/>
  <c r="AJ51" i="61"/>
  <c r="G50" i="58"/>
  <c r="AJ38" i="63"/>
  <c r="G22" i="61"/>
  <c r="AJ28" i="63"/>
  <c r="E6" i="60"/>
  <c r="G20" i="60"/>
  <c r="G20" i="57"/>
  <c r="AJ61" i="64"/>
  <c r="AL7" i="66"/>
  <c r="E43" i="66"/>
  <c r="AJ63" i="65"/>
  <c r="AJ57" i="63"/>
  <c r="G45" i="65"/>
  <c r="AJ56" i="61"/>
  <c r="AJ33" i="60"/>
  <c r="AJ54" i="64"/>
  <c r="G23" i="57"/>
  <c r="AJ37" i="60"/>
  <c r="AK51" i="66"/>
  <c r="AJ39" i="63"/>
  <c r="G47" i="60"/>
  <c r="AL16" i="66"/>
  <c r="G55" i="57"/>
  <c r="AK18" i="66"/>
  <c r="AJ9" i="57"/>
  <c r="AJ22" i="64"/>
  <c r="AJ45" i="57"/>
  <c r="G17" i="60"/>
  <c r="AJ37" i="58"/>
  <c r="G53" i="65"/>
  <c r="AK23" i="66"/>
  <c r="G17" i="65"/>
  <c r="G10" i="64"/>
  <c r="G38" i="57"/>
  <c r="G43" i="57"/>
  <c r="G56" i="60"/>
  <c r="AK41" i="65"/>
  <c r="AJ25" i="61"/>
  <c r="AJ55" i="65"/>
  <c r="G34" i="65"/>
  <c r="AL27" i="66"/>
  <c r="AJ23" i="61"/>
  <c r="G16" i="58"/>
  <c r="AL24" i="65"/>
  <c r="AJ15" i="60"/>
  <c r="AL21" i="66"/>
  <c r="G18" i="63"/>
  <c r="G40" i="65"/>
  <c r="AL26" i="66"/>
  <c r="G33" i="57"/>
  <c r="G19" i="61"/>
  <c r="AJ36" i="61"/>
  <c r="AJ17" i="61"/>
  <c r="G12" i="61"/>
  <c r="G44" i="57"/>
  <c r="G23" i="65"/>
  <c r="G30" i="63"/>
  <c r="AJ54" i="65"/>
  <c r="AK16" i="66"/>
  <c r="AJ7" i="60"/>
  <c r="G38" i="63"/>
  <c r="AJ44" i="65"/>
  <c r="AJ16" i="61"/>
  <c r="G51" i="64"/>
  <c r="G14" i="63"/>
  <c r="AJ21" i="60"/>
  <c r="G26" i="64"/>
  <c r="AL50" i="66"/>
  <c r="AJ34" i="63"/>
  <c r="AJ14" i="60"/>
  <c r="G27" i="61"/>
  <c r="G16" i="60"/>
  <c r="AJ21" i="65"/>
  <c r="AJ14" i="61"/>
  <c r="G39" i="58"/>
  <c r="AJ62" i="60"/>
  <c r="AK52" i="66"/>
  <c r="AJ45" i="60"/>
  <c r="G35" i="65"/>
  <c r="G20" i="61"/>
  <c r="AJ33" i="57"/>
  <c r="AJ34" i="60"/>
  <c r="AK13" i="66"/>
  <c r="G10" i="60"/>
  <c r="AJ35" i="63"/>
  <c r="AJ30" i="64"/>
  <c r="AJ67" i="63"/>
  <c r="AK20" i="66"/>
  <c r="AK53" i="66"/>
  <c r="AJ9" i="64"/>
  <c r="G36" i="63"/>
  <c r="G21" i="65"/>
  <c r="G11" i="60"/>
  <c r="AJ45" i="65"/>
  <c r="AJ47" i="64"/>
  <c r="G33" i="60"/>
  <c r="G46" i="64"/>
  <c r="AK42" i="66"/>
  <c r="G18" i="60"/>
  <c r="AK9" i="66"/>
  <c r="G18" i="61"/>
  <c r="G14" i="57"/>
  <c r="G27" i="63"/>
  <c r="G48" i="65"/>
  <c r="G41" i="57"/>
  <c r="G49" i="57"/>
  <c r="G31" i="60"/>
  <c r="G27" i="65"/>
  <c r="G20" i="58"/>
  <c r="AJ43" i="57"/>
  <c r="G40" i="61"/>
  <c r="AJ12" i="65"/>
  <c r="AJ47" i="60"/>
  <c r="E35" i="66"/>
  <c r="AJ65" i="57"/>
  <c r="AJ41" i="57"/>
  <c r="E6" i="61"/>
  <c r="AJ23" i="65"/>
  <c r="G36" i="64"/>
  <c r="G62" i="58"/>
  <c r="AJ36" i="63"/>
  <c r="G34" i="61"/>
  <c r="E38" i="66"/>
  <c r="AJ27" i="61"/>
  <c r="AJ63" i="58"/>
  <c r="G24" i="61"/>
  <c r="G23" i="63"/>
  <c r="AJ60" i="58"/>
  <c r="G16" i="61"/>
  <c r="E31" i="66"/>
  <c r="AJ36" i="60"/>
  <c r="G39" i="63"/>
  <c r="G11" i="64"/>
  <c r="AJ35" i="61"/>
  <c r="AJ53" i="58"/>
  <c r="AJ47" i="61"/>
  <c r="G45" i="64"/>
  <c r="G15" i="60"/>
  <c r="AL53" i="66"/>
  <c r="AJ43" i="64"/>
  <c r="G54" i="60"/>
  <c r="AJ48" i="60"/>
  <c r="AJ53" i="63"/>
  <c r="AJ67" i="57"/>
  <c r="AJ51" i="57"/>
  <c r="G62" i="60"/>
  <c r="AJ12" i="61"/>
  <c r="AJ21" i="61"/>
  <c r="G49" i="64"/>
  <c r="G33" i="63"/>
  <c r="AL45" i="66"/>
  <c r="G46" i="60"/>
  <c r="G30" i="57"/>
  <c r="E11" i="66"/>
  <c r="AJ63" i="57"/>
  <c r="G17" i="57"/>
  <c r="AJ59" i="60"/>
  <c r="AJ43" i="65"/>
  <c r="AK46" i="66"/>
  <c r="G24" i="63"/>
  <c r="G11" i="57"/>
  <c r="AJ61" i="60"/>
  <c r="AL45" i="58"/>
  <c r="AJ48" i="64"/>
  <c r="G46" i="58"/>
  <c r="AJ53" i="65"/>
  <c r="AJ51" i="58"/>
  <c r="AJ65" i="58"/>
  <c r="AJ7" i="64"/>
  <c r="G41" i="58"/>
  <c r="G52" i="63"/>
  <c r="G12" i="57"/>
  <c r="AJ13" i="65"/>
  <c r="E53" i="66"/>
  <c r="G61" i="65"/>
  <c r="AJ40" i="58"/>
  <c r="AK21" i="66"/>
  <c r="AJ50" i="60"/>
  <c r="AJ48" i="63"/>
  <c r="G49" i="63"/>
  <c r="G50" i="57"/>
  <c r="AJ18" i="57"/>
  <c r="G46" i="65"/>
  <c r="G49" i="61"/>
  <c r="AJ46" i="65"/>
  <c r="AJ49" i="57"/>
  <c r="AJ42" i="64"/>
  <c r="G53" i="58"/>
  <c r="AJ38" i="58"/>
  <c r="AJ39" i="60"/>
  <c r="AL18" i="66"/>
  <c r="G44" i="60"/>
  <c r="AJ56" i="57"/>
  <c r="AJ54" i="60"/>
  <c r="E25" i="66"/>
  <c r="E34" i="66"/>
  <c r="AJ57" i="65"/>
  <c r="AJ40" i="65"/>
  <c r="G25" i="58"/>
  <c r="G36" i="65"/>
  <c r="AJ25" i="64"/>
  <c r="AJ25" i="57"/>
  <c r="G10" i="57"/>
  <c r="G7" i="63"/>
  <c r="AJ19" i="60"/>
  <c r="G41" i="65"/>
  <c r="G19" i="63"/>
  <c r="G22" i="57"/>
  <c r="G13" i="57"/>
  <c r="AJ7" i="63"/>
  <c r="G12" i="63"/>
  <c r="AL20" i="66"/>
  <c r="G41" i="61"/>
  <c r="AJ10" i="58"/>
  <c r="AL35" i="66"/>
  <c r="AJ38" i="60"/>
  <c r="AL14" i="66"/>
  <c r="E40" i="66"/>
  <c r="AJ26" i="60"/>
  <c r="G43" i="61"/>
  <c r="AJ31" i="57"/>
  <c r="AJ29" i="64"/>
  <c r="AJ56" i="58"/>
  <c r="G19" i="57"/>
  <c r="AJ50" i="65"/>
  <c r="G46" i="63"/>
  <c r="G42" i="65"/>
  <c r="G30" i="60"/>
  <c r="E29" i="66"/>
  <c r="G12" i="60"/>
  <c r="AJ30" i="58"/>
  <c r="AJ33" i="65"/>
  <c r="AJ55" i="61"/>
  <c r="AJ38" i="64"/>
  <c r="G33" i="64"/>
  <c r="E14" i="66"/>
  <c r="G44" i="65"/>
  <c r="AJ11" i="57"/>
  <c r="G17" i="63"/>
  <c r="AJ14" i="57"/>
  <c r="G22" i="65"/>
  <c r="G14" i="60"/>
  <c r="AJ16" i="65"/>
  <c r="AJ29" i="65"/>
  <c r="AJ36" i="57"/>
  <c r="G18" i="57"/>
  <c r="AJ66" i="60"/>
  <c r="G44" i="64"/>
  <c r="G45" i="58"/>
  <c r="AJ65" i="60"/>
  <c r="AL11" i="66"/>
  <c r="G38" i="64"/>
  <c r="AK12" i="66"/>
  <c r="G61" i="63"/>
  <c r="AJ20" i="60"/>
  <c r="AJ39" i="64"/>
  <c r="AJ65" i="64"/>
  <c r="AL23" i="66"/>
  <c r="AJ30" i="63"/>
  <c r="AJ43" i="63"/>
  <c r="G9" i="60"/>
  <c r="G12" i="65"/>
  <c r="AJ56" i="60"/>
  <c r="G17" i="64"/>
  <c r="AK7" i="66"/>
  <c r="AJ61" i="65"/>
  <c r="AJ66" i="65"/>
  <c r="AJ60" i="61"/>
  <c r="AJ8" i="63"/>
  <c r="G14" i="58"/>
  <c r="AJ52" i="57"/>
  <c r="G25" i="63"/>
  <c r="AJ33" i="61"/>
  <c r="G35" i="64"/>
  <c r="AJ14" i="64"/>
  <c r="G40" i="60"/>
  <c r="G19" i="64"/>
  <c r="AJ11" i="64"/>
  <c r="AK20" i="65"/>
  <c r="AK8" i="66"/>
  <c r="AJ51" i="64"/>
  <c r="AJ60" i="63"/>
  <c r="G53" i="57"/>
  <c r="G53" i="64"/>
  <c r="G25" i="57"/>
  <c r="AJ29" i="61"/>
  <c r="G57" i="58"/>
  <c r="G44" i="58"/>
  <c r="G27" i="60"/>
  <c r="G10" i="65"/>
  <c r="AJ12" i="60"/>
  <c r="G39" i="61"/>
  <c r="AK49" i="66"/>
  <c r="AJ39" i="65"/>
  <c r="G37" i="58"/>
  <c r="AJ45" i="61"/>
  <c r="G35" i="57"/>
  <c r="G34" i="57"/>
  <c r="G29" i="63"/>
  <c r="AJ16" i="60"/>
  <c r="AK45" i="66"/>
  <c r="G36" i="58"/>
  <c r="G31" i="57"/>
  <c r="AJ10" i="63"/>
  <c r="AJ40" i="60"/>
  <c r="G43" i="60"/>
  <c r="AJ21" i="64"/>
  <c r="AJ28" i="57"/>
  <c r="AJ9" i="58"/>
  <c r="G43" i="63"/>
  <c r="AJ65" i="61"/>
  <c r="G61" i="57"/>
  <c r="G25" i="64"/>
  <c r="AJ31" i="58"/>
  <c r="G22" i="58"/>
  <c r="AJ66" i="58"/>
  <c r="G45" i="61"/>
  <c r="E12" i="66"/>
  <c r="G13" i="64"/>
  <c r="AK31" i="66"/>
  <c r="AJ8" i="64"/>
  <c r="AL17" i="65"/>
  <c r="G28" i="63"/>
  <c r="G50" i="60"/>
  <c r="AJ37" i="61"/>
  <c r="E20" i="66"/>
  <c r="G8" i="57"/>
  <c r="AJ52" i="65"/>
  <c r="AJ54" i="63"/>
  <c r="AJ52" i="64"/>
  <c r="E41" i="66"/>
  <c r="AJ48" i="65"/>
  <c r="AJ21" i="58"/>
  <c r="G9" i="64"/>
  <c r="AK48" i="66"/>
  <c r="AJ52" i="58"/>
  <c r="G29" i="65"/>
  <c r="AK17" i="66"/>
  <c r="AJ66" i="64"/>
  <c r="E19" i="66"/>
  <c r="AK37" i="66"/>
  <c r="G10" i="63"/>
  <c r="AK32" i="66"/>
  <c r="AJ41" i="63"/>
  <c r="G29" i="58"/>
  <c r="G23" i="64"/>
  <c r="G7" i="57"/>
  <c r="AJ51" i="60"/>
  <c r="AJ44" i="60"/>
  <c r="G39" i="65"/>
  <c r="AJ44" i="64"/>
  <c r="AJ37" i="57"/>
  <c r="AJ50" i="58"/>
  <c r="G16" i="65"/>
  <c r="AJ58" i="65"/>
  <c r="AJ41" i="58"/>
  <c r="AJ20" i="61"/>
  <c r="E23" i="66"/>
  <c r="G37" i="63"/>
  <c r="E48" i="66"/>
  <c r="G33" i="58"/>
  <c r="AL51" i="66"/>
  <c r="AJ48" i="58"/>
  <c r="AJ19" i="65"/>
  <c r="G28" i="60"/>
  <c r="AJ10" i="61"/>
  <c r="AL19" i="66"/>
  <c r="G15" i="64"/>
  <c r="AJ7" i="65"/>
  <c r="AJ62" i="65"/>
  <c r="AJ8" i="60"/>
  <c r="AL44" i="66"/>
  <c r="G17" i="61"/>
  <c r="G38" i="65"/>
  <c r="AJ55" i="64"/>
  <c r="G38" i="60"/>
  <c r="AJ29" i="58"/>
  <c r="AJ53" i="61"/>
  <c r="AJ25" i="63"/>
  <c r="G9" i="61"/>
  <c r="AJ46" i="60"/>
  <c r="E36" i="66"/>
  <c r="G55" i="61"/>
  <c r="E15" i="66"/>
  <c r="AJ43" i="58"/>
  <c r="G19" i="60"/>
  <c r="AJ25" i="65"/>
  <c r="G62" i="64"/>
  <c r="G8" i="58"/>
  <c r="AJ25" i="60"/>
  <c r="AJ32" i="63"/>
  <c r="AJ56" i="65"/>
  <c r="AK36" i="66"/>
  <c r="E30" i="66"/>
  <c r="AJ43" i="60"/>
  <c r="AJ49" i="60"/>
  <c r="G13" i="60"/>
  <c r="AJ32" i="58"/>
  <c r="G61" i="58"/>
  <c r="AJ17" i="57"/>
  <c r="AJ59" i="61"/>
  <c r="G50" i="64"/>
  <c r="AJ65" i="63"/>
  <c r="G29" i="64"/>
  <c r="AL15" i="66"/>
  <c r="AJ26" i="63"/>
  <c r="G55" i="63"/>
  <c r="AJ59" i="58"/>
  <c r="G30" i="58"/>
  <c r="AJ16" i="57"/>
  <c r="G54" i="64"/>
  <c r="AJ24" i="60"/>
  <c r="G37" i="64"/>
  <c r="AJ23" i="57"/>
  <c r="AJ23" i="64"/>
  <c r="AJ58" i="57"/>
  <c r="AJ52" i="63"/>
  <c r="G21" i="58"/>
  <c r="AJ44" i="63"/>
  <c r="G53" i="63"/>
  <c r="G24" i="57"/>
  <c r="AJ55" i="58"/>
  <c r="G49" i="58"/>
  <c r="G61" i="64"/>
  <c r="E49" i="66"/>
  <c r="G54" i="61"/>
  <c r="AL52" i="66"/>
  <c r="AJ8" i="58"/>
  <c r="AJ32" i="61"/>
  <c r="AJ64" i="61"/>
  <c r="G13" i="61"/>
  <c r="E42" i="66"/>
  <c r="AJ34" i="65"/>
  <c r="AJ27" i="64"/>
  <c r="AL12" i="66"/>
  <c r="AK38" i="66"/>
  <c r="G41" i="60"/>
  <c r="G46" i="61"/>
  <c r="AJ23" i="63"/>
  <c r="G15" i="57"/>
  <c r="AJ46" i="64"/>
  <c r="G54" i="57"/>
  <c r="AJ26" i="57"/>
  <c r="G48" i="61"/>
  <c r="G24" i="60"/>
  <c r="AJ30" i="65"/>
  <c r="AJ45" i="63"/>
  <c r="AJ12" i="57"/>
  <c r="E61" i="66"/>
  <c r="AJ24" i="58"/>
  <c r="AJ57" i="58"/>
  <c r="G8" i="60"/>
  <c r="AJ13" i="64"/>
  <c r="AJ67" i="65"/>
  <c r="AJ55" i="63"/>
  <c r="G39" i="64"/>
  <c r="AJ54" i="61"/>
  <c r="G36" i="61"/>
  <c r="G56" i="58"/>
  <c r="G51" i="63"/>
  <c r="AJ15" i="64"/>
  <c r="AJ37" i="63"/>
  <c r="E17" i="66"/>
  <c r="G28" i="65"/>
  <c r="G47" i="58"/>
  <c r="AJ49" i="61"/>
  <c r="AJ28" i="64"/>
  <c r="AL17" i="66"/>
  <c r="G62" i="65"/>
  <c r="G46" i="57"/>
  <c r="AJ31" i="63"/>
  <c r="AJ62" i="61"/>
  <c r="AJ46" i="58"/>
  <c r="AJ33" i="64"/>
  <c r="G26" i="60"/>
  <c r="AJ44" i="58"/>
  <c r="AJ27" i="65"/>
  <c r="AJ24" i="57"/>
  <c r="AJ47" i="58"/>
  <c r="AJ47" i="65"/>
  <c r="AJ60" i="64"/>
  <c r="AJ64" i="65"/>
  <c r="G44" i="63"/>
  <c r="AJ47" i="57"/>
  <c r="G47" i="57"/>
  <c r="E44" i="66"/>
  <c r="G48" i="60"/>
  <c r="AJ19" i="61"/>
  <c r="G34" i="60"/>
  <c r="G14" i="64"/>
  <c r="AJ13" i="58"/>
  <c r="G36" i="60"/>
  <c r="G28" i="58"/>
  <c r="AK30" i="66"/>
  <c r="AJ15" i="65"/>
  <c r="AJ48" i="61"/>
  <c r="G36" i="57"/>
  <c r="AJ12" i="63"/>
  <c r="G40" i="64"/>
  <c r="G42" i="64"/>
  <c r="AJ15" i="63"/>
  <c r="G7" i="61"/>
  <c r="AJ65" i="65"/>
  <c r="AJ60" i="65"/>
  <c r="G33" i="65"/>
  <c r="G62" i="61"/>
  <c r="G11" i="63"/>
  <c r="AJ10" i="57"/>
  <c r="AJ47" i="63"/>
  <c r="AJ10" i="65"/>
  <c r="G8" i="63"/>
  <c r="G7" i="65"/>
  <c r="AJ66" i="57"/>
  <c r="AJ41" i="60"/>
  <c r="AJ28" i="61"/>
  <c r="E47" i="66"/>
  <c r="AJ49" i="63"/>
  <c r="AJ9" i="65"/>
  <c r="G37" i="61"/>
  <c r="AJ8" i="57"/>
  <c r="AJ53" i="57"/>
  <c r="AJ58" i="64"/>
  <c r="AL34" i="66"/>
  <c r="G52" i="58"/>
  <c r="AL22" i="66"/>
  <c r="AJ67" i="64"/>
  <c r="AJ61" i="57"/>
  <c r="AJ51" i="63"/>
  <c r="G22" i="60"/>
  <c r="G22" i="64"/>
  <c r="AJ32" i="64"/>
  <c r="AJ61" i="58"/>
  <c r="AJ42" i="57"/>
  <c r="G26" i="65"/>
  <c r="AJ63" i="64"/>
  <c r="AK26" i="66"/>
  <c r="G19" i="65"/>
  <c r="G13" i="58"/>
  <c r="G51" i="60"/>
  <c r="G16" i="57"/>
  <c r="AJ15" i="57"/>
  <c r="E13" i="66"/>
  <c r="G34" i="64"/>
  <c r="G55" i="58"/>
  <c r="G31" i="65"/>
  <c r="G14" i="61"/>
  <c r="AJ55" i="57"/>
  <c r="AK15" i="66"/>
  <c r="AJ36" i="64"/>
  <c r="AJ12" i="58"/>
  <c r="G38" i="58"/>
  <c r="AJ31" i="61"/>
  <c r="AL29" i="66"/>
  <c r="AJ33" i="58"/>
  <c r="AJ22" i="60"/>
  <c r="G48" i="58"/>
  <c r="AL46" i="66"/>
  <c r="AJ26" i="64"/>
  <c r="AJ14" i="63"/>
  <c r="AJ42" i="65"/>
  <c r="AJ61" i="63"/>
  <c r="AK34" i="66"/>
  <c r="AJ67" i="58"/>
  <c r="AJ18" i="58"/>
  <c r="AJ19" i="57"/>
  <c r="G26" i="63"/>
  <c r="G23" i="58"/>
  <c r="G30" i="65"/>
  <c r="AJ14" i="65"/>
  <c r="AJ60" i="60"/>
  <c r="AJ34" i="61"/>
  <c r="G30" i="64"/>
  <c r="G22" i="63"/>
  <c r="E51" i="66"/>
  <c r="G52" i="64"/>
  <c r="AJ9" i="61"/>
  <c r="G26" i="61"/>
  <c r="E6" i="57"/>
  <c r="G35" i="61"/>
  <c r="G32" i="57"/>
  <c r="AL43" i="66"/>
  <c r="AJ18" i="60"/>
  <c r="AJ18" i="65"/>
  <c r="G7" i="60"/>
  <c r="AJ60" i="57"/>
  <c r="AL9" i="66"/>
  <c r="AL37" i="66"/>
  <c r="AJ35" i="64"/>
  <c r="AK22" i="66"/>
  <c r="AJ17" i="64"/>
  <c r="AJ28" i="58"/>
  <c r="AJ50" i="57"/>
  <c r="G32" i="65"/>
  <c r="G21" i="63"/>
  <c r="G24" i="65"/>
  <c r="AJ46" i="61"/>
  <c r="G37" i="57"/>
  <c r="AJ39" i="61"/>
  <c r="AJ13" i="63"/>
  <c r="AJ35" i="58"/>
  <c r="AJ27" i="57"/>
  <c r="AJ62" i="64"/>
  <c r="AJ48" i="57"/>
  <c r="AL49" i="66"/>
  <c r="AJ28" i="65"/>
  <c r="AJ44" i="61"/>
  <c r="AL41" i="66"/>
  <c r="AL47" i="66"/>
  <c r="AJ53" i="64"/>
  <c r="AJ45" i="64"/>
  <c r="AJ24" i="61"/>
  <c r="AJ49" i="58"/>
  <c r="G25" i="61"/>
  <c r="AK27" i="66"/>
  <c r="AJ59" i="64"/>
  <c r="AJ50" i="61"/>
  <c r="G29" i="61"/>
  <c r="AJ56" i="63"/>
  <c r="AJ28" i="60"/>
  <c r="AJ7" i="57"/>
  <c r="AJ31" i="60"/>
  <c r="G29" i="60"/>
  <c r="AK11" i="66"/>
  <c r="AJ39" i="57"/>
  <c r="AJ11" i="61"/>
  <c r="AJ30" i="61"/>
  <c r="AJ18" i="63"/>
  <c r="AJ50" i="64"/>
  <c r="AJ36" i="65"/>
  <c r="AJ34" i="64"/>
  <c r="E6" i="58"/>
  <c r="AJ49" i="65"/>
  <c r="AJ7" i="58"/>
  <c r="G40" i="57"/>
  <c r="AJ46" i="57"/>
  <c r="G8" i="61"/>
  <c r="AJ19" i="63"/>
  <c r="G55" i="64"/>
  <c r="AJ29" i="57"/>
  <c r="AJ12" i="64"/>
  <c r="G45" i="63"/>
  <c r="AL38" i="66"/>
  <c r="G54" i="63"/>
  <c r="G47" i="63"/>
  <c r="AL48" i="66"/>
  <c r="G28" i="57"/>
  <c r="AJ29" i="60"/>
  <c r="G20" i="64"/>
  <c r="AJ63" i="61"/>
  <c r="AJ54" i="58"/>
  <c r="G31" i="63"/>
  <c r="E52" i="66"/>
  <c r="AJ38" i="57"/>
  <c r="G13" i="65"/>
  <c r="AJ11" i="60"/>
  <c r="AJ11" i="58"/>
  <c r="AJ52" i="61"/>
  <c r="G54" i="58"/>
  <c r="AJ64" i="64"/>
  <c r="AJ55" i="60"/>
  <c r="G35" i="63"/>
  <c r="AK25" i="66"/>
  <c r="G49" i="60"/>
  <c r="G39" i="60"/>
  <c r="AJ10" i="64"/>
  <c r="AJ20" i="57"/>
  <c r="G43" i="65"/>
  <c r="G50" i="63"/>
  <c r="AJ16" i="63"/>
  <c r="AJ38" i="61"/>
  <c r="AJ29" i="63"/>
  <c r="AJ9" i="63"/>
  <c r="AJ31" i="65"/>
  <c r="AK41" i="66"/>
  <c r="AJ62" i="58"/>
  <c r="G56" i="57"/>
  <c r="E21" i="66"/>
  <c r="AJ33" i="63"/>
  <c r="G50" i="61"/>
  <c r="G48" i="64"/>
  <c r="G32" i="64"/>
  <c r="G18" i="65"/>
  <c r="E16" i="66"/>
  <c r="AK22" i="65"/>
  <c r="AK29" i="66"/>
  <c r="AJ57" i="61"/>
  <c r="AJ58" i="63"/>
  <c r="G42" i="58"/>
  <c r="G14" i="65"/>
  <c r="AJ49" i="64"/>
  <c r="G32" i="63"/>
  <c r="AJ32" i="60"/>
  <c r="AJ20" i="64"/>
  <c r="AJ41" i="64"/>
  <c r="G9" i="57"/>
  <c r="AK24" i="65"/>
  <c r="AJ9" i="60"/>
  <c r="G17" i="58"/>
  <c r="AJ59" i="65"/>
  <c r="AJ19" i="58"/>
  <c r="G18" i="64"/>
  <c r="E50" i="66"/>
  <c r="AL41" i="65"/>
  <c r="AK35" i="66"/>
  <c r="AJ11" i="65"/>
  <c r="AJ18" i="61"/>
  <c r="AL30" i="66"/>
  <c r="AJ15" i="61"/>
  <c r="AJ30" i="60"/>
  <c r="AJ36" i="58"/>
  <c r="AJ51" i="65"/>
  <c r="AL25" i="66"/>
  <c r="G37" i="60"/>
  <c r="AJ16" i="64"/>
  <c r="G54" i="65"/>
  <c r="AJ40" i="57"/>
  <c r="G62" i="57"/>
  <c r="G40" i="58"/>
  <c r="AJ20" i="58"/>
  <c r="G7" i="64"/>
  <c r="G55" i="60"/>
  <c r="G23" i="61"/>
  <c r="AL32" i="66"/>
  <c r="AJ26" i="58"/>
  <c r="AJ64" i="57"/>
  <c r="AJ58" i="60"/>
  <c r="G27" i="58"/>
  <c r="AJ25" i="58"/>
  <c r="E39" i="66"/>
  <c r="AK44" i="66"/>
  <c r="AJ23" i="60"/>
  <c r="AJ66" i="63"/>
  <c r="G10" i="58"/>
  <c r="AK24" i="66"/>
  <c r="AK14" i="66"/>
  <c r="AJ22" i="57"/>
  <c r="AJ19" i="64"/>
  <c r="G18" i="58"/>
  <c r="G49" i="65"/>
  <c r="AJ57" i="64"/>
  <c r="G25" i="65"/>
  <c r="G35" i="58"/>
  <c r="G34" i="63"/>
  <c r="G32" i="61"/>
  <c r="AK61" i="66"/>
  <c r="G34" i="58"/>
  <c r="G41" i="64"/>
  <c r="AK50" i="66"/>
  <c r="AJ67" i="60"/>
  <c r="AJ11" i="63"/>
  <c r="AJ7" i="61"/>
  <c r="G32" i="60"/>
  <c r="AK43" i="66"/>
  <c r="AL24" i="66"/>
  <c r="AJ40" i="64"/>
  <c r="G24" i="58"/>
  <c r="AJ35" i="57"/>
  <c r="G33" i="61"/>
  <c r="G9" i="63"/>
  <c r="AL42" i="66"/>
  <c r="AJ62" i="57"/>
  <c r="AJ18" i="64"/>
  <c r="G27" i="57"/>
  <c r="G51" i="61"/>
  <c r="E37" i="66"/>
  <c r="AJ21" i="63"/>
  <c r="AJ66" i="61"/>
  <c r="G51" i="57"/>
  <c r="AJ64" i="60"/>
  <c r="G26" i="58"/>
  <c r="AJ16" i="58"/>
  <c r="AJ64" i="63"/>
  <c r="AJ53" i="60"/>
  <c r="AJ24" i="63"/>
  <c r="AJ34" i="57"/>
  <c r="G16" i="64"/>
  <c r="G52" i="60"/>
  <c r="AJ17" i="63"/>
  <c r="AJ42" i="63"/>
  <c r="AL22" i="65"/>
  <c r="AL20" i="65"/>
  <c r="G53" i="61"/>
  <c r="AJ27" i="63"/>
  <c r="G31" i="64"/>
  <c r="G51" i="65"/>
  <c r="G20" i="63"/>
  <c r="AJ58" i="61"/>
  <c r="G42" i="60"/>
  <c r="G35" i="60"/>
  <c r="AJ27" i="58"/>
  <c r="AJ13" i="60"/>
  <c r="G52" i="65"/>
  <c r="E33" i="66"/>
  <c r="AJ26" i="65"/>
  <c r="AJ22" i="63"/>
  <c r="G24" i="64"/>
  <c r="AJ52" i="60"/>
  <c r="AJ34" i="58"/>
  <c r="G45" i="60"/>
  <c r="AJ13" i="61"/>
  <c r="AJ24" i="64"/>
  <c r="G15" i="63"/>
  <c r="AJ62" i="63"/>
  <c r="G9" i="65"/>
  <c r="AO7" i="7"/>
  <c r="AX7" i="7"/>
  <c r="AX11" i="7"/>
  <c r="BI48" i="83" l="1"/>
  <c r="BH48" i="83"/>
  <c r="BF48" i="83"/>
  <c r="BG48" i="83"/>
  <c r="BD49" i="83"/>
  <c r="BC50" i="83"/>
  <c r="AL58" i="61"/>
  <c r="AK58" i="61"/>
  <c r="AM58" i="61" s="1"/>
  <c r="AG20" i="65"/>
  <c r="AH20" i="65"/>
  <c r="AG22" i="65"/>
  <c r="AH22" i="65"/>
  <c r="AK64" i="63"/>
  <c r="AM64" i="63" s="1"/>
  <c r="AL64" i="63"/>
  <c r="AK64" i="60"/>
  <c r="AM64" i="60" s="1"/>
  <c r="AL64" i="60"/>
  <c r="AK66" i="61"/>
  <c r="AM66" i="61" s="1"/>
  <c r="AL66" i="61"/>
  <c r="AG42" i="66"/>
  <c r="AH42" i="66"/>
  <c r="AH24" i="66"/>
  <c r="AG24" i="66"/>
  <c r="AM43" i="66"/>
  <c r="AK67" i="60"/>
  <c r="AM67" i="60" s="1"/>
  <c r="AL67" i="60"/>
  <c r="AM50" i="66"/>
  <c r="AM61" i="66"/>
  <c r="AK57" i="64"/>
  <c r="AM57" i="64" s="1"/>
  <c r="AL57" i="64"/>
  <c r="AM14" i="66"/>
  <c r="AM24" i="66"/>
  <c r="AK66" i="63"/>
  <c r="AM66" i="63" s="1"/>
  <c r="AL66" i="63"/>
  <c r="AM44" i="66"/>
  <c r="AL58" i="60"/>
  <c r="AK58" i="60"/>
  <c r="AM58" i="60" s="1"/>
  <c r="AK64" i="57"/>
  <c r="AM64" i="57" s="1"/>
  <c r="AL64" i="57"/>
  <c r="AG32" i="66"/>
  <c r="AH32" i="66"/>
  <c r="AG25" i="66"/>
  <c r="AH25" i="66"/>
  <c r="AH30" i="66"/>
  <c r="AG30" i="66"/>
  <c r="AM35" i="66"/>
  <c r="AG41" i="65"/>
  <c r="AH41" i="65"/>
  <c r="AL59" i="65"/>
  <c r="AK59" i="65"/>
  <c r="AM59" i="65" s="1"/>
  <c r="AM24" i="65"/>
  <c r="AL58" i="63"/>
  <c r="AK58" i="63"/>
  <c r="AM58" i="63" s="1"/>
  <c r="AL57" i="61"/>
  <c r="AK57" i="61"/>
  <c r="AM57" i="61" s="1"/>
  <c r="AM29" i="66"/>
  <c r="AM22" i="65"/>
  <c r="AM41" i="66"/>
  <c r="AM25" i="66"/>
  <c r="AK64" i="64"/>
  <c r="AM64" i="64" s="1"/>
  <c r="AL64" i="64"/>
  <c r="AK63" i="61"/>
  <c r="AM63" i="61" s="1"/>
  <c r="AL63" i="61"/>
  <c r="AG48" i="66"/>
  <c r="AH48" i="66"/>
  <c r="AG38" i="66"/>
  <c r="AH38" i="66"/>
  <c r="AM11" i="66"/>
  <c r="AK56" i="63"/>
  <c r="AM56" i="63" s="1"/>
  <c r="AL56" i="63"/>
  <c r="AK59" i="64"/>
  <c r="AM59" i="64" s="1"/>
  <c r="AL59" i="64"/>
  <c r="AM27" i="66"/>
  <c r="AH47" i="66"/>
  <c r="AG47" i="66"/>
  <c r="AG41" i="66"/>
  <c r="AH41" i="66"/>
  <c r="AG49" i="66"/>
  <c r="AH49" i="66"/>
  <c r="AM22" i="66"/>
  <c r="AH37" i="66"/>
  <c r="AG37" i="66"/>
  <c r="AG9" i="66"/>
  <c r="AH9" i="66"/>
  <c r="AK60" i="57"/>
  <c r="AM60" i="57" s="1"/>
  <c r="AL60" i="57"/>
  <c r="AG43" i="66"/>
  <c r="AH43" i="66"/>
  <c r="AL60" i="60"/>
  <c r="AK60" i="60"/>
  <c r="AM60" i="60" s="1"/>
  <c r="AK67" i="58"/>
  <c r="AM67" i="58" s="1"/>
  <c r="AL67" i="58"/>
  <c r="AM34" i="66"/>
  <c r="AG46" i="66"/>
  <c r="AH46" i="66"/>
  <c r="AH29" i="66"/>
  <c r="AG29" i="66"/>
  <c r="AM15" i="66"/>
  <c r="AM26" i="66"/>
  <c r="AL63" i="64"/>
  <c r="AK63" i="64"/>
  <c r="AM63" i="64" s="1"/>
  <c r="AL67" i="64"/>
  <c r="AK67" i="64"/>
  <c r="AM67" i="64" s="1"/>
  <c r="AH22" i="66"/>
  <c r="AG22" i="66"/>
  <c r="AG34" i="66"/>
  <c r="AH34" i="66"/>
  <c r="AK58" i="64"/>
  <c r="AM58" i="64" s="1"/>
  <c r="AL58" i="64"/>
  <c r="AL66" i="57"/>
  <c r="AK66" i="57"/>
  <c r="AM66" i="57" s="1"/>
  <c r="AL60" i="65"/>
  <c r="AK60" i="65"/>
  <c r="AM60" i="65" s="1"/>
  <c r="AL65" i="65"/>
  <c r="AK65" i="65"/>
  <c r="AM65" i="65" s="1"/>
  <c r="AM30" i="66"/>
  <c r="AK64" i="65"/>
  <c r="AM64" i="65" s="1"/>
  <c r="AL64" i="65"/>
  <c r="AK60" i="64"/>
  <c r="AM60" i="64" s="1"/>
  <c r="AL60" i="64"/>
  <c r="AG17" i="66"/>
  <c r="AH17" i="66"/>
  <c r="AK67" i="65"/>
  <c r="AM67" i="65" s="1"/>
  <c r="AL67" i="65"/>
  <c r="AM38" i="66"/>
  <c r="AH12" i="66"/>
  <c r="AG12" i="66"/>
  <c r="AK64" i="61"/>
  <c r="AM64" i="61" s="1"/>
  <c r="AL64" i="61"/>
  <c r="AG52" i="66"/>
  <c r="AH52" i="66"/>
  <c r="AK58" i="57"/>
  <c r="AM58" i="57" s="1"/>
  <c r="AL58" i="57"/>
  <c r="AK59" i="58"/>
  <c r="AM59" i="58" s="1"/>
  <c r="AL59" i="58"/>
  <c r="AH15" i="66"/>
  <c r="AG15" i="66"/>
  <c r="AL65" i="63"/>
  <c r="AK65" i="63"/>
  <c r="AM65" i="63" s="1"/>
  <c r="AK59" i="61"/>
  <c r="AM59" i="61" s="1"/>
  <c r="AL59" i="61"/>
  <c r="AM36" i="66"/>
  <c r="AL56" i="65"/>
  <c r="AK56" i="65"/>
  <c r="AM56" i="65" s="1"/>
  <c r="AG44" i="66"/>
  <c r="AH44" i="66"/>
  <c r="AG19" i="66"/>
  <c r="AH19" i="66"/>
  <c r="AG51" i="66"/>
  <c r="AH51" i="66"/>
  <c r="AK58" i="65"/>
  <c r="AM58" i="65" s="1"/>
  <c r="AL58" i="65"/>
  <c r="AM32" i="66"/>
  <c r="AM37" i="66"/>
  <c r="AK66" i="64"/>
  <c r="AM66" i="64" s="1"/>
  <c r="AL66" i="64"/>
  <c r="AM17" i="66"/>
  <c r="AM48" i="66"/>
  <c r="AG17" i="65"/>
  <c r="AH17" i="65"/>
  <c r="AM31" i="66"/>
  <c r="AL66" i="58"/>
  <c r="AK66" i="58"/>
  <c r="AM66" i="58" s="1"/>
  <c r="AL65" i="61"/>
  <c r="AK65" i="61"/>
  <c r="AM65" i="61" s="1"/>
  <c r="AM45" i="66"/>
  <c r="AM49" i="66"/>
  <c r="AL60" i="63"/>
  <c r="AK60" i="63"/>
  <c r="AM60" i="63" s="1"/>
  <c r="AM8" i="66"/>
  <c r="AM20" i="65"/>
  <c r="AK60" i="61"/>
  <c r="AM60" i="61" s="1"/>
  <c r="AL60" i="61"/>
  <c r="AL66" i="65"/>
  <c r="AK66" i="65"/>
  <c r="AM66" i="65" s="1"/>
  <c r="AM7" i="66"/>
  <c r="AG23" i="66"/>
  <c r="AH23" i="66"/>
  <c r="AL65" i="64"/>
  <c r="AK65" i="64"/>
  <c r="AM65" i="64" s="1"/>
  <c r="AM12" i="66"/>
  <c r="AG11" i="66"/>
  <c r="AH11" i="66"/>
  <c r="AK65" i="60"/>
  <c r="AM65" i="60" s="1"/>
  <c r="AL65" i="60"/>
  <c r="AL66" i="60"/>
  <c r="AK66" i="60"/>
  <c r="AM66" i="60" s="1"/>
  <c r="AG14" i="66"/>
  <c r="AH14" i="66"/>
  <c r="AG35" i="66"/>
  <c r="AH35" i="66"/>
  <c r="AG20" i="66"/>
  <c r="AH20" i="66"/>
  <c r="AK57" i="65"/>
  <c r="AM57" i="65" s="1"/>
  <c r="AL57" i="65"/>
  <c r="AH18" i="66"/>
  <c r="AG18" i="66"/>
  <c r="AM21" i="66"/>
  <c r="AK65" i="58"/>
  <c r="AM65" i="58" s="1"/>
  <c r="AL65" i="58"/>
  <c r="AH45" i="58"/>
  <c r="AG45" i="58"/>
  <c r="AM46" i="66"/>
  <c r="AL59" i="60"/>
  <c r="AK59" i="60"/>
  <c r="AM59" i="60" s="1"/>
  <c r="AL63" i="57"/>
  <c r="AK63" i="57"/>
  <c r="AM63" i="57" s="1"/>
  <c r="AG45" i="66"/>
  <c r="AH45" i="66"/>
  <c r="AK67" i="57"/>
  <c r="AM67" i="57" s="1"/>
  <c r="AL67" i="57"/>
  <c r="AH53" i="66"/>
  <c r="AG53" i="66"/>
  <c r="AK60" i="58"/>
  <c r="AM60" i="58" s="1"/>
  <c r="AL60" i="58"/>
  <c r="AL63" i="58"/>
  <c r="AK63" i="58"/>
  <c r="AM63" i="58" s="1"/>
  <c r="AL65" i="57"/>
  <c r="AK65" i="57"/>
  <c r="AM65" i="57" s="1"/>
  <c r="AM9" i="66"/>
  <c r="AM42" i="66"/>
  <c r="AM53" i="66"/>
  <c r="AM20" i="66"/>
  <c r="AK67" i="63"/>
  <c r="AM67" i="63" s="1"/>
  <c r="AL67" i="63"/>
  <c r="AM13" i="66"/>
  <c r="AM52" i="66"/>
  <c r="AG50" i="66"/>
  <c r="AH50" i="66"/>
  <c r="AM16" i="66"/>
  <c r="AG26" i="66"/>
  <c r="AH26" i="66"/>
  <c r="AG21" i="66"/>
  <c r="AH21" i="66"/>
  <c r="AH24" i="65"/>
  <c r="AG24" i="65"/>
  <c r="AH27" i="66"/>
  <c r="AG27" i="66"/>
  <c r="AM41" i="65"/>
  <c r="AM23" i="66"/>
  <c r="AM18" i="66"/>
  <c r="AG16" i="66"/>
  <c r="AH16" i="66"/>
  <c r="AM51" i="66"/>
  <c r="AL56" i="61"/>
  <c r="AK56" i="61"/>
  <c r="AM56" i="61" s="1"/>
  <c r="AL57" i="63"/>
  <c r="AK57" i="63"/>
  <c r="AM57" i="63" s="1"/>
  <c r="AL63" i="65"/>
  <c r="AK63" i="65"/>
  <c r="AM63" i="65" s="1"/>
  <c r="AH7" i="66"/>
  <c r="AG7" i="66"/>
  <c r="AM39" i="66"/>
  <c r="AM17" i="65"/>
  <c r="AL57" i="60"/>
  <c r="AK57" i="60"/>
  <c r="AM57" i="60" s="1"/>
  <c r="AH61" i="66"/>
  <c r="AG61" i="66"/>
  <c r="AK59" i="57"/>
  <c r="AM59" i="57" s="1"/>
  <c r="AL59" i="57"/>
  <c r="AG10" i="66"/>
  <c r="AH10" i="66"/>
  <c r="R11" i="66"/>
  <c r="R16" i="66" a="1"/>
  <c r="R16" i="66" s="1"/>
  <c r="R12" i="66"/>
  <c r="R8" i="66"/>
  <c r="R9" i="66"/>
  <c r="O11" i="66"/>
  <c r="U8" i="66"/>
  <c r="V8" i="66" s="1"/>
  <c r="O10" i="66"/>
  <c r="U9" i="66"/>
  <c r="V9" i="66" s="1"/>
  <c r="U13" i="66"/>
  <c r="V13" i="66" s="1"/>
  <c r="U11" i="66"/>
  <c r="V11" i="66" s="1"/>
  <c r="O16" i="66" a="1"/>
  <c r="O16" i="66" s="1"/>
  <c r="O13" i="66"/>
  <c r="P13" i="66" s="1"/>
  <c r="U16" i="66" a="1"/>
  <c r="U16" i="66" s="1"/>
  <c r="U12" i="66"/>
  <c r="V12" i="66" s="1"/>
  <c r="O8" i="66"/>
  <c r="AA8" i="66" s="1"/>
  <c r="R10" i="66"/>
  <c r="R13" i="66"/>
  <c r="AA13" i="66" s="1"/>
  <c r="O12" i="66"/>
  <c r="O9" i="66"/>
  <c r="U10" i="66"/>
  <c r="V10" i="66" s="1"/>
  <c r="AM45" i="58"/>
  <c r="AH39" i="66"/>
  <c r="AG39" i="66"/>
  <c r="AG13" i="66"/>
  <c r="AH13" i="66"/>
  <c r="AK58" i="58"/>
  <c r="AM58" i="58" s="1"/>
  <c r="AL58" i="58"/>
  <c r="AM19" i="66"/>
  <c r="AK59" i="63"/>
  <c r="AM59" i="63" s="1"/>
  <c r="AL59" i="63"/>
  <c r="AL63" i="63"/>
  <c r="AK63" i="63"/>
  <c r="AM63" i="63" s="1"/>
  <c r="AM10" i="66"/>
  <c r="AG28" i="66"/>
  <c r="AH28" i="66"/>
  <c r="AK63" i="60"/>
  <c r="AM63" i="60" s="1"/>
  <c r="AL63" i="60"/>
  <c r="AM28" i="66"/>
  <c r="AH8" i="66"/>
  <c r="AG8" i="66"/>
  <c r="AM47" i="66"/>
  <c r="AK56" i="64"/>
  <c r="AM56" i="64" s="1"/>
  <c r="AL56" i="64"/>
  <c r="AK67" i="61"/>
  <c r="AM67" i="61" s="1"/>
  <c r="AL67" i="61"/>
  <c r="AH36" i="66"/>
  <c r="AG36" i="66"/>
  <c r="AH31" i="66"/>
  <c r="AG31" i="66"/>
  <c r="AK64" i="58"/>
  <c r="AM64" i="58" s="1"/>
  <c r="AL64" i="58"/>
  <c r="BI42" i="81"/>
  <c r="BF42" i="81"/>
  <c r="BH42" i="81"/>
  <c r="BG42" i="81"/>
  <c r="BC44" i="81"/>
  <c r="BD43" i="81"/>
  <c r="AA12" i="66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E9" i="65"/>
  <c r="AL24" i="64"/>
  <c r="E45" i="60"/>
  <c r="AK52" i="60"/>
  <c r="AK26" i="65"/>
  <c r="AK13" i="60"/>
  <c r="E42" i="60"/>
  <c r="E51" i="65"/>
  <c r="E53" i="61"/>
  <c r="AK17" i="63"/>
  <c r="AL34" i="57"/>
  <c r="AL53" i="60"/>
  <c r="AK16" i="58"/>
  <c r="E51" i="57"/>
  <c r="AK21" i="63"/>
  <c r="AL18" i="64"/>
  <c r="AK35" i="57"/>
  <c r="AK7" i="61"/>
  <c r="E34" i="58"/>
  <c r="E35" i="58"/>
  <c r="E49" i="65"/>
  <c r="AL22" i="57"/>
  <c r="E10" i="58"/>
  <c r="AL23" i="60"/>
  <c r="E27" i="58"/>
  <c r="AK20" i="58"/>
  <c r="AK40" i="57"/>
  <c r="AK16" i="64"/>
  <c r="AL51" i="65"/>
  <c r="AL30" i="60"/>
  <c r="AK11" i="65"/>
  <c r="AK9" i="60"/>
  <c r="AK41" i="64"/>
  <c r="AL32" i="60"/>
  <c r="E14" i="65"/>
  <c r="E18" i="65"/>
  <c r="AK33" i="63"/>
  <c r="AK62" i="58"/>
  <c r="AL9" i="63"/>
  <c r="AL38" i="61"/>
  <c r="E50" i="63"/>
  <c r="AL10" i="64"/>
  <c r="AL52" i="61"/>
  <c r="AL11" i="60"/>
  <c r="E31" i="63"/>
  <c r="E28" i="57"/>
  <c r="E54" i="63"/>
  <c r="AK12" i="64"/>
  <c r="E55" i="64"/>
  <c r="AL46" i="57"/>
  <c r="AK7" i="58"/>
  <c r="AL34" i="64"/>
  <c r="AK50" i="64"/>
  <c r="AK30" i="61"/>
  <c r="AK39" i="57"/>
  <c r="AK31" i="60"/>
  <c r="AK28" i="60"/>
  <c r="AK50" i="61"/>
  <c r="AL24" i="61"/>
  <c r="AL53" i="64"/>
  <c r="AK28" i="65"/>
  <c r="AK48" i="57"/>
  <c r="AK27" i="57"/>
  <c r="AK13" i="63"/>
  <c r="E37" i="57"/>
  <c r="E21" i="63"/>
  <c r="AK28" i="58"/>
  <c r="AK18" i="60"/>
  <c r="E32" i="57"/>
  <c r="AK9" i="61"/>
  <c r="AK34" i="61"/>
  <c r="AK14" i="65"/>
  <c r="E26" i="63"/>
  <c r="AK18" i="58"/>
  <c r="AK61" i="63"/>
  <c r="AL14" i="63"/>
  <c r="AK22" i="60"/>
  <c r="AK12" i="58"/>
  <c r="E31" i="65"/>
  <c r="AL15" i="57"/>
  <c r="E19" i="65"/>
  <c r="E26" i="65"/>
  <c r="AL61" i="58"/>
  <c r="E22" i="60"/>
  <c r="AL61" i="57"/>
  <c r="AK8" i="57"/>
  <c r="AK9" i="65"/>
  <c r="AL28" i="61"/>
  <c r="AK10" i="65"/>
  <c r="AK10" i="57"/>
  <c r="E7" i="61"/>
  <c r="E40" i="64"/>
  <c r="AK48" i="61"/>
  <c r="AK13" i="58"/>
  <c r="AL19" i="61"/>
  <c r="AK47" i="57"/>
  <c r="AK47" i="58"/>
  <c r="AK27" i="65"/>
  <c r="E26" i="60"/>
  <c r="AL46" i="58"/>
  <c r="AL31" i="63"/>
  <c r="AL49" i="61"/>
  <c r="AK37" i="63"/>
  <c r="E56" i="58"/>
  <c r="E39" i="64"/>
  <c r="AK57" i="58"/>
  <c r="AK12" i="57"/>
  <c r="AK30" i="65"/>
  <c r="AL26" i="57"/>
  <c r="AK46" i="64"/>
  <c r="E46" i="61"/>
  <c r="AL34" i="65"/>
  <c r="AL32" i="61"/>
  <c r="E49" i="58"/>
  <c r="E53" i="63"/>
  <c r="AK52" i="63"/>
  <c r="AK23" i="64"/>
  <c r="E37" i="64"/>
  <c r="AK16" i="57"/>
  <c r="AL17" i="57"/>
  <c r="AL32" i="58"/>
  <c r="AK43" i="60"/>
  <c r="AK25" i="60"/>
  <c r="AL25" i="65"/>
  <c r="E55" i="61"/>
  <c r="AL25" i="63"/>
  <c r="AL29" i="58"/>
  <c r="AL55" i="64"/>
  <c r="AL62" i="65"/>
  <c r="E28" i="60"/>
  <c r="AK48" i="58"/>
  <c r="E37" i="63"/>
  <c r="AK41" i="58"/>
  <c r="AL50" i="58"/>
  <c r="AL44" i="64"/>
  <c r="AK44" i="60"/>
  <c r="E23" i="64"/>
  <c r="AL52" i="58"/>
  <c r="AK21" i="58"/>
  <c r="AK52" i="64"/>
  <c r="AL52" i="65"/>
  <c r="E50" i="60"/>
  <c r="AL8" i="64"/>
  <c r="E45" i="61"/>
  <c r="AL31" i="58"/>
  <c r="AK9" i="58"/>
  <c r="AK21" i="64"/>
  <c r="AL10" i="63"/>
  <c r="E34" i="57"/>
  <c r="E37" i="58"/>
  <c r="E39" i="61"/>
  <c r="E27" i="60"/>
  <c r="AL29" i="61"/>
  <c r="E19" i="64"/>
  <c r="E35" i="64"/>
  <c r="AL52" i="57"/>
  <c r="AK8" i="63"/>
  <c r="E17" i="64"/>
  <c r="E9" i="60"/>
  <c r="AL30" i="63"/>
  <c r="AK20" i="60"/>
  <c r="E45" i="58"/>
  <c r="E18" i="57"/>
  <c r="AL29" i="65"/>
  <c r="E22" i="65"/>
  <c r="AK11" i="57"/>
  <c r="AL38" i="64"/>
  <c r="AL33" i="65"/>
  <c r="E12" i="60"/>
  <c r="AL50" i="65"/>
  <c r="AK56" i="58"/>
  <c r="AL31" i="57"/>
  <c r="E41" i="61"/>
  <c r="AL7" i="63"/>
  <c r="E19" i="63"/>
  <c r="E7" i="63"/>
  <c r="AL25" i="64"/>
  <c r="AL40" i="65"/>
  <c r="AL54" i="60"/>
  <c r="E44" i="60"/>
  <c r="AK39" i="60"/>
  <c r="AK42" i="64"/>
  <c r="AK46" i="65"/>
  <c r="AK18" i="57"/>
  <c r="AK48" i="63"/>
  <c r="AL13" i="65"/>
  <c r="E41" i="58"/>
  <c r="AL53" i="65"/>
  <c r="E11" i="57"/>
  <c r="AK43" i="65"/>
  <c r="AL21" i="61"/>
  <c r="E62" i="60"/>
  <c r="AL48" i="60"/>
  <c r="AL47" i="61"/>
  <c r="AK35" i="61"/>
  <c r="AL36" i="60"/>
  <c r="AL36" i="63"/>
  <c r="AL23" i="65"/>
  <c r="AK12" i="65"/>
  <c r="AK43" i="57"/>
  <c r="E49" i="57"/>
  <c r="E14" i="57"/>
  <c r="AK47" i="64"/>
  <c r="E21" i="65"/>
  <c r="AK30" i="64"/>
  <c r="E10" i="60"/>
  <c r="AL33" i="57"/>
  <c r="AL45" i="60"/>
  <c r="AK62" i="60"/>
  <c r="AL21" i="65"/>
  <c r="AL14" i="60"/>
  <c r="AK21" i="60"/>
  <c r="AL16" i="61"/>
  <c r="AK7" i="60"/>
  <c r="AK54" i="65"/>
  <c r="E12" i="61"/>
  <c r="AL36" i="61"/>
  <c r="AK55" i="65"/>
  <c r="E56" i="60"/>
  <c r="E17" i="65"/>
  <c r="AL37" i="58"/>
  <c r="AK22" i="64"/>
  <c r="E47" i="60"/>
  <c r="AK37" i="60"/>
  <c r="AK54" i="64"/>
  <c r="AL61" i="64"/>
  <c r="AK28" i="63"/>
  <c r="AK38" i="63"/>
  <c r="E25" i="60"/>
  <c r="AK17" i="58"/>
  <c r="AL8" i="65"/>
  <c r="AL35" i="65"/>
  <c r="E48" i="63"/>
  <c r="AL37" i="65"/>
  <c r="AL21" i="57"/>
  <c r="AL22" i="58"/>
  <c r="E31" i="61"/>
  <c r="AL41" i="61"/>
  <c r="AK13" i="57"/>
  <c r="E52" i="57"/>
  <c r="AL57" i="57"/>
  <c r="E61" i="60"/>
  <c r="E41" i="63"/>
  <c r="AL37" i="64"/>
  <c r="E8" i="65"/>
  <c r="AK14" i="58"/>
  <c r="AL44" i="57"/>
  <c r="AL42" i="61"/>
  <c r="AL42" i="58"/>
  <c r="AL50" i="63"/>
  <c r="E51" i="58"/>
  <c r="E15" i="65"/>
  <c r="E47" i="65"/>
  <c r="E61" i="61"/>
  <c r="AL27" i="60"/>
  <c r="AL38" i="65"/>
  <c r="AL40" i="63"/>
  <c r="AK43" i="61"/>
  <c r="AK35" i="60"/>
  <c r="AL54" i="57"/>
  <c r="E21" i="57"/>
  <c r="E44" i="61"/>
  <c r="AL62" i="63"/>
  <c r="AK24" i="64"/>
  <c r="AL34" i="58"/>
  <c r="E24" i="64"/>
  <c r="AL26" i="65"/>
  <c r="AK27" i="58"/>
  <c r="E31" i="64"/>
  <c r="AK42" i="63"/>
  <c r="E52" i="60"/>
  <c r="AL24" i="63"/>
  <c r="E26" i="58"/>
  <c r="E51" i="61"/>
  <c r="AL62" i="57"/>
  <c r="E9" i="63"/>
  <c r="E24" i="58"/>
  <c r="AL7" i="61"/>
  <c r="E25" i="65"/>
  <c r="E18" i="58"/>
  <c r="AK22" i="57"/>
  <c r="AL26" i="58"/>
  <c r="E23" i="61"/>
  <c r="AL20" i="58"/>
  <c r="AL40" i="57"/>
  <c r="E37" i="60"/>
  <c r="AK51" i="65"/>
  <c r="AK30" i="60"/>
  <c r="AL11" i="65"/>
  <c r="E18" i="64"/>
  <c r="AL20" i="64"/>
  <c r="E32" i="63"/>
  <c r="E42" i="58"/>
  <c r="E32" i="64"/>
  <c r="AL33" i="63"/>
  <c r="AK9" i="63"/>
  <c r="AK38" i="61"/>
  <c r="E43" i="65"/>
  <c r="AK10" i="64"/>
  <c r="E35" i="63"/>
  <c r="AL11" i="58"/>
  <c r="E13" i="65"/>
  <c r="AL54" i="58"/>
  <c r="E20" i="64"/>
  <c r="AL12" i="64"/>
  <c r="AL19" i="63"/>
  <c r="AK46" i="57"/>
  <c r="AL49" i="65"/>
  <c r="AL36" i="65"/>
  <c r="AK18" i="63"/>
  <c r="AL11" i="61"/>
  <c r="AK7" i="57"/>
  <c r="AL50" i="61"/>
  <c r="E25" i="61"/>
  <c r="AK24" i="61"/>
  <c r="AK53" i="64"/>
  <c r="AL28" i="65"/>
  <c r="AL48" i="57"/>
  <c r="AL27" i="57"/>
  <c r="AL13" i="63"/>
  <c r="AL46" i="61"/>
  <c r="E32" i="65"/>
  <c r="AL28" i="58"/>
  <c r="AK35" i="64"/>
  <c r="E7" i="60"/>
  <c r="AL18" i="60"/>
  <c r="E35" i="61"/>
  <c r="E52" i="64"/>
  <c r="AL34" i="61"/>
  <c r="AL14" i="65"/>
  <c r="AL19" i="57"/>
  <c r="AL61" i="63"/>
  <c r="AK14" i="63"/>
  <c r="AL33" i="58"/>
  <c r="AK31" i="61"/>
  <c r="AL12" i="58"/>
  <c r="AK55" i="57"/>
  <c r="E55" i="58"/>
  <c r="E16" i="57"/>
  <c r="AL42" i="57"/>
  <c r="AK32" i="64"/>
  <c r="AK51" i="63"/>
  <c r="E52" i="58"/>
  <c r="AL8" i="57"/>
  <c r="AL49" i="63"/>
  <c r="AK41" i="60"/>
  <c r="E7" i="65"/>
  <c r="AK47" i="63"/>
  <c r="E11" i="63"/>
  <c r="AK15" i="63"/>
  <c r="AL12" i="63"/>
  <c r="AL48" i="61"/>
  <c r="E28" i="58"/>
  <c r="E14" i="64"/>
  <c r="E48" i="60"/>
  <c r="E44" i="63"/>
  <c r="AL47" i="58"/>
  <c r="AL27" i="65"/>
  <c r="AK33" i="64"/>
  <c r="AL62" i="61"/>
  <c r="E46" i="57"/>
  <c r="AK28" i="64"/>
  <c r="E47" i="58"/>
  <c r="AK15" i="64"/>
  <c r="E36" i="61"/>
  <c r="AK55" i="63"/>
  <c r="AK13" i="64"/>
  <c r="AL57" i="58"/>
  <c r="AL12" i="57"/>
  <c r="AL30" i="65"/>
  <c r="AK26" i="57"/>
  <c r="E15" i="57"/>
  <c r="E41" i="60"/>
  <c r="AL27" i="64"/>
  <c r="E13" i="61"/>
  <c r="AK32" i="61"/>
  <c r="AK55" i="58"/>
  <c r="AL44" i="63"/>
  <c r="AL52" i="63"/>
  <c r="AL23" i="64"/>
  <c r="AL24" i="60"/>
  <c r="AL16" i="57"/>
  <c r="E55" i="63"/>
  <c r="E50" i="64"/>
  <c r="AK17" i="57"/>
  <c r="E13" i="60"/>
  <c r="AL43" i="60"/>
  <c r="AK32" i="63"/>
  <c r="E8" i="58"/>
  <c r="E19" i="60"/>
  <c r="AK46" i="60"/>
  <c r="AK25" i="63"/>
  <c r="AK29" i="58"/>
  <c r="E38" i="65"/>
  <c r="AL8" i="60"/>
  <c r="AK7" i="65"/>
  <c r="AL19" i="65"/>
  <c r="AK20" i="61"/>
  <c r="AK50" i="58"/>
  <c r="AK44" i="64"/>
  <c r="AL51" i="60"/>
  <c r="E29" i="58"/>
  <c r="E10" i="63"/>
  <c r="AL48" i="65"/>
  <c r="AL54" i="63"/>
  <c r="E8" i="57"/>
  <c r="E28" i="63"/>
  <c r="AK8" i="64"/>
  <c r="AK31" i="58"/>
  <c r="AL28" i="57"/>
  <c r="E43" i="60"/>
  <c r="AK10" i="63"/>
  <c r="AL16" i="60"/>
  <c r="E35" i="57"/>
  <c r="AK39" i="65"/>
  <c r="AK12" i="60"/>
  <c r="E44" i="58"/>
  <c r="E25" i="57"/>
  <c r="E40" i="60"/>
  <c r="AL33" i="61"/>
  <c r="AK52" i="57"/>
  <c r="AL61" i="65"/>
  <c r="AL56" i="60"/>
  <c r="AL43" i="63"/>
  <c r="AL39" i="64"/>
  <c r="E61" i="63"/>
  <c r="E44" i="64"/>
  <c r="AK36" i="57"/>
  <c r="AL16" i="65"/>
  <c r="AK14" i="57"/>
  <c r="AL11" i="57"/>
  <c r="AK38" i="64"/>
  <c r="AK33" i="65"/>
  <c r="E30" i="60"/>
  <c r="AK50" i="65"/>
  <c r="AK29" i="64"/>
  <c r="E43" i="61"/>
  <c r="AK7" i="63"/>
  <c r="E41" i="65"/>
  <c r="E10" i="57"/>
  <c r="AK25" i="64"/>
  <c r="AK40" i="65"/>
  <c r="AK54" i="60"/>
  <c r="AK38" i="58"/>
  <c r="AL42" i="64"/>
  <c r="AL46" i="65"/>
  <c r="AL18" i="57"/>
  <c r="AL48" i="63"/>
  <c r="AK40" i="58"/>
  <c r="AK13" i="65"/>
  <c r="AK7" i="64"/>
  <c r="AL51" i="58"/>
  <c r="E46" i="58"/>
  <c r="E24" i="63"/>
  <c r="AK21" i="61"/>
  <c r="AK51" i="57"/>
  <c r="AL53" i="63"/>
  <c r="E54" i="60"/>
  <c r="AK47" i="61"/>
  <c r="AL35" i="61"/>
  <c r="AK36" i="60"/>
  <c r="E23" i="63"/>
  <c r="AL27" i="61"/>
  <c r="AK36" i="63"/>
  <c r="AK23" i="65"/>
  <c r="AL12" i="65"/>
  <c r="E20" i="58"/>
  <c r="E41" i="57"/>
  <c r="E18" i="61"/>
  <c r="E46" i="64"/>
  <c r="AK45" i="65"/>
  <c r="E36" i="63"/>
  <c r="AL30" i="64"/>
  <c r="AK33" i="57"/>
  <c r="AK45" i="60"/>
  <c r="E39" i="58"/>
  <c r="AK21" i="65"/>
  <c r="AK14" i="60"/>
  <c r="E14" i="63"/>
  <c r="AK44" i="65"/>
  <c r="AL7" i="60"/>
  <c r="E30" i="63"/>
  <c r="AL17" i="61"/>
  <c r="E19" i="61"/>
  <c r="E40" i="65"/>
  <c r="AL15" i="60"/>
  <c r="E16" i="58"/>
  <c r="AK25" i="61"/>
  <c r="E43" i="57"/>
  <c r="E17" i="60"/>
  <c r="AL22" i="64"/>
  <c r="E55" i="57"/>
  <c r="AK39" i="63"/>
  <c r="AL37" i="60"/>
  <c r="AL33" i="60"/>
  <c r="E45" i="65"/>
  <c r="AK61" i="64"/>
  <c r="AL28" i="63"/>
  <c r="E50" i="58"/>
  <c r="E21" i="61"/>
  <c r="E12" i="58"/>
  <c r="AK35" i="65"/>
  <c r="E55" i="65"/>
  <c r="AK37" i="65"/>
  <c r="E27" i="64"/>
  <c r="E40" i="63"/>
  <c r="AK22" i="58"/>
  <c r="AK31" i="64"/>
  <c r="AK30" i="57"/>
  <c r="E11" i="65"/>
  <c r="AL13" i="57"/>
  <c r="AK17" i="60"/>
  <c r="E42" i="63"/>
  <c r="AK61" i="61"/>
  <c r="AL26" i="61"/>
  <c r="AK37" i="64"/>
  <c r="E28" i="61"/>
  <c r="AL8" i="61"/>
  <c r="E37" i="65"/>
  <c r="E43" i="64"/>
  <c r="AK42" i="58"/>
  <c r="E43" i="58"/>
  <c r="AL22" i="61"/>
  <c r="E42" i="57"/>
  <c r="AK32" i="57"/>
  <c r="E57" i="57"/>
  <c r="AK27" i="60"/>
  <c r="AK38" i="65"/>
  <c r="AK40" i="63"/>
  <c r="AL43" i="61"/>
  <c r="AL35" i="60"/>
  <c r="E53" i="60"/>
  <c r="E47" i="61"/>
  <c r="AK62" i="63"/>
  <c r="AL13" i="61"/>
  <c r="AK34" i="58"/>
  <c r="AL22" i="63"/>
  <c r="E52" i="65"/>
  <c r="AL27" i="58"/>
  <c r="AK27" i="63"/>
  <c r="AL42" i="63"/>
  <c r="E16" i="64"/>
  <c r="AK24" i="63"/>
  <c r="E27" i="57"/>
  <c r="AK62" i="57"/>
  <c r="E33" i="61"/>
  <c r="AL40" i="64"/>
  <c r="AK11" i="63"/>
  <c r="E32" i="61"/>
  <c r="AK19" i="64"/>
  <c r="AL25" i="58"/>
  <c r="AK26" i="58"/>
  <c r="E55" i="60"/>
  <c r="E40" i="58"/>
  <c r="E54" i="65"/>
  <c r="AK36" i="58"/>
  <c r="AK15" i="61"/>
  <c r="AL18" i="61"/>
  <c r="AL19" i="58"/>
  <c r="E17" i="58"/>
  <c r="E9" i="57"/>
  <c r="AK20" i="64"/>
  <c r="AL49" i="64"/>
  <c r="E48" i="64"/>
  <c r="E56" i="57"/>
  <c r="AL31" i="65"/>
  <c r="AK29" i="63"/>
  <c r="AL16" i="63"/>
  <c r="AL20" i="57"/>
  <c r="E39" i="60"/>
  <c r="AK55" i="60"/>
  <c r="E54" i="58"/>
  <c r="AK11" i="58"/>
  <c r="AL38" i="57"/>
  <c r="AK54" i="58"/>
  <c r="AK29" i="60"/>
  <c r="AL29" i="57"/>
  <c r="AK19" i="63"/>
  <c r="E40" i="57"/>
  <c r="AK49" i="65"/>
  <c r="AK36" i="65"/>
  <c r="AL18" i="63"/>
  <c r="AK11" i="61"/>
  <c r="E29" i="60"/>
  <c r="AL7" i="57"/>
  <c r="AL49" i="58"/>
  <c r="AL45" i="64"/>
  <c r="AL44" i="61"/>
  <c r="AK62" i="64"/>
  <c r="AK35" i="58"/>
  <c r="AL39" i="61"/>
  <c r="AK46" i="61"/>
  <c r="AK50" i="57"/>
  <c r="AL17" i="64"/>
  <c r="AL35" i="64"/>
  <c r="AK18" i="65"/>
  <c r="E26" i="61"/>
  <c r="E22" i="63"/>
  <c r="E30" i="65"/>
  <c r="AK19" i="57"/>
  <c r="AL42" i="65"/>
  <c r="AL26" i="64"/>
  <c r="E48" i="58"/>
  <c r="AK33" i="58"/>
  <c r="AL31" i="61"/>
  <c r="AK36" i="64"/>
  <c r="AL55" i="57"/>
  <c r="E34" i="64"/>
  <c r="E51" i="60"/>
  <c r="AK42" i="57"/>
  <c r="AL32" i="64"/>
  <c r="AL51" i="63"/>
  <c r="AL53" i="57"/>
  <c r="E37" i="61"/>
  <c r="AK49" i="63"/>
  <c r="AL41" i="60"/>
  <c r="E8" i="63"/>
  <c r="AL47" i="63"/>
  <c r="E62" i="61"/>
  <c r="AL15" i="63"/>
  <c r="AK12" i="63"/>
  <c r="AL15" i="65"/>
  <c r="E36" i="60"/>
  <c r="E34" i="60"/>
  <c r="E47" i="57"/>
  <c r="AL47" i="65"/>
  <c r="AK24" i="57"/>
  <c r="AL44" i="58"/>
  <c r="AL33" i="64"/>
  <c r="AK62" i="61"/>
  <c r="E62" i="65"/>
  <c r="AL28" i="64"/>
  <c r="E28" i="65"/>
  <c r="AL15" i="64"/>
  <c r="AL54" i="61"/>
  <c r="AL55" i="63"/>
  <c r="AL13" i="64"/>
  <c r="AL24" i="58"/>
  <c r="AL45" i="63"/>
  <c r="E24" i="60"/>
  <c r="E54" i="57"/>
  <c r="AL23" i="63"/>
  <c r="AK27" i="64"/>
  <c r="AK8" i="58"/>
  <c r="E54" i="61"/>
  <c r="AL55" i="58"/>
  <c r="AK44" i="63"/>
  <c r="AK23" i="57"/>
  <c r="AK24" i="60"/>
  <c r="E30" i="58"/>
  <c r="AL26" i="63"/>
  <c r="E29" i="64"/>
  <c r="E61" i="58"/>
  <c r="AL49" i="60"/>
  <c r="AL32" i="63"/>
  <c r="E62" i="64"/>
  <c r="AL43" i="58"/>
  <c r="AL46" i="60"/>
  <c r="AL53" i="61"/>
  <c r="E38" i="60"/>
  <c r="E17" i="61"/>
  <c r="AK8" i="60"/>
  <c r="AL7" i="65"/>
  <c r="AL10" i="61"/>
  <c r="AK19" i="65"/>
  <c r="AL20" i="61"/>
  <c r="AL37" i="57"/>
  <c r="E39" i="65"/>
  <c r="AK51" i="60"/>
  <c r="AK41" i="63"/>
  <c r="E29" i="65"/>
  <c r="E9" i="64"/>
  <c r="AK48" i="65"/>
  <c r="AK54" i="63"/>
  <c r="AK37" i="61"/>
  <c r="E25" i="64"/>
  <c r="E43" i="63"/>
  <c r="AK28" i="57"/>
  <c r="AL40" i="60"/>
  <c r="E31" i="57"/>
  <c r="AK16" i="60"/>
  <c r="AK45" i="61"/>
  <c r="AL39" i="65"/>
  <c r="AL12" i="60"/>
  <c r="E57" i="58"/>
  <c r="E53" i="64"/>
  <c r="AK51" i="64"/>
  <c r="AK11" i="64"/>
  <c r="AL14" i="64"/>
  <c r="AK33" i="61"/>
  <c r="E14" i="58"/>
  <c r="AK61" i="65"/>
  <c r="AK56" i="60"/>
  <c r="AK43" i="63"/>
  <c r="AK39" i="64"/>
  <c r="AL36" i="57"/>
  <c r="AK16" i="65"/>
  <c r="AL14" i="57"/>
  <c r="E44" i="65"/>
  <c r="AL55" i="61"/>
  <c r="AK30" i="58"/>
  <c r="E42" i="65"/>
  <c r="E19" i="57"/>
  <c r="AL29" i="64"/>
  <c r="AL26" i="60"/>
  <c r="AL38" i="60"/>
  <c r="AL10" i="58"/>
  <c r="E13" i="57"/>
  <c r="AL19" i="60"/>
  <c r="AK25" i="57"/>
  <c r="E36" i="65"/>
  <c r="AK56" i="57"/>
  <c r="AL38" i="58"/>
  <c r="AL49" i="57"/>
  <c r="E49" i="61"/>
  <c r="E50" i="57"/>
  <c r="AK50" i="60"/>
  <c r="AL40" i="58"/>
  <c r="E12" i="57"/>
  <c r="AL7" i="64"/>
  <c r="AK51" i="58"/>
  <c r="AK48" i="64"/>
  <c r="AK61" i="60"/>
  <c r="E30" i="57"/>
  <c r="E33" i="63"/>
  <c r="AK12" i="61"/>
  <c r="AL51" i="57"/>
  <c r="AK53" i="63"/>
  <c r="AL43" i="64"/>
  <c r="E15" i="60"/>
  <c r="AK53" i="58"/>
  <c r="E11" i="64"/>
  <c r="E16" i="61"/>
  <c r="E24" i="61"/>
  <c r="AK27" i="61"/>
  <c r="E62" i="58"/>
  <c r="AL41" i="57"/>
  <c r="AL47" i="60"/>
  <c r="E40" i="61"/>
  <c r="E27" i="65"/>
  <c r="E48" i="65"/>
  <c r="E33" i="60"/>
  <c r="AL45" i="65"/>
  <c r="AL9" i="64"/>
  <c r="AL35" i="63"/>
  <c r="AK34" i="60"/>
  <c r="E20" i="61"/>
  <c r="AL14" i="61"/>
  <c r="E16" i="60"/>
  <c r="AK34" i="63"/>
  <c r="E26" i="64"/>
  <c r="E51" i="64"/>
  <c r="AL44" i="65"/>
  <c r="E23" i="65"/>
  <c r="AK17" i="61"/>
  <c r="E33" i="57"/>
  <c r="E18" i="63"/>
  <c r="AK15" i="60"/>
  <c r="AK23" i="61"/>
  <c r="E34" i="65"/>
  <c r="AL25" i="61"/>
  <c r="E38" i="57"/>
  <c r="E53" i="65"/>
  <c r="AK45" i="57"/>
  <c r="AK9" i="57"/>
  <c r="AL39" i="63"/>
  <c r="E23" i="57"/>
  <c r="AK33" i="60"/>
  <c r="E20" i="57"/>
  <c r="E22" i="61"/>
  <c r="AK51" i="61"/>
  <c r="E13" i="63"/>
  <c r="AK46" i="63"/>
  <c r="AK15" i="58"/>
  <c r="AL23" i="58"/>
  <c r="E28" i="64"/>
  <c r="E21" i="64"/>
  <c r="E23" i="60"/>
  <c r="E39" i="57"/>
  <c r="AL31" i="64"/>
  <c r="AL30" i="57"/>
  <c r="AL32" i="65"/>
  <c r="AK10" i="60"/>
  <c r="AL17" i="60"/>
  <c r="E15" i="58"/>
  <c r="AL61" i="61"/>
  <c r="AK26" i="61"/>
  <c r="AL39" i="58"/>
  <c r="E50" i="65"/>
  <c r="E20" i="65"/>
  <c r="E15" i="61"/>
  <c r="AK8" i="61"/>
  <c r="E30" i="61"/>
  <c r="E52" i="61"/>
  <c r="AK40" i="61"/>
  <c r="AK22" i="61"/>
  <c r="E26" i="57"/>
  <c r="E12" i="64"/>
  <c r="AL32" i="57"/>
  <c r="AL20" i="63"/>
  <c r="E42" i="61"/>
  <c r="AL42" i="60"/>
  <c r="E31" i="58"/>
  <c r="E21" i="60"/>
  <c r="E29" i="57"/>
  <c r="E11" i="61"/>
  <c r="E15" i="63"/>
  <c r="AK13" i="61"/>
  <c r="AL52" i="60"/>
  <c r="AK22" i="63"/>
  <c r="AL13" i="60"/>
  <c r="E35" i="60"/>
  <c r="E20" i="63"/>
  <c r="AL27" i="63"/>
  <c r="AL17" i="63"/>
  <c r="AK34" i="57"/>
  <c r="AK53" i="60"/>
  <c r="AL16" i="58"/>
  <c r="AL21" i="63"/>
  <c r="AK18" i="64"/>
  <c r="AL35" i="57"/>
  <c r="AK40" i="64"/>
  <c r="E32" i="60"/>
  <c r="AL11" i="63"/>
  <c r="E41" i="64"/>
  <c r="E34" i="63"/>
  <c r="AL19" i="64"/>
  <c r="AK23" i="60"/>
  <c r="AK25" i="58"/>
  <c r="E7" i="64"/>
  <c r="E62" i="57"/>
  <c r="AL16" i="64"/>
  <c r="AL36" i="58"/>
  <c r="AL15" i="61"/>
  <c r="AK18" i="61"/>
  <c r="AK19" i="58"/>
  <c r="AL9" i="60"/>
  <c r="AL41" i="64"/>
  <c r="AK32" i="60"/>
  <c r="AK49" i="64"/>
  <c r="E50" i="61"/>
  <c r="AL62" i="58"/>
  <c r="AK31" i="65"/>
  <c r="AL29" i="63"/>
  <c r="AK16" i="63"/>
  <c r="AK20" i="57"/>
  <c r="E49" i="60"/>
  <c r="AL55" i="60"/>
  <c r="AK52" i="61"/>
  <c r="AK11" i="60"/>
  <c r="AK38" i="57"/>
  <c r="AL29" i="60"/>
  <c r="E47" i="63"/>
  <c r="E45" i="63"/>
  <c r="AK29" i="57"/>
  <c r="E8" i="61"/>
  <c r="AL7" i="58"/>
  <c r="AK34" i="64"/>
  <c r="AL50" i="64"/>
  <c r="AL30" i="61"/>
  <c r="AL39" i="57"/>
  <c r="AL31" i="60"/>
  <c r="AL28" i="60"/>
  <c r="E29" i="61"/>
  <c r="AK49" i="58"/>
  <c r="AK45" i="64"/>
  <c r="AK44" i="61"/>
  <c r="AL62" i="64"/>
  <c r="AL35" i="58"/>
  <c r="AK39" i="61"/>
  <c r="E24" i="65"/>
  <c r="AL50" i="57"/>
  <c r="AK17" i="64"/>
  <c r="AL18" i="65"/>
  <c r="AL9" i="61"/>
  <c r="E30" i="64"/>
  <c r="E23" i="58"/>
  <c r="AL18" i="58"/>
  <c r="AK42" i="65"/>
  <c r="AK26" i="64"/>
  <c r="AL22" i="60"/>
  <c r="E38" i="58"/>
  <c r="AL36" i="64"/>
  <c r="E14" i="61"/>
  <c r="AK15" i="57"/>
  <c r="E13" i="58"/>
  <c r="AK61" i="58"/>
  <c r="E22" i="64"/>
  <c r="AK61" i="57"/>
  <c r="AK53" i="57"/>
  <c r="AL9" i="65"/>
  <c r="AK28" i="61"/>
  <c r="AL10" i="65"/>
  <c r="AL10" i="57"/>
  <c r="E33" i="65"/>
  <c r="E42" i="64"/>
  <c r="E36" i="57"/>
  <c r="AK15" i="65"/>
  <c r="AL13" i="58"/>
  <c r="AK19" i="61"/>
  <c r="AL47" i="57"/>
  <c r="AK47" i="65"/>
  <c r="AL24" i="57"/>
  <c r="AK44" i="58"/>
  <c r="AK46" i="58"/>
  <c r="AK31" i="63"/>
  <c r="AK49" i="61"/>
  <c r="AL37" i="63"/>
  <c r="E51" i="63"/>
  <c r="AK54" i="61"/>
  <c r="E8" i="60"/>
  <c r="AK24" i="58"/>
  <c r="AK45" i="63"/>
  <c r="E48" i="61"/>
  <c r="AL46" i="64"/>
  <c r="AK23" i="63"/>
  <c r="AK34" i="65"/>
  <c r="AL8" i="58"/>
  <c r="E61" i="64"/>
  <c r="E24" i="57"/>
  <c r="E21" i="58"/>
  <c r="AL23" i="57"/>
  <c r="E54" i="64"/>
  <c r="AK26" i="63"/>
  <c r="AK32" i="58"/>
  <c r="AK49" i="60"/>
  <c r="AL25" i="60"/>
  <c r="AK25" i="65"/>
  <c r="AK43" i="58"/>
  <c r="E9" i="61"/>
  <c r="AK53" i="61"/>
  <c r="AK55" i="64"/>
  <c r="AK62" i="65"/>
  <c r="E15" i="64"/>
  <c r="AK10" i="61"/>
  <c r="AL48" i="58"/>
  <c r="E33" i="58"/>
  <c r="AL41" i="58"/>
  <c r="E16" i="65"/>
  <c r="AK37" i="57"/>
  <c r="AL44" i="60"/>
  <c r="E7" i="57"/>
  <c r="AL41" i="63"/>
  <c r="AK52" i="58"/>
  <c r="AL21" i="58"/>
  <c r="AL52" i="64"/>
  <c r="AK52" i="65"/>
  <c r="AL37" i="61"/>
  <c r="E13" i="64"/>
  <c r="E22" i="58"/>
  <c r="E61" i="57"/>
  <c r="AL9" i="58"/>
  <c r="AL21" i="64"/>
  <c r="AK40" i="60"/>
  <c r="E36" i="58"/>
  <c r="E29" i="63"/>
  <c r="AL45" i="61"/>
  <c r="E10" i="65"/>
  <c r="AK29" i="61"/>
  <c r="E53" i="57"/>
  <c r="AL51" i="64"/>
  <c r="AL11" i="64"/>
  <c r="AK14" i="64"/>
  <c r="E25" i="63"/>
  <c r="AL8" i="63"/>
  <c r="E12" i="65"/>
  <c r="AK30" i="63"/>
  <c r="AL20" i="60"/>
  <c r="E38" i="64"/>
  <c r="AK29" i="65"/>
  <c r="E14" i="60"/>
  <c r="E17" i="63"/>
  <c r="E33" i="64"/>
  <c r="AK55" i="61"/>
  <c r="AL30" i="58"/>
  <c r="E46" i="63"/>
  <c r="AL56" i="58"/>
  <c r="AK31" i="57"/>
  <c r="AK26" i="60"/>
  <c r="AK38" i="60"/>
  <c r="AK10" i="58"/>
  <c r="E12" i="63"/>
  <c r="E22" i="57"/>
  <c r="AK19" i="60"/>
  <c r="AL25" i="57"/>
  <c r="E25" i="58"/>
  <c r="AL56" i="57"/>
  <c r="AL39" i="60"/>
  <c r="E53" i="58"/>
  <c r="AK49" i="57"/>
  <c r="E46" i="65"/>
  <c r="E49" i="63"/>
  <c r="AL50" i="60"/>
  <c r="E61" i="65"/>
  <c r="E52" i="63"/>
  <c r="AK53" i="65"/>
  <c r="AL48" i="64"/>
  <c r="AL61" i="60"/>
  <c r="AL43" i="65"/>
  <c r="E17" i="57"/>
  <c r="E46" i="60"/>
  <c r="E49" i="64"/>
  <c r="AL12" i="61"/>
  <c r="AK48" i="60"/>
  <c r="AK43" i="64"/>
  <c r="E45" i="64"/>
  <c r="AL53" i="58"/>
  <c r="E39" i="63"/>
  <c r="E34" i="61"/>
  <c r="E36" i="64"/>
  <c r="AK41" i="57"/>
  <c r="AK47" i="60"/>
  <c r="AL43" i="57"/>
  <c r="E31" i="60"/>
  <c r="E27" i="63"/>
  <c r="E18" i="60"/>
  <c r="AL47" i="64"/>
  <c r="E11" i="60"/>
  <c r="AK9" i="64"/>
  <c r="AK35" i="63"/>
  <c r="AL34" i="60"/>
  <c r="E35" i="65"/>
  <c r="AL62" i="60"/>
  <c r="AK14" i="61"/>
  <c r="E27" i="61"/>
  <c r="AL34" i="63"/>
  <c r="AL21" i="60"/>
  <c r="AK16" i="61"/>
  <c r="E38" i="63"/>
  <c r="AL54" i="65"/>
  <c r="E44" i="57"/>
  <c r="AK36" i="61"/>
  <c r="AL23" i="61"/>
  <c r="AL55" i="65"/>
  <c r="E10" i="64"/>
  <c r="AK37" i="58"/>
  <c r="AL45" i="57"/>
  <c r="AL9" i="57"/>
  <c r="AL54" i="64"/>
  <c r="E20" i="60"/>
  <c r="AL38" i="63"/>
  <c r="AL51" i="61"/>
  <c r="AL17" i="58"/>
  <c r="AK8" i="65"/>
  <c r="AL46" i="63"/>
  <c r="AL15" i="58"/>
  <c r="AK23" i="58"/>
  <c r="AK21" i="57"/>
  <c r="E19" i="58"/>
  <c r="E38" i="61"/>
  <c r="AK41" i="61"/>
  <c r="AK32" i="65"/>
  <c r="AL10" i="60"/>
  <c r="AK57" i="57"/>
  <c r="E10" i="61"/>
  <c r="E32" i="58"/>
  <c r="AK39" i="58"/>
  <c r="E45" i="57"/>
  <c r="AL14" i="58"/>
  <c r="AK44" i="57"/>
  <c r="AK42" i="61"/>
  <c r="E16" i="63"/>
  <c r="AK50" i="63"/>
  <c r="E7" i="58"/>
  <c r="AL40" i="61"/>
  <c r="E8" i="64"/>
  <c r="E9" i="58"/>
  <c r="AK20" i="63"/>
  <c r="E11" i="58"/>
  <c r="AK42" i="60"/>
  <c r="E48" i="57"/>
  <c r="AK54" i="57"/>
  <c r="E62" i="63"/>
  <c r="E47" i="64"/>
  <c r="BH49" i="83" l="1"/>
  <c r="BI49" i="83"/>
  <c r="BF49" i="83"/>
  <c r="BG49" i="83"/>
  <c r="BC51" i="83"/>
  <c r="BD50" i="83"/>
  <c r="AA9" i="66"/>
  <c r="AA11" i="66"/>
  <c r="AA10" i="66"/>
  <c r="R14" i="66"/>
  <c r="O14" i="66"/>
  <c r="AM54" i="57"/>
  <c r="AM42" i="60"/>
  <c r="AM20" i="63"/>
  <c r="AG40" i="61"/>
  <c r="AH40" i="61"/>
  <c r="U11" i="58"/>
  <c r="V11" i="58" s="1"/>
  <c r="R13" i="58"/>
  <c r="S13" i="58" s="1"/>
  <c r="R8" i="58"/>
  <c r="O9" i="58"/>
  <c r="U9" i="58"/>
  <c r="V9" i="58" s="1"/>
  <c r="U12" i="58"/>
  <c r="U8" i="58"/>
  <c r="V8" i="58" s="1"/>
  <c r="U13" i="58"/>
  <c r="V13" i="58" s="1"/>
  <c r="U10" i="58"/>
  <c r="R10" i="58"/>
  <c r="U16" i="58" a="1"/>
  <c r="U16" i="58" s="1"/>
  <c r="O16" i="58" a="1"/>
  <c r="O16" i="58" s="1"/>
  <c r="R12" i="58"/>
  <c r="O8" i="58"/>
  <c r="R16" i="58" a="1"/>
  <c r="R16" i="58" s="1"/>
  <c r="R11" i="58"/>
  <c r="R9" i="58"/>
  <c r="O13" i="58"/>
  <c r="O10" i="58"/>
  <c r="O12" i="58"/>
  <c r="O11" i="58"/>
  <c r="AM50" i="63"/>
  <c r="AM42" i="61"/>
  <c r="AM44" i="57"/>
  <c r="AG14" i="58"/>
  <c r="AH14" i="58"/>
  <c r="AM39" i="58"/>
  <c r="AM57" i="57"/>
  <c r="AG10" i="60"/>
  <c r="AH10" i="60"/>
  <c r="AM32" i="65"/>
  <c r="AM41" i="61"/>
  <c r="AM21" i="57"/>
  <c r="AM23" i="58"/>
  <c r="AG15" i="58"/>
  <c r="AH15" i="58"/>
  <c r="AH46" i="63"/>
  <c r="AG46" i="63"/>
  <c r="AM8" i="65"/>
  <c r="AH17" i="58"/>
  <c r="AG17" i="58"/>
  <c r="AG51" i="61"/>
  <c r="AH51" i="61"/>
  <c r="AG38" i="63"/>
  <c r="AH38" i="63"/>
  <c r="AG54" i="64"/>
  <c r="AH54" i="64"/>
  <c r="AG9" i="57"/>
  <c r="AH9" i="57"/>
  <c r="AH45" i="57"/>
  <c r="AG45" i="57"/>
  <c r="AM37" i="58"/>
  <c r="AH55" i="65"/>
  <c r="AG55" i="65"/>
  <c r="AH23" i="61"/>
  <c r="AG23" i="61"/>
  <c r="AM36" i="61"/>
  <c r="AG54" i="65"/>
  <c r="AH54" i="65"/>
  <c r="AM16" i="61"/>
  <c r="AH21" i="60"/>
  <c r="AG21" i="60"/>
  <c r="AH34" i="63"/>
  <c r="AG34" i="63"/>
  <c r="AM14" i="61"/>
  <c r="AG34" i="60"/>
  <c r="AH34" i="60"/>
  <c r="AM35" i="63"/>
  <c r="AM9" i="64"/>
  <c r="AH47" i="64"/>
  <c r="AG47" i="64"/>
  <c r="AG43" i="57"/>
  <c r="AH43" i="57"/>
  <c r="AM47" i="60"/>
  <c r="AM41" i="57"/>
  <c r="AG53" i="58"/>
  <c r="AH53" i="58"/>
  <c r="AM43" i="64"/>
  <c r="AM48" i="60"/>
  <c r="AG12" i="61"/>
  <c r="AH12" i="61"/>
  <c r="AH43" i="65"/>
  <c r="AG43" i="65"/>
  <c r="AH61" i="60"/>
  <c r="AG61" i="60"/>
  <c r="AG48" i="64"/>
  <c r="AH48" i="64"/>
  <c r="AM53" i="65"/>
  <c r="AG50" i="60"/>
  <c r="AH50" i="60"/>
  <c r="AM49" i="57"/>
  <c r="AH39" i="60"/>
  <c r="AG39" i="60"/>
  <c r="AG56" i="57"/>
  <c r="AH56" i="57"/>
  <c r="AH25" i="57"/>
  <c r="AG25" i="57"/>
  <c r="AM19" i="60"/>
  <c r="AM10" i="58"/>
  <c r="AM38" i="60"/>
  <c r="AM26" i="60"/>
  <c r="AM31" i="57"/>
  <c r="AH56" i="58"/>
  <c r="AG56" i="58"/>
  <c r="AG30" i="58"/>
  <c r="AH30" i="58"/>
  <c r="AM55" i="61"/>
  <c r="AM29" i="65"/>
  <c r="AH20" i="60"/>
  <c r="AG20" i="60"/>
  <c r="AM30" i="63"/>
  <c r="AG8" i="63"/>
  <c r="AH8" i="63"/>
  <c r="AM14" i="64"/>
  <c r="AH11" i="64"/>
  <c r="AG11" i="64"/>
  <c r="AH51" i="64"/>
  <c r="AG51" i="64"/>
  <c r="AM29" i="61"/>
  <c r="AH45" i="61"/>
  <c r="AG45" i="61"/>
  <c r="AM40" i="60"/>
  <c r="AG21" i="64"/>
  <c r="AH21" i="64"/>
  <c r="AG9" i="58"/>
  <c r="AH9" i="58"/>
  <c r="AH37" i="61"/>
  <c r="AG37" i="61"/>
  <c r="AM52" i="65"/>
  <c r="AH52" i="64"/>
  <c r="AG52" i="64"/>
  <c r="AH21" i="58"/>
  <c r="AG21" i="58"/>
  <c r="AM52" i="58"/>
  <c r="AG41" i="63"/>
  <c r="AH41" i="63"/>
  <c r="R12" i="57"/>
  <c r="O10" i="57"/>
  <c r="R10" i="57"/>
  <c r="U10" i="57"/>
  <c r="O16" i="57" a="1"/>
  <c r="O16" i="57" s="1"/>
  <c r="U16" i="57" a="1"/>
  <c r="U16" i="57" s="1"/>
  <c r="O8" i="57"/>
  <c r="U11" i="57"/>
  <c r="V11" i="57" s="1"/>
  <c r="O11" i="57"/>
  <c r="R9" i="57"/>
  <c r="U12" i="57"/>
  <c r="R13" i="57"/>
  <c r="S13" i="57" s="1"/>
  <c r="U9" i="57"/>
  <c r="V9" i="57" s="1"/>
  <c r="O13" i="57"/>
  <c r="O9" i="57"/>
  <c r="AA9" i="57" s="1"/>
  <c r="R8" i="57"/>
  <c r="U8" i="57"/>
  <c r="V8" i="57" s="1"/>
  <c r="R16" i="57" a="1"/>
  <c r="R16" i="57" s="1"/>
  <c r="U13" i="57"/>
  <c r="V13" i="57" s="1"/>
  <c r="O12" i="57"/>
  <c r="R11" i="57"/>
  <c r="AH44" i="60"/>
  <c r="AG44" i="60"/>
  <c r="AM37" i="57"/>
  <c r="AH41" i="58"/>
  <c r="AG41" i="58"/>
  <c r="AG48" i="58"/>
  <c r="AH48" i="58"/>
  <c r="AM10" i="61"/>
  <c r="AM62" i="65"/>
  <c r="AM55" i="64"/>
  <c r="AM53" i="61"/>
  <c r="AM43" i="58"/>
  <c r="AM25" i="65"/>
  <c r="AG25" i="60"/>
  <c r="AH25" i="60"/>
  <c r="AM49" i="60"/>
  <c r="AM32" i="58"/>
  <c r="AM26" i="63"/>
  <c r="AG23" i="57"/>
  <c r="AH23" i="57"/>
  <c r="AH8" i="58"/>
  <c r="AG8" i="58"/>
  <c r="AM34" i="65"/>
  <c r="AM23" i="63"/>
  <c r="AG46" i="64"/>
  <c r="AH46" i="64"/>
  <c r="AM45" i="63"/>
  <c r="AM24" i="58"/>
  <c r="AM54" i="61"/>
  <c r="AG37" i="63"/>
  <c r="AH37" i="63"/>
  <c r="AM49" i="61"/>
  <c r="AM31" i="63"/>
  <c r="AM46" i="58"/>
  <c r="AM44" i="58"/>
  <c r="AH24" i="57"/>
  <c r="AG24" i="57"/>
  <c r="AM47" i="65"/>
  <c r="AG47" i="57"/>
  <c r="AH47" i="57"/>
  <c r="AM19" i="61"/>
  <c r="AH13" i="58"/>
  <c r="AG13" i="58"/>
  <c r="AM15" i="65"/>
  <c r="AH10" i="57"/>
  <c r="AG10" i="57"/>
  <c r="AG10" i="65"/>
  <c r="AH10" i="65"/>
  <c r="AM28" i="61"/>
  <c r="AG9" i="65"/>
  <c r="AH9" i="65"/>
  <c r="AM53" i="57"/>
  <c r="AM61" i="57"/>
  <c r="AM61" i="58"/>
  <c r="AM15" i="57"/>
  <c r="AH36" i="64"/>
  <c r="AG36" i="64"/>
  <c r="AH22" i="60"/>
  <c r="AG22" i="60"/>
  <c r="AM26" i="64"/>
  <c r="AM42" i="65"/>
  <c r="AG18" i="58"/>
  <c r="AH18" i="58"/>
  <c r="AG9" i="61"/>
  <c r="AH9" i="61"/>
  <c r="AH18" i="65"/>
  <c r="AG18" i="65"/>
  <c r="AM17" i="64"/>
  <c r="AG50" i="57"/>
  <c r="AH50" i="57"/>
  <c r="AM39" i="61"/>
  <c r="AH35" i="58"/>
  <c r="AG35" i="58"/>
  <c r="AM44" i="61"/>
  <c r="AM45" i="64"/>
  <c r="AM49" i="58"/>
  <c r="AH28" i="60"/>
  <c r="AG28" i="60"/>
  <c r="AG31" i="60"/>
  <c r="AH31" i="60"/>
  <c r="AH39" i="57"/>
  <c r="AG39" i="57"/>
  <c r="AG30" i="61"/>
  <c r="AH30" i="61"/>
  <c r="AH50" i="64"/>
  <c r="AG50" i="64"/>
  <c r="AM34" i="64"/>
  <c r="AG7" i="58"/>
  <c r="AH7" i="58"/>
  <c r="AM29" i="57"/>
  <c r="AG29" i="60"/>
  <c r="AH29" i="60"/>
  <c r="AM38" i="57"/>
  <c r="AM11" i="60"/>
  <c r="AM52" i="61"/>
  <c r="AG55" i="60"/>
  <c r="AH55" i="60"/>
  <c r="AM20" i="57"/>
  <c r="AM16" i="63"/>
  <c r="AG29" i="63"/>
  <c r="AH29" i="63"/>
  <c r="AM31" i="65"/>
  <c r="AM49" i="64"/>
  <c r="AM32" i="60"/>
  <c r="AG41" i="64"/>
  <c r="AH41" i="64"/>
  <c r="AH9" i="60"/>
  <c r="AG9" i="60"/>
  <c r="AM19" i="58"/>
  <c r="AM18" i="61"/>
  <c r="AH15" i="61"/>
  <c r="AG15" i="61"/>
  <c r="AH36" i="58"/>
  <c r="AG36" i="58"/>
  <c r="AG16" i="64"/>
  <c r="AH16" i="64"/>
  <c r="U13" i="64"/>
  <c r="V13" i="64" s="1"/>
  <c r="O10" i="64"/>
  <c r="O9" i="64"/>
  <c r="U9" i="64"/>
  <c r="V9" i="64" s="1"/>
  <c r="O13" i="64"/>
  <c r="P13" i="64" s="1"/>
  <c r="R12" i="64"/>
  <c r="U16" i="64" a="1"/>
  <c r="U16" i="64" s="1"/>
  <c r="O12" i="64"/>
  <c r="O11" i="64"/>
  <c r="R8" i="64"/>
  <c r="R9" i="64"/>
  <c r="R10" i="64"/>
  <c r="U8" i="64"/>
  <c r="V8" i="64" s="1"/>
  <c r="U11" i="64"/>
  <c r="U12" i="64"/>
  <c r="O16" i="64" a="1"/>
  <c r="O16" i="64" s="1"/>
  <c r="R16" i="64" a="1"/>
  <c r="R16" i="64" s="1"/>
  <c r="U10" i="64"/>
  <c r="V10" i="64" s="1"/>
  <c r="R13" i="64"/>
  <c r="R11" i="64"/>
  <c r="S11" i="64" s="1"/>
  <c r="O8" i="64"/>
  <c r="AM25" i="58"/>
  <c r="AM23" i="60"/>
  <c r="AH19" i="64"/>
  <c r="AG19" i="64"/>
  <c r="AH11" i="63"/>
  <c r="AG11" i="63"/>
  <c r="AM40" i="64"/>
  <c r="AH35" i="57"/>
  <c r="AG35" i="57"/>
  <c r="AM18" i="64"/>
  <c r="AG21" i="63"/>
  <c r="AH21" i="63"/>
  <c r="AH16" i="58"/>
  <c r="AG16" i="58"/>
  <c r="AM53" i="60"/>
  <c r="AM34" i="57"/>
  <c r="AH17" i="63"/>
  <c r="AG17" i="63"/>
  <c r="AG27" i="63"/>
  <c r="AH27" i="63"/>
  <c r="AG13" i="60"/>
  <c r="AH13" i="60"/>
  <c r="AM22" i="63"/>
  <c r="AG52" i="60"/>
  <c r="AH52" i="60"/>
  <c r="AM13" i="61"/>
  <c r="AG42" i="60"/>
  <c r="AH42" i="60"/>
  <c r="AH20" i="63"/>
  <c r="AG20" i="63"/>
  <c r="AG32" i="57"/>
  <c r="AH32" i="57"/>
  <c r="AM22" i="61"/>
  <c r="AM40" i="61"/>
  <c r="AM8" i="61"/>
  <c r="AG39" i="58"/>
  <c r="AH39" i="58"/>
  <c r="AM26" i="61"/>
  <c r="AG61" i="61"/>
  <c r="AH61" i="61"/>
  <c r="AH17" i="60"/>
  <c r="AG17" i="60"/>
  <c r="AM10" i="60"/>
  <c r="AG32" i="65"/>
  <c r="AH32" i="65"/>
  <c r="AG30" i="57"/>
  <c r="AH30" i="57"/>
  <c r="AG31" i="64"/>
  <c r="AH31" i="64"/>
  <c r="AH23" i="58"/>
  <c r="AG23" i="58"/>
  <c r="AM15" i="58"/>
  <c r="AM46" i="63"/>
  <c r="AM51" i="61"/>
  <c r="AM33" i="60"/>
  <c r="AH39" i="63"/>
  <c r="AG39" i="63"/>
  <c r="AM9" i="57"/>
  <c r="AM45" i="57"/>
  <c r="AH25" i="61"/>
  <c r="AG25" i="61"/>
  <c r="AM23" i="61"/>
  <c r="AM15" i="60"/>
  <c r="AM17" i="61"/>
  <c r="AH44" i="65"/>
  <c r="AG44" i="65"/>
  <c r="AM34" i="63"/>
  <c r="AH14" i="61"/>
  <c r="AG14" i="61"/>
  <c r="AM34" i="60"/>
  <c r="AH35" i="63"/>
  <c r="AG35" i="63"/>
  <c r="AG9" i="64"/>
  <c r="AH9" i="64"/>
  <c r="AG45" i="65"/>
  <c r="AH45" i="65"/>
  <c r="AH47" i="60"/>
  <c r="AG47" i="60"/>
  <c r="AG41" i="57"/>
  <c r="AH41" i="57"/>
  <c r="AM27" i="61"/>
  <c r="AM53" i="58"/>
  <c r="AH43" i="64"/>
  <c r="AG43" i="64"/>
  <c r="AM53" i="63"/>
  <c r="AG51" i="57"/>
  <c r="AH51" i="57"/>
  <c r="AM12" i="61"/>
  <c r="AM61" i="60"/>
  <c r="AM48" i="64"/>
  <c r="AM51" i="58"/>
  <c r="AG7" i="64"/>
  <c r="AH7" i="64"/>
  <c r="AG40" i="58"/>
  <c r="AH40" i="58"/>
  <c r="AM50" i="60"/>
  <c r="AG49" i="57"/>
  <c r="AH49" i="57"/>
  <c r="AG38" i="58"/>
  <c r="AH38" i="58"/>
  <c r="AM56" i="57"/>
  <c r="AM25" i="57"/>
  <c r="AG19" i="60"/>
  <c r="AH19" i="60"/>
  <c r="AG10" i="58"/>
  <c r="AH10" i="58"/>
  <c r="AG38" i="60"/>
  <c r="AH38" i="60"/>
  <c r="AG26" i="60"/>
  <c r="AH26" i="60"/>
  <c r="AH29" i="64"/>
  <c r="AG29" i="64"/>
  <c r="AM30" i="58"/>
  <c r="AH55" i="61"/>
  <c r="AG55" i="61"/>
  <c r="AG14" i="57"/>
  <c r="AH14" i="57"/>
  <c r="AM16" i="65"/>
  <c r="AG36" i="57"/>
  <c r="AH36" i="57"/>
  <c r="AM39" i="64"/>
  <c r="AM43" i="63"/>
  <c r="AM56" i="60"/>
  <c r="AM61" i="65"/>
  <c r="AM33" i="61"/>
  <c r="AH14" i="64"/>
  <c r="AG14" i="64"/>
  <c r="AM11" i="64"/>
  <c r="AM51" i="64"/>
  <c r="AH12" i="60"/>
  <c r="AG12" i="60"/>
  <c r="AG39" i="65"/>
  <c r="AH39" i="65"/>
  <c r="AM45" i="61"/>
  <c r="AM16" i="60"/>
  <c r="AG40" i="60"/>
  <c r="AH40" i="60"/>
  <c r="AM28" i="57"/>
  <c r="AM37" i="61"/>
  <c r="AM54" i="63"/>
  <c r="AM48" i="65"/>
  <c r="AM41" i="63"/>
  <c r="AM51" i="60"/>
  <c r="AG37" i="57"/>
  <c r="AH37" i="57"/>
  <c r="AH20" i="61"/>
  <c r="AG20" i="61"/>
  <c r="AM19" i="65"/>
  <c r="AH10" i="61"/>
  <c r="AG10" i="61"/>
  <c r="AG7" i="65"/>
  <c r="AH7" i="65"/>
  <c r="AM8" i="60"/>
  <c r="AG53" i="61"/>
  <c r="AH53" i="61"/>
  <c r="AH46" i="60"/>
  <c r="AG46" i="60"/>
  <c r="AH43" i="58"/>
  <c r="AG43" i="58"/>
  <c r="AG32" i="63"/>
  <c r="AH32" i="63"/>
  <c r="AG49" i="60"/>
  <c r="AH49" i="60"/>
  <c r="AG26" i="63"/>
  <c r="AH26" i="63"/>
  <c r="AM24" i="60"/>
  <c r="AM23" i="57"/>
  <c r="AM44" i="63"/>
  <c r="AG55" i="58"/>
  <c r="AH55" i="58"/>
  <c r="AM8" i="58"/>
  <c r="AM27" i="64"/>
  <c r="AH23" i="63"/>
  <c r="AG23" i="63"/>
  <c r="AH45" i="63"/>
  <c r="AG45" i="63"/>
  <c r="AH24" i="58"/>
  <c r="AG24" i="58"/>
  <c r="AG13" i="64"/>
  <c r="AH13" i="64"/>
  <c r="AH55" i="63"/>
  <c r="AG55" i="63"/>
  <c r="AH54" i="61"/>
  <c r="AG54" i="61"/>
  <c r="AH15" i="64"/>
  <c r="AG15" i="64"/>
  <c r="AH28" i="64"/>
  <c r="AG28" i="64"/>
  <c r="AM62" i="61"/>
  <c r="AG33" i="64"/>
  <c r="AH33" i="64"/>
  <c r="AH44" i="58"/>
  <c r="AG44" i="58"/>
  <c r="AM24" i="57"/>
  <c r="AH47" i="65"/>
  <c r="AG47" i="65"/>
  <c r="AH15" i="65"/>
  <c r="AG15" i="65"/>
  <c r="AM12" i="63"/>
  <c r="AH15" i="63"/>
  <c r="AG15" i="63"/>
  <c r="AH47" i="63"/>
  <c r="AG47" i="63"/>
  <c r="AH41" i="60"/>
  <c r="AG41" i="60"/>
  <c r="AM49" i="63"/>
  <c r="AG53" i="57"/>
  <c r="AH53" i="57"/>
  <c r="AH51" i="63"/>
  <c r="AG51" i="63"/>
  <c r="AH32" i="64"/>
  <c r="AG32" i="64"/>
  <c r="AM42" i="57"/>
  <c r="AH55" i="57"/>
  <c r="AG55" i="57"/>
  <c r="AM36" i="64"/>
  <c r="AH31" i="61"/>
  <c r="AG31" i="61"/>
  <c r="AM33" i="58"/>
  <c r="AH26" i="64"/>
  <c r="AG26" i="64"/>
  <c r="AG42" i="65"/>
  <c r="AH42" i="65"/>
  <c r="AM19" i="57"/>
  <c r="AM18" i="65"/>
  <c r="AG35" i="64"/>
  <c r="AH35" i="64"/>
  <c r="AG17" i="64"/>
  <c r="AH17" i="64"/>
  <c r="AM50" i="57"/>
  <c r="AM46" i="61"/>
  <c r="AG39" i="61"/>
  <c r="AH39" i="61"/>
  <c r="AM35" i="58"/>
  <c r="AM62" i="64"/>
  <c r="AH44" i="61"/>
  <c r="AG44" i="61"/>
  <c r="AG45" i="64"/>
  <c r="AH45" i="64"/>
  <c r="AH49" i="58"/>
  <c r="AG49" i="58"/>
  <c r="AH7" i="57"/>
  <c r="AG7" i="57"/>
  <c r="AM11" i="61"/>
  <c r="AG18" i="63"/>
  <c r="AH18" i="63"/>
  <c r="AM36" i="65"/>
  <c r="AM49" i="65"/>
  <c r="AM19" i="63"/>
  <c r="AG29" i="57"/>
  <c r="AH29" i="57"/>
  <c r="AM29" i="60"/>
  <c r="AM54" i="58"/>
  <c r="AH38" i="57"/>
  <c r="AG38" i="57"/>
  <c r="AM11" i="58"/>
  <c r="AM55" i="60"/>
  <c r="AG20" i="57"/>
  <c r="AH20" i="57"/>
  <c r="AH16" i="63"/>
  <c r="AG16" i="63"/>
  <c r="AM29" i="63"/>
  <c r="AH31" i="65"/>
  <c r="AG31" i="65"/>
  <c r="AH49" i="64"/>
  <c r="AG49" i="64"/>
  <c r="AM20" i="64"/>
  <c r="AH19" i="58"/>
  <c r="AG19" i="58"/>
  <c r="AH18" i="61"/>
  <c r="AG18" i="61"/>
  <c r="AM15" i="61"/>
  <c r="AM36" i="58"/>
  <c r="AM26" i="58"/>
  <c r="AG25" i="58"/>
  <c r="AH25" i="58"/>
  <c r="AM19" i="64"/>
  <c r="AM11" i="63"/>
  <c r="AH40" i="64"/>
  <c r="AG40" i="64"/>
  <c r="AM62" i="57"/>
  <c r="AM24" i="63"/>
  <c r="AG42" i="63"/>
  <c r="AH42" i="63"/>
  <c r="AM27" i="63"/>
  <c r="AH27" i="58"/>
  <c r="AG27" i="58"/>
  <c r="AH22" i="63"/>
  <c r="AG22" i="63"/>
  <c r="AM34" i="58"/>
  <c r="AG13" i="61"/>
  <c r="AH13" i="61"/>
  <c r="AM62" i="63"/>
  <c r="AH35" i="60"/>
  <c r="AG35" i="60"/>
  <c r="AH43" i="61"/>
  <c r="AG43" i="61"/>
  <c r="AM40" i="63"/>
  <c r="AM38" i="65"/>
  <c r="AM27" i="60"/>
  <c r="AM32" i="57"/>
  <c r="AG22" i="61"/>
  <c r="AH22" i="61"/>
  <c r="AM42" i="58"/>
  <c r="AG8" i="61"/>
  <c r="AH8" i="61"/>
  <c r="AM37" i="64"/>
  <c r="AH26" i="61"/>
  <c r="AG26" i="61"/>
  <c r="AM61" i="61"/>
  <c r="AM17" i="60"/>
  <c r="AH13" i="57"/>
  <c r="AG13" i="57"/>
  <c r="AM30" i="57"/>
  <c r="AM31" i="64"/>
  <c r="AM22" i="58"/>
  <c r="AM37" i="65"/>
  <c r="AM35" i="65"/>
  <c r="AH28" i="63"/>
  <c r="AG28" i="63"/>
  <c r="AM61" i="64"/>
  <c r="AG33" i="60"/>
  <c r="AH33" i="60"/>
  <c r="AH37" i="60"/>
  <c r="AG37" i="60"/>
  <c r="AM39" i="63"/>
  <c r="AG22" i="64"/>
  <c r="AH22" i="64"/>
  <c r="AM25" i="61"/>
  <c r="AH15" i="60"/>
  <c r="AG15" i="60"/>
  <c r="AG17" i="61"/>
  <c r="AH17" i="61"/>
  <c r="AG7" i="60"/>
  <c r="AH7" i="60"/>
  <c r="AM44" i="65"/>
  <c r="AM14" i="60"/>
  <c r="AM21" i="65"/>
  <c r="AM45" i="60"/>
  <c r="AM33" i="57"/>
  <c r="AH30" i="64"/>
  <c r="AG30" i="64"/>
  <c r="AM45" i="65"/>
  <c r="AH12" i="65"/>
  <c r="AG12" i="65"/>
  <c r="AM23" i="65"/>
  <c r="AM36" i="63"/>
  <c r="AH27" i="61"/>
  <c r="AG27" i="61"/>
  <c r="AM36" i="60"/>
  <c r="AG35" i="61"/>
  <c r="AH35" i="61"/>
  <c r="AM47" i="61"/>
  <c r="AH53" i="63"/>
  <c r="AG53" i="63"/>
  <c r="AM51" i="57"/>
  <c r="AM21" i="61"/>
  <c r="AH51" i="58"/>
  <c r="AG51" i="58"/>
  <c r="AM7" i="64"/>
  <c r="AM13" i="65"/>
  <c r="AM40" i="58"/>
  <c r="AH48" i="63"/>
  <c r="AG48" i="63"/>
  <c r="AG18" i="57"/>
  <c r="AH18" i="57"/>
  <c r="AH46" i="65"/>
  <c r="AG46" i="65"/>
  <c r="AH42" i="64"/>
  <c r="AG42" i="64"/>
  <c r="AM38" i="58"/>
  <c r="AM54" i="60"/>
  <c r="AM40" i="65"/>
  <c r="AM25" i="64"/>
  <c r="AM7" i="63"/>
  <c r="AM29" i="64"/>
  <c r="AM50" i="65"/>
  <c r="AM33" i="65"/>
  <c r="AM38" i="64"/>
  <c r="AG11" i="57"/>
  <c r="AH11" i="57"/>
  <c r="AM14" i="57"/>
  <c r="AG16" i="65"/>
  <c r="AH16" i="65"/>
  <c r="AM36" i="57"/>
  <c r="AG39" i="64"/>
  <c r="AH39" i="64"/>
  <c r="AH43" i="63"/>
  <c r="AG43" i="63"/>
  <c r="AG56" i="60"/>
  <c r="AH56" i="60"/>
  <c r="AG61" i="65"/>
  <c r="AH61" i="65"/>
  <c r="AM52" i="57"/>
  <c r="AH33" i="61"/>
  <c r="AG33" i="61"/>
  <c r="AM12" i="60"/>
  <c r="AM39" i="65"/>
  <c r="AH16" i="60"/>
  <c r="AG16" i="60"/>
  <c r="AM10" i="63"/>
  <c r="AH28" i="57"/>
  <c r="AG28" i="57"/>
  <c r="AM31" i="58"/>
  <c r="AM8" i="64"/>
  <c r="AH54" i="63"/>
  <c r="AG54" i="63"/>
  <c r="AH48" i="65"/>
  <c r="AG48" i="65"/>
  <c r="AH51" i="60"/>
  <c r="AG51" i="60"/>
  <c r="AM44" i="64"/>
  <c r="AM50" i="58"/>
  <c r="AM20" i="61"/>
  <c r="AG19" i="65"/>
  <c r="AH19" i="65"/>
  <c r="AM7" i="65"/>
  <c r="AG8" i="60"/>
  <c r="AH8" i="60"/>
  <c r="AM29" i="58"/>
  <c r="AM25" i="63"/>
  <c r="AM46" i="60"/>
  <c r="AM32" i="63"/>
  <c r="AH43" i="60"/>
  <c r="AG43" i="60"/>
  <c r="AM17" i="57"/>
  <c r="AH16" i="57"/>
  <c r="AG16" i="57"/>
  <c r="AG24" i="60"/>
  <c r="AH24" i="60"/>
  <c r="AH23" i="64"/>
  <c r="AG23" i="64"/>
  <c r="AG52" i="63"/>
  <c r="AH52" i="63"/>
  <c r="AG44" i="63"/>
  <c r="AH44" i="63"/>
  <c r="AM55" i="58"/>
  <c r="AM32" i="61"/>
  <c r="AH27" i="64"/>
  <c r="AG27" i="64"/>
  <c r="AM26" i="57"/>
  <c r="AG30" i="65"/>
  <c r="AH30" i="65"/>
  <c r="AG12" i="57"/>
  <c r="AH12" i="57"/>
  <c r="AH57" i="58"/>
  <c r="AG57" i="58"/>
  <c r="AM13" i="64"/>
  <c r="AM55" i="63"/>
  <c r="AM15" i="64"/>
  <c r="AM28" i="64"/>
  <c r="AM33" i="64"/>
  <c r="AH27" i="65"/>
  <c r="AG27" i="65"/>
  <c r="AH47" i="58"/>
  <c r="AG47" i="58"/>
  <c r="AG48" i="61"/>
  <c r="AH48" i="61"/>
  <c r="AH12" i="63"/>
  <c r="AG12" i="63"/>
  <c r="AM15" i="63"/>
  <c r="AM47" i="63"/>
  <c r="R11" i="65"/>
  <c r="S11" i="65" s="1"/>
  <c r="U12" i="65"/>
  <c r="R8" i="65"/>
  <c r="U9" i="65"/>
  <c r="V9" i="65" s="1"/>
  <c r="R16" i="65" a="1"/>
  <c r="R16" i="65" s="1"/>
  <c r="O13" i="65"/>
  <c r="P13" i="65" s="1"/>
  <c r="U10" i="65"/>
  <c r="V10" i="65" s="1"/>
  <c r="O9" i="65"/>
  <c r="U13" i="65"/>
  <c r="V13" i="65" s="1"/>
  <c r="U16" i="65" a="1"/>
  <c r="U16" i="65" s="1"/>
  <c r="O16" i="65" a="1"/>
  <c r="O16" i="65" s="1"/>
  <c r="U11" i="65"/>
  <c r="U8" i="65"/>
  <c r="V8" i="65" s="1"/>
  <c r="R13" i="65"/>
  <c r="O8" i="65"/>
  <c r="R12" i="65"/>
  <c r="O10" i="65"/>
  <c r="R9" i="65"/>
  <c r="O11" i="65"/>
  <c r="O12" i="65"/>
  <c r="R10" i="65"/>
  <c r="AM41" i="60"/>
  <c r="AG49" i="63"/>
  <c r="AH49" i="63"/>
  <c r="AH8" i="57"/>
  <c r="AG8" i="57"/>
  <c r="AM51" i="63"/>
  <c r="AM32" i="64"/>
  <c r="AH42" i="57"/>
  <c r="AG42" i="57"/>
  <c r="AM55" i="57"/>
  <c r="AH12" i="58"/>
  <c r="AG12" i="58"/>
  <c r="AM31" i="61"/>
  <c r="AH33" i="58"/>
  <c r="AG33" i="58"/>
  <c r="AM14" i="63"/>
  <c r="AG61" i="63"/>
  <c r="AH61" i="63"/>
  <c r="AG19" i="57"/>
  <c r="AH19" i="57"/>
  <c r="AG14" i="65"/>
  <c r="AH14" i="65"/>
  <c r="AG34" i="61"/>
  <c r="AH34" i="61"/>
  <c r="AH18" i="60"/>
  <c r="AG18" i="60"/>
  <c r="U10" i="60"/>
  <c r="R9" i="60"/>
  <c r="R8" i="60"/>
  <c r="O16" i="60" a="1"/>
  <c r="O16" i="60" s="1"/>
  <c r="R16" i="60" a="1"/>
  <c r="R16" i="60" s="1"/>
  <c r="O11" i="60"/>
  <c r="O9" i="60"/>
  <c r="O10" i="60"/>
  <c r="R11" i="60"/>
  <c r="O8" i="60"/>
  <c r="U12" i="60"/>
  <c r="R10" i="60"/>
  <c r="O12" i="60"/>
  <c r="U13" i="60"/>
  <c r="V13" i="60" s="1"/>
  <c r="U11" i="60"/>
  <c r="V11" i="60" s="1"/>
  <c r="U9" i="60"/>
  <c r="V9" i="60" s="1"/>
  <c r="R13" i="60"/>
  <c r="S13" i="60" s="1"/>
  <c r="O13" i="60"/>
  <c r="U8" i="60"/>
  <c r="V8" i="60" s="1"/>
  <c r="R12" i="60"/>
  <c r="U16" i="60" a="1"/>
  <c r="U16" i="60" s="1"/>
  <c r="AM35" i="64"/>
  <c r="AG28" i="58"/>
  <c r="AH28" i="58"/>
  <c r="AG46" i="61"/>
  <c r="AH46" i="61"/>
  <c r="AH13" i="63"/>
  <c r="AG13" i="63"/>
  <c r="AG27" i="57"/>
  <c r="AH27" i="57"/>
  <c r="AH48" i="57"/>
  <c r="AG48" i="57"/>
  <c r="AG28" i="65"/>
  <c r="AH28" i="65"/>
  <c r="AM53" i="64"/>
  <c r="AM24" i="61"/>
  <c r="AG50" i="61"/>
  <c r="AH50" i="61"/>
  <c r="AM7" i="57"/>
  <c r="AH11" i="61"/>
  <c r="AG11" i="61"/>
  <c r="AM18" i="63"/>
  <c r="AG36" i="65"/>
  <c r="AH36" i="65"/>
  <c r="AH49" i="65"/>
  <c r="AG49" i="65"/>
  <c r="AM46" i="57"/>
  <c r="AG19" i="63"/>
  <c r="AH19" i="63"/>
  <c r="AH12" i="64"/>
  <c r="AG12" i="64"/>
  <c r="AH54" i="58"/>
  <c r="AG54" i="58"/>
  <c r="AG11" i="58"/>
  <c r="AH11" i="58"/>
  <c r="AM10" i="64"/>
  <c r="AM38" i="61"/>
  <c r="AM9" i="63"/>
  <c r="AH33" i="63"/>
  <c r="AG33" i="63"/>
  <c r="AG20" i="64"/>
  <c r="AH20" i="64"/>
  <c r="AG11" i="65"/>
  <c r="AH11" i="65"/>
  <c r="AM30" i="60"/>
  <c r="AM51" i="65"/>
  <c r="AG40" i="57"/>
  <c r="AH40" i="57"/>
  <c r="AH20" i="58"/>
  <c r="AG20" i="58"/>
  <c r="AG26" i="58"/>
  <c r="AH26" i="58"/>
  <c r="AM22" i="57"/>
  <c r="AH7" i="61"/>
  <c r="AG7" i="61"/>
  <c r="AH24" i="63"/>
  <c r="AG24" i="63"/>
  <c r="AM42" i="63"/>
  <c r="AM27" i="58"/>
  <c r="AH26" i="65"/>
  <c r="AG26" i="65"/>
  <c r="AH34" i="58"/>
  <c r="AG34" i="58"/>
  <c r="AM24" i="64"/>
  <c r="AG54" i="57"/>
  <c r="AH54" i="57"/>
  <c r="AM35" i="60"/>
  <c r="AM43" i="61"/>
  <c r="AG40" i="63"/>
  <c r="AH40" i="63"/>
  <c r="AH38" i="65"/>
  <c r="AG38" i="65"/>
  <c r="AG27" i="60"/>
  <c r="AH27" i="60"/>
  <c r="AH50" i="63"/>
  <c r="AG50" i="63"/>
  <c r="AH42" i="58"/>
  <c r="AG42" i="58"/>
  <c r="AG42" i="61"/>
  <c r="AH42" i="61"/>
  <c r="AH44" i="57"/>
  <c r="AG44" i="57"/>
  <c r="AM14" i="58"/>
  <c r="AG37" i="64"/>
  <c r="AH37" i="64"/>
  <c r="AG57" i="57"/>
  <c r="AH57" i="57"/>
  <c r="AM13" i="57"/>
  <c r="AG41" i="61"/>
  <c r="AH41" i="61"/>
  <c r="AG22" i="58"/>
  <c r="AH22" i="58"/>
  <c r="AG21" i="57"/>
  <c r="AH21" i="57"/>
  <c r="AH37" i="65"/>
  <c r="AG37" i="65"/>
  <c r="AG35" i="65"/>
  <c r="AH35" i="65"/>
  <c r="AH8" i="65"/>
  <c r="AG8" i="65"/>
  <c r="AM17" i="58"/>
  <c r="AM38" i="63"/>
  <c r="AM28" i="63"/>
  <c r="AG61" i="64"/>
  <c r="AH61" i="64"/>
  <c r="AM54" i="64"/>
  <c r="AM37" i="60"/>
  <c r="AM22" i="64"/>
  <c r="AH37" i="58"/>
  <c r="AG37" i="58"/>
  <c r="AM55" i="65"/>
  <c r="AG36" i="61"/>
  <c r="AH36" i="61"/>
  <c r="AM54" i="65"/>
  <c r="AM7" i="60"/>
  <c r="AH16" i="61"/>
  <c r="AG16" i="61"/>
  <c r="AM21" i="60"/>
  <c r="AH14" i="60"/>
  <c r="AG14" i="60"/>
  <c r="AH21" i="65"/>
  <c r="AG21" i="65"/>
  <c r="AM62" i="60"/>
  <c r="AG45" i="60"/>
  <c r="AH45" i="60"/>
  <c r="AH33" i="57"/>
  <c r="AG33" i="57"/>
  <c r="AM30" i="64"/>
  <c r="AM47" i="64"/>
  <c r="AM43" i="57"/>
  <c r="AM12" i="65"/>
  <c r="AH23" i="65"/>
  <c r="AG23" i="65"/>
  <c r="AG36" i="63"/>
  <c r="AH36" i="63"/>
  <c r="AH36" i="60"/>
  <c r="AG36" i="60"/>
  <c r="AM35" i="61"/>
  <c r="AH47" i="61"/>
  <c r="AG47" i="61"/>
  <c r="AG48" i="60"/>
  <c r="AH48" i="60"/>
  <c r="AH21" i="61"/>
  <c r="AG21" i="61"/>
  <c r="AM43" i="65"/>
  <c r="AG53" i="65"/>
  <c r="AH53" i="65"/>
  <c r="AH13" i="65"/>
  <c r="AG13" i="65"/>
  <c r="AM48" i="63"/>
  <c r="AM18" i="57"/>
  <c r="AM46" i="65"/>
  <c r="AM42" i="64"/>
  <c r="AM39" i="60"/>
  <c r="AH54" i="60"/>
  <c r="AG54" i="60"/>
  <c r="AG40" i="65"/>
  <c r="AH40" i="65"/>
  <c r="AG25" i="64"/>
  <c r="AH25" i="64"/>
  <c r="O11" i="63"/>
  <c r="O9" i="63"/>
  <c r="U13" i="63"/>
  <c r="V13" i="63" s="1"/>
  <c r="R16" i="63" a="1"/>
  <c r="R16" i="63" s="1"/>
  <c r="R10" i="63"/>
  <c r="R9" i="63"/>
  <c r="R12" i="63"/>
  <c r="O12" i="63"/>
  <c r="U12" i="63"/>
  <c r="R13" i="63"/>
  <c r="U9" i="63"/>
  <c r="V9" i="63" s="1"/>
  <c r="R8" i="63"/>
  <c r="U10" i="63"/>
  <c r="V10" i="63" s="1"/>
  <c r="U11" i="63"/>
  <c r="U8" i="63"/>
  <c r="V8" i="63" s="1"/>
  <c r="O8" i="63"/>
  <c r="O13" i="63"/>
  <c r="P13" i="63" s="1"/>
  <c r="R11" i="63"/>
  <c r="S11" i="63" s="1"/>
  <c r="O10" i="63"/>
  <c r="U16" i="63" a="1"/>
  <c r="U16" i="63" s="1"/>
  <c r="O16" i="63" a="1"/>
  <c r="O16" i="63" s="1"/>
  <c r="AH7" i="63"/>
  <c r="AG7" i="63"/>
  <c r="AH31" i="57"/>
  <c r="AG31" i="57"/>
  <c r="AM56" i="58"/>
  <c r="AH50" i="65"/>
  <c r="AG50" i="65"/>
  <c r="AG33" i="65"/>
  <c r="AH33" i="65"/>
  <c r="AG38" i="64"/>
  <c r="AH38" i="64"/>
  <c r="AM11" i="57"/>
  <c r="AG29" i="65"/>
  <c r="AH29" i="65"/>
  <c r="AM20" i="60"/>
  <c r="AG30" i="63"/>
  <c r="AH30" i="63"/>
  <c r="AM8" i="63"/>
  <c r="AG52" i="57"/>
  <c r="AH52" i="57"/>
  <c r="AH29" i="61"/>
  <c r="AG29" i="61"/>
  <c r="AG10" i="63"/>
  <c r="AH10" i="63"/>
  <c r="AM21" i="64"/>
  <c r="AM9" i="58"/>
  <c r="AH31" i="58"/>
  <c r="AG31" i="58"/>
  <c r="AH8" i="64"/>
  <c r="AG8" i="64"/>
  <c r="AG52" i="65"/>
  <c r="AH52" i="65"/>
  <c r="AM52" i="64"/>
  <c r="AM21" i="58"/>
  <c r="AG52" i="58"/>
  <c r="AH52" i="58"/>
  <c r="AM44" i="60"/>
  <c r="AH44" i="64"/>
  <c r="AG44" i="64"/>
  <c r="AH50" i="58"/>
  <c r="AG50" i="58"/>
  <c r="AM41" i="58"/>
  <c r="AM48" i="58"/>
  <c r="AH55" i="64"/>
  <c r="AG55" i="64"/>
  <c r="AH29" i="58"/>
  <c r="AG29" i="58"/>
  <c r="AG25" i="63"/>
  <c r="AH25" i="63"/>
  <c r="AH25" i="65"/>
  <c r="AG25" i="65"/>
  <c r="AM25" i="60"/>
  <c r="AM43" i="60"/>
  <c r="AH32" i="58"/>
  <c r="AG32" i="58"/>
  <c r="AG17" i="57"/>
  <c r="AH17" i="57"/>
  <c r="AM16" i="57"/>
  <c r="AM23" i="64"/>
  <c r="AM52" i="63"/>
  <c r="AG32" i="61"/>
  <c r="AH32" i="61"/>
  <c r="AG34" i="65"/>
  <c r="AH34" i="65"/>
  <c r="AM46" i="64"/>
  <c r="AG26" i="57"/>
  <c r="AH26" i="57"/>
  <c r="AM30" i="65"/>
  <c r="AM12" i="57"/>
  <c r="AM57" i="58"/>
  <c r="AM37" i="63"/>
  <c r="AG49" i="61"/>
  <c r="AH49" i="61"/>
  <c r="AG31" i="63"/>
  <c r="AH31" i="63"/>
  <c r="AG46" i="58"/>
  <c r="AH46" i="58"/>
  <c r="AM27" i="65"/>
  <c r="AM47" i="58"/>
  <c r="AM47" i="57"/>
  <c r="AG19" i="61"/>
  <c r="AH19" i="61"/>
  <c r="AM13" i="58"/>
  <c r="AM48" i="61"/>
  <c r="O13" i="61"/>
  <c r="U10" i="61"/>
  <c r="V10" i="61" s="1"/>
  <c r="R10" i="61"/>
  <c r="AA10" i="61" s="1"/>
  <c r="R13" i="61"/>
  <c r="O12" i="61"/>
  <c r="U9" i="61"/>
  <c r="V9" i="61" s="1"/>
  <c r="O9" i="61"/>
  <c r="AA9" i="61" s="1"/>
  <c r="R11" i="61"/>
  <c r="O8" i="61"/>
  <c r="R9" i="61"/>
  <c r="U16" i="61" a="1"/>
  <c r="U16" i="61" s="1"/>
  <c r="R16" i="61" a="1"/>
  <c r="R16" i="61" s="1"/>
  <c r="U13" i="61"/>
  <c r="V13" i="61" s="1"/>
  <c r="O10" i="61"/>
  <c r="O11" i="61"/>
  <c r="U8" i="61"/>
  <c r="V8" i="61" s="1"/>
  <c r="U12" i="61"/>
  <c r="R8" i="61"/>
  <c r="O16" i="61" a="1"/>
  <c r="O16" i="61" s="1"/>
  <c r="U11" i="61"/>
  <c r="R12" i="61"/>
  <c r="AM10" i="57"/>
  <c r="AM10" i="65"/>
  <c r="AH28" i="61"/>
  <c r="AG28" i="61"/>
  <c r="AM9" i="65"/>
  <c r="AM8" i="57"/>
  <c r="AG61" i="57"/>
  <c r="AH61" i="57"/>
  <c r="AG61" i="58"/>
  <c r="AH61" i="58"/>
  <c r="AH15" i="57"/>
  <c r="AG15" i="57"/>
  <c r="AM12" i="58"/>
  <c r="AM22" i="60"/>
  <c r="AG14" i="63"/>
  <c r="AH14" i="63"/>
  <c r="AM61" i="63"/>
  <c r="AM18" i="58"/>
  <c r="AM14" i="65"/>
  <c r="AM34" i="61"/>
  <c r="AM9" i="61"/>
  <c r="AM18" i="60"/>
  <c r="AM28" i="58"/>
  <c r="AM13" i="63"/>
  <c r="AM27" i="57"/>
  <c r="AM48" i="57"/>
  <c r="AM28" i="65"/>
  <c r="AG53" i="64"/>
  <c r="AH53" i="64"/>
  <c r="AG24" i="61"/>
  <c r="AH24" i="61"/>
  <c r="AM50" i="61"/>
  <c r="AM28" i="60"/>
  <c r="AM31" i="60"/>
  <c r="AM39" i="57"/>
  <c r="AM30" i="61"/>
  <c r="AM50" i="64"/>
  <c r="AG34" i="64"/>
  <c r="AH34" i="64"/>
  <c r="AM7" i="58"/>
  <c r="AG46" i="57"/>
  <c r="AH46" i="57"/>
  <c r="AM12" i="64"/>
  <c r="AG11" i="60"/>
  <c r="AH11" i="60"/>
  <c r="AH52" i="61"/>
  <c r="AG52" i="61"/>
  <c r="AG10" i="64"/>
  <c r="AH10" i="64"/>
  <c r="AG38" i="61"/>
  <c r="AH38" i="61"/>
  <c r="AH9" i="63"/>
  <c r="AG9" i="63"/>
  <c r="AM62" i="58"/>
  <c r="AM33" i="63"/>
  <c r="AG32" i="60"/>
  <c r="AH32" i="60"/>
  <c r="AM41" i="64"/>
  <c r="AM9" i="60"/>
  <c r="AM11" i="65"/>
  <c r="AH30" i="60"/>
  <c r="AG30" i="60"/>
  <c r="AH51" i="65"/>
  <c r="AG51" i="65"/>
  <c r="AM16" i="64"/>
  <c r="AM40" i="57"/>
  <c r="AM20" i="58"/>
  <c r="AH23" i="60"/>
  <c r="AG23" i="60"/>
  <c r="AG22" i="57"/>
  <c r="AH22" i="57"/>
  <c r="AM7" i="61"/>
  <c r="AM35" i="57"/>
  <c r="AG18" i="64"/>
  <c r="AH18" i="64"/>
  <c r="AM21" i="63"/>
  <c r="AM16" i="58"/>
  <c r="AG53" i="60"/>
  <c r="AH53" i="60"/>
  <c r="AG34" i="57"/>
  <c r="AH34" i="57"/>
  <c r="AM17" i="63"/>
  <c r="AM13" i="60"/>
  <c r="AM26" i="65"/>
  <c r="AM52" i="60"/>
  <c r="AG24" i="64"/>
  <c r="AH24" i="64"/>
  <c r="U14" i="66"/>
  <c r="P11" i="66"/>
  <c r="AA11" i="64"/>
  <c r="P9" i="66"/>
  <c r="R14" i="60"/>
  <c r="S9" i="60" s="1"/>
  <c r="AA10" i="57"/>
  <c r="AA12" i="57"/>
  <c r="P10" i="66"/>
  <c r="P8" i="66"/>
  <c r="P14" i="66"/>
  <c r="AA8" i="65"/>
  <c r="AA13" i="60"/>
  <c r="AA12" i="64"/>
  <c r="AA9" i="64"/>
  <c r="AA13" i="61"/>
  <c r="O14" i="57"/>
  <c r="P9" i="57" s="1"/>
  <c r="AA13" i="64"/>
  <c r="U14" i="64"/>
  <c r="V14" i="64" s="1"/>
  <c r="AA13" i="65"/>
  <c r="AA13" i="58"/>
  <c r="BF43" i="81"/>
  <c r="BH43" i="81"/>
  <c r="BI43" i="81"/>
  <c r="BG43" i="81"/>
  <c r="BC45" i="81"/>
  <c r="BD44" i="81"/>
  <c r="O14" i="58"/>
  <c r="P9" i="58" s="1"/>
  <c r="U14" i="65"/>
  <c r="V11" i="65" s="1"/>
  <c r="AA10" i="60"/>
  <c r="AA11" i="60"/>
  <c r="R14" i="64"/>
  <c r="S9" i="64" s="1"/>
  <c r="R14" i="57"/>
  <c r="S9" i="57" s="1"/>
  <c r="AA8" i="57"/>
  <c r="AA11" i="65"/>
  <c r="AA14" i="66"/>
  <c r="AA12" i="65"/>
  <c r="AA11" i="58"/>
  <c r="AA9" i="65"/>
  <c r="U14" i="58"/>
  <c r="V10" i="58" s="1"/>
  <c r="AA12" i="60"/>
  <c r="AA9" i="58"/>
  <c r="R14" i="58"/>
  <c r="S11" i="58" s="1"/>
  <c r="AA10" i="65"/>
  <c r="O14" i="65"/>
  <c r="AA10" i="64"/>
  <c r="AA12" i="58"/>
  <c r="S10" i="66"/>
  <c r="R5" i="66"/>
  <c r="S11" i="66"/>
  <c r="S8" i="66"/>
  <c r="S12" i="66"/>
  <c r="S9" i="66"/>
  <c r="S14" i="66"/>
  <c r="S13" i="66"/>
  <c r="AA11" i="57"/>
  <c r="AA8" i="58"/>
  <c r="AA10" i="58"/>
  <c r="U14" i="60"/>
  <c r="O14" i="64"/>
  <c r="AA8" i="64"/>
  <c r="AA12" i="61"/>
  <c r="U14" i="57"/>
  <c r="AA8" i="60"/>
  <c r="O14" i="60"/>
  <c r="R14" i="65"/>
  <c r="AA11" i="63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U11" i="7"/>
  <c r="BG50" i="83" l="1"/>
  <c r="BH50" i="83"/>
  <c r="BI50" i="83"/>
  <c r="BF50" i="83"/>
  <c r="BC52" i="83"/>
  <c r="BD51" i="83"/>
  <c r="O14" i="63"/>
  <c r="P8" i="63" s="1"/>
  <c r="R14" i="63"/>
  <c r="S14" i="63" s="1"/>
  <c r="AA12" i="63"/>
  <c r="U14" i="61"/>
  <c r="V11" i="61" s="1"/>
  <c r="P12" i="57"/>
  <c r="AA10" i="63"/>
  <c r="AA9" i="60"/>
  <c r="AA14" i="60" s="1"/>
  <c r="S12" i="57"/>
  <c r="AA11" i="61"/>
  <c r="O5" i="66"/>
  <c r="P12" i="66"/>
  <c r="AA8" i="61"/>
  <c r="AA14" i="61" s="1"/>
  <c r="R14" i="61"/>
  <c r="S8" i="61" s="1"/>
  <c r="AA13" i="57"/>
  <c r="AA9" i="63"/>
  <c r="AA13" i="63"/>
  <c r="O14" i="61"/>
  <c r="P10" i="61" s="1"/>
  <c r="U14" i="63"/>
  <c r="V12" i="63" s="1"/>
  <c r="U5" i="66"/>
  <c r="V14" i="66"/>
  <c r="AA8" i="63"/>
  <c r="P8" i="57"/>
  <c r="P11" i="57"/>
  <c r="S10" i="60"/>
  <c r="V14" i="65"/>
  <c r="R5" i="60"/>
  <c r="U5" i="65"/>
  <c r="S11" i="60"/>
  <c r="S8" i="60"/>
  <c r="U5" i="58"/>
  <c r="V12" i="65"/>
  <c r="S14" i="60"/>
  <c r="S12" i="60"/>
  <c r="S11" i="57"/>
  <c r="S8" i="57"/>
  <c r="O5" i="57"/>
  <c r="P10" i="57"/>
  <c r="P12" i="63"/>
  <c r="V11" i="63"/>
  <c r="S10" i="61"/>
  <c r="S12" i="64"/>
  <c r="P11" i="61"/>
  <c r="R5" i="61"/>
  <c r="S14" i="64"/>
  <c r="P14" i="57"/>
  <c r="R5" i="64"/>
  <c r="O5" i="63"/>
  <c r="P10" i="63"/>
  <c r="S9" i="61"/>
  <c r="P9" i="63"/>
  <c r="P11" i="58"/>
  <c r="V12" i="61"/>
  <c r="S14" i="61"/>
  <c r="P13" i="58"/>
  <c r="P10" i="58"/>
  <c r="P12" i="58"/>
  <c r="P13" i="57"/>
  <c r="S13" i="64"/>
  <c r="S10" i="64"/>
  <c r="S8" i="64"/>
  <c r="P11" i="63"/>
  <c r="P8" i="58"/>
  <c r="P14" i="63"/>
  <c r="S12" i="61"/>
  <c r="S11" i="61"/>
  <c r="O5" i="61"/>
  <c r="S13" i="61"/>
  <c r="O5" i="58"/>
  <c r="U5" i="64"/>
  <c r="V12" i="64"/>
  <c r="R5" i="57"/>
  <c r="S14" i="57"/>
  <c r="S10" i="57"/>
  <c r="V11" i="64"/>
  <c r="P14" i="58"/>
  <c r="AA14" i="65"/>
  <c r="AA14" i="58"/>
  <c r="BG44" i="81"/>
  <c r="BI44" i="81"/>
  <c r="BH44" i="81"/>
  <c r="BF44" i="81"/>
  <c r="AA14" i="57"/>
  <c r="BD45" i="81"/>
  <c r="BC46" i="81"/>
  <c r="P13" i="61"/>
  <c r="P8" i="61"/>
  <c r="S13" i="63"/>
  <c r="P14" i="61"/>
  <c r="P12" i="61"/>
  <c r="P9" i="61"/>
  <c r="V14" i="58"/>
  <c r="R5" i="63"/>
  <c r="S8" i="63"/>
  <c r="S12" i="63"/>
  <c r="S9" i="63"/>
  <c r="S10" i="63"/>
  <c r="V12" i="58"/>
  <c r="AA14" i="64"/>
  <c r="S8" i="58"/>
  <c r="S9" i="58"/>
  <c r="R5" i="58"/>
  <c r="S10" i="58"/>
  <c r="S12" i="58"/>
  <c r="S14" i="58"/>
  <c r="V12" i="60"/>
  <c r="U5" i="60"/>
  <c r="V10" i="60"/>
  <c r="V14" i="60"/>
  <c r="S12" i="65"/>
  <c r="S8" i="65"/>
  <c r="R5" i="65"/>
  <c r="S14" i="65"/>
  <c r="S9" i="65"/>
  <c r="S13" i="65"/>
  <c r="P9" i="65"/>
  <c r="P10" i="65"/>
  <c r="P14" i="65"/>
  <c r="P11" i="65"/>
  <c r="O5" i="65"/>
  <c r="P8" i="65"/>
  <c r="P14" i="60"/>
  <c r="P11" i="60"/>
  <c r="P13" i="60"/>
  <c r="P9" i="60"/>
  <c r="P12" i="60"/>
  <c r="O5" i="60"/>
  <c r="P8" i="60"/>
  <c r="P10" i="60"/>
  <c r="V10" i="57"/>
  <c r="V14" i="57"/>
  <c r="U5" i="57"/>
  <c r="V12" i="57"/>
  <c r="S10" i="65"/>
  <c r="P9" i="64"/>
  <c r="O5" i="64"/>
  <c r="P14" i="64"/>
  <c r="P10" i="64"/>
  <c r="P12" i="64"/>
  <c r="P8" i="64"/>
  <c r="P11" i="64"/>
  <c r="P12" i="65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BC53" i="83" l="1"/>
  <c r="BD52" i="83"/>
  <c r="U5" i="61"/>
  <c r="V14" i="61"/>
  <c r="AA14" i="63"/>
  <c r="U5" i="63"/>
  <c r="V14" i="6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BH51" i="83" l="1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BF52" i="83" l="1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H53" i="83" l="1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F54" i="83" l="1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H55" i="83" l="1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F56" i="83" l="1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D59" i="83" l="1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D60" i="83" l="1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K4" i="56"/>
  <c r="AJ4" i="56"/>
  <c r="AJ2" i="56" s="1"/>
  <c r="G3" i="56"/>
  <c r="AL2" i="56"/>
  <c r="AK2" i="56"/>
  <c r="E2" i="56"/>
  <c r="E3" i="56" s="1"/>
  <c r="A1" i="56"/>
  <c r="G59" i="56"/>
  <c r="E6" i="56"/>
  <c r="AJ50" i="56"/>
  <c r="G15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AJ58" i="56"/>
  <c r="AJ11" i="56"/>
  <c r="G58" i="55"/>
  <c r="G51" i="56"/>
  <c r="AJ9" i="56"/>
  <c r="AJ17" i="56"/>
  <c r="AJ56" i="56"/>
  <c r="G43" i="56"/>
  <c r="AJ49" i="56"/>
  <c r="E6" i="55"/>
  <c r="G23" i="56"/>
  <c r="G22" i="56"/>
  <c r="AJ51" i="56"/>
  <c r="AJ59" i="56"/>
  <c r="AJ48" i="56"/>
  <c r="AJ10" i="56"/>
  <c r="G61" i="56"/>
  <c r="G27" i="56"/>
  <c r="AJ44" i="56"/>
  <c r="G11" i="56"/>
  <c r="G28" i="56"/>
  <c r="G55" i="56"/>
  <c r="G46" i="56"/>
  <c r="G15" i="55"/>
  <c r="AJ54" i="56"/>
  <c r="AJ42" i="56"/>
  <c r="G50" i="56"/>
  <c r="G25" i="56"/>
  <c r="G18" i="56"/>
  <c r="AJ14" i="56"/>
  <c r="G31" i="56"/>
  <c r="G37" i="56"/>
  <c r="AJ63" i="56"/>
  <c r="AJ19" i="56"/>
  <c r="AJ12" i="56"/>
  <c r="G36" i="56"/>
  <c r="G62" i="56"/>
  <c r="G9" i="56"/>
  <c r="AJ29" i="56"/>
  <c r="G40" i="56"/>
  <c r="AJ47" i="56"/>
  <c r="G58" i="56"/>
  <c r="AK50" i="56"/>
  <c r="AJ35" i="56"/>
  <c r="G33" i="56"/>
  <c r="AJ40" i="56"/>
  <c r="AJ55" i="56"/>
  <c r="AJ34" i="56"/>
  <c r="G24" i="56"/>
  <c r="AJ16" i="56"/>
  <c r="G16" i="56"/>
  <c r="G35" i="56"/>
  <c r="AJ52" i="56"/>
  <c r="G38" i="56"/>
  <c r="AJ32" i="56"/>
  <c r="AJ31" i="56"/>
  <c r="AL50" i="56"/>
  <c r="AJ26" i="56"/>
  <c r="G17" i="56"/>
  <c r="AJ66" i="56"/>
  <c r="AJ18" i="56"/>
  <c r="G14" i="56"/>
  <c r="G32" i="56"/>
  <c r="AJ33" i="55"/>
  <c r="AJ21" i="56"/>
  <c r="AJ64" i="56"/>
  <c r="G45" i="56"/>
  <c r="G42" i="56"/>
  <c r="G57" i="56"/>
  <c r="AJ57" i="56"/>
  <c r="AJ46" i="56"/>
  <c r="AJ43" i="56"/>
  <c r="G19" i="56"/>
  <c r="AJ33" i="56"/>
  <c r="AJ7" i="56"/>
  <c r="AJ61" i="56"/>
  <c r="AJ53" i="56"/>
  <c r="AJ45" i="56"/>
  <c r="G41" i="56"/>
  <c r="AJ28" i="56"/>
  <c r="G13" i="56"/>
  <c r="G54" i="56"/>
  <c r="G12" i="56"/>
  <c r="G44" i="56"/>
  <c r="G56" i="56"/>
  <c r="AJ38" i="56"/>
  <c r="AJ12" i="55"/>
  <c r="AJ25" i="56"/>
  <c r="G10" i="56"/>
  <c r="AJ60" i="56"/>
  <c r="G20" i="56"/>
  <c r="AJ22" i="56"/>
  <c r="G8" i="56"/>
  <c r="AJ20" i="56"/>
  <c r="G52" i="56"/>
  <c r="AJ27" i="56"/>
  <c r="G29" i="56"/>
  <c r="G47" i="56"/>
  <c r="G34" i="56"/>
  <c r="AJ24" i="56"/>
  <c r="G39" i="56"/>
  <c r="AJ23" i="56"/>
  <c r="G26" i="56"/>
  <c r="AJ30" i="56"/>
  <c r="G30" i="56"/>
  <c r="AJ39" i="56"/>
  <c r="AJ62" i="56"/>
  <c r="AJ36" i="56"/>
  <c r="G53" i="56"/>
  <c r="AJ67" i="56"/>
  <c r="AJ15" i="56"/>
  <c r="AJ13" i="56"/>
  <c r="AJ37" i="56"/>
  <c r="G49" i="56"/>
  <c r="AJ65" i="56"/>
  <c r="E15" i="56"/>
  <c r="AJ41" i="56"/>
  <c r="G21" i="56"/>
  <c r="G48" i="56"/>
  <c r="AJ8" i="56"/>
  <c r="G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G22" i="55"/>
  <c r="E22" i="56"/>
  <c r="AJ15" i="55"/>
  <c r="AJ32" i="55"/>
  <c r="E19" i="56"/>
  <c r="AJ7" i="55"/>
  <c r="E11" i="56"/>
  <c r="E27" i="56"/>
  <c r="G48" i="55"/>
  <c r="G52" i="55"/>
  <c r="AJ28" i="55"/>
  <c r="G62" i="55"/>
  <c r="AJ18" i="55"/>
  <c r="AJ8" i="55"/>
  <c r="E9" i="56"/>
  <c r="E17" i="56"/>
  <c r="G7" i="55"/>
  <c r="E33" i="56"/>
  <c r="AJ35" i="55"/>
  <c r="E12" i="56"/>
  <c r="AJ9" i="55"/>
  <c r="AJ26" i="55"/>
  <c r="AJ34" i="55"/>
  <c r="AJ24" i="55"/>
  <c r="G20" i="55"/>
  <c r="E8" i="56"/>
  <c r="AJ11" i="55"/>
  <c r="E49" i="56"/>
  <c r="AJ13" i="55"/>
  <c r="AJ21" i="55"/>
  <c r="AJ14" i="55"/>
  <c r="E25" i="56"/>
  <c r="AJ30" i="55"/>
  <c r="E7" i="56"/>
  <c r="AJ16" i="55"/>
  <c r="G17" i="55"/>
  <c r="AJ10" i="55"/>
  <c r="E10" i="56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M14" i="54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C78" i="54" l="1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E31" i="56"/>
  <c r="AL18" i="55"/>
  <c r="AJ37" i="54"/>
  <c r="AJ52" i="54"/>
  <c r="AJ20" i="54"/>
  <c r="AJ21" i="54"/>
  <c r="AJ46" i="54"/>
  <c r="AJ66" i="54"/>
  <c r="AK56" i="56"/>
  <c r="AK34" i="56"/>
  <c r="G22" i="54"/>
  <c r="G8" i="55"/>
  <c r="AK25" i="56"/>
  <c r="G13" i="54"/>
  <c r="AJ15" i="54"/>
  <c r="AL27" i="56"/>
  <c r="G40" i="55"/>
  <c r="G50" i="55"/>
  <c r="E32" i="56"/>
  <c r="E34" i="56"/>
  <c r="AK51" i="56"/>
  <c r="AJ47" i="55"/>
  <c r="AL24" i="56"/>
  <c r="G20" i="54"/>
  <c r="AK10" i="56"/>
  <c r="AK14" i="56"/>
  <c r="AJ9" i="54"/>
  <c r="E18" i="56"/>
  <c r="G9" i="54"/>
  <c r="AL49" i="56"/>
  <c r="AK13" i="55"/>
  <c r="E36" i="56"/>
  <c r="G52" i="54"/>
  <c r="AL33" i="56"/>
  <c r="AL48" i="56"/>
  <c r="AJ19" i="54"/>
  <c r="G7" i="54"/>
  <c r="AJ12" i="54"/>
  <c r="AL21" i="55"/>
  <c r="AJ43" i="55"/>
  <c r="AK62" i="56"/>
  <c r="AJ59" i="55"/>
  <c r="AL14" i="56"/>
  <c r="E7" i="55"/>
  <c r="G46" i="55"/>
  <c r="G37" i="55"/>
  <c r="G63" i="54"/>
  <c r="AL43" i="56"/>
  <c r="AJ25" i="55"/>
  <c r="AK27" i="56"/>
  <c r="AJ42" i="55"/>
  <c r="AJ36" i="55"/>
  <c r="AL12" i="55"/>
  <c r="AJ35" i="54"/>
  <c r="AK29" i="56"/>
  <c r="AJ33" i="54"/>
  <c r="AK8" i="56"/>
  <c r="AL9" i="56"/>
  <c r="AJ57" i="54"/>
  <c r="AL13" i="55"/>
  <c r="AJ60" i="55"/>
  <c r="G40" i="54"/>
  <c r="G33" i="55"/>
  <c r="AL10" i="55"/>
  <c r="E24" i="56"/>
  <c r="AJ66" i="55"/>
  <c r="E26" i="56"/>
  <c r="G25" i="55"/>
  <c r="G32" i="54"/>
  <c r="AL12" i="56"/>
  <c r="AJ47" i="54"/>
  <c r="G53" i="54"/>
  <c r="AK43" i="56"/>
  <c r="AK41" i="56"/>
  <c r="AL16" i="55"/>
  <c r="AL14" i="55"/>
  <c r="AJ38" i="55"/>
  <c r="AK42" i="56"/>
  <c r="AL41" i="56"/>
  <c r="G9" i="55"/>
  <c r="AK12" i="55"/>
  <c r="G51" i="54"/>
  <c r="E20" i="55"/>
  <c r="E21" i="56"/>
  <c r="AK39" i="56"/>
  <c r="AJ29" i="55"/>
  <c r="G30" i="55"/>
  <c r="E38" i="56"/>
  <c r="AJ28" i="54"/>
  <c r="AK57" i="56"/>
  <c r="AJ23" i="55"/>
  <c r="AK20" i="56"/>
  <c r="E29" i="56"/>
  <c r="AL30" i="55"/>
  <c r="AK46" i="56"/>
  <c r="G11" i="54"/>
  <c r="AL55" i="56"/>
  <c r="E13" i="56"/>
  <c r="AK32" i="56"/>
  <c r="AJ60" i="54"/>
  <c r="AL56" i="56"/>
  <c r="AL61" i="56"/>
  <c r="AL58" i="56"/>
  <c r="AL17" i="56"/>
  <c r="G44" i="55"/>
  <c r="AL8" i="55"/>
  <c r="G54" i="55"/>
  <c r="G12" i="54"/>
  <c r="G8" i="54"/>
  <c r="AL62" i="56"/>
  <c r="AJ27" i="55"/>
  <c r="E40" i="56"/>
  <c r="AJ24" i="54"/>
  <c r="AL47" i="56"/>
  <c r="AL20" i="56"/>
  <c r="AK47" i="56"/>
  <c r="G50" i="54"/>
  <c r="AJ63" i="54"/>
  <c r="AJ31" i="55"/>
  <c r="AL34" i="55"/>
  <c r="AL40" i="56"/>
  <c r="E23" i="56"/>
  <c r="AK61" i="56"/>
  <c r="AL57" i="56"/>
  <c r="G35" i="54"/>
  <c r="AK28" i="56"/>
  <c r="AJ16" i="54"/>
  <c r="AJ44" i="54"/>
  <c r="G45" i="55"/>
  <c r="AK21" i="55"/>
  <c r="AL8" i="56"/>
  <c r="AL52" i="56"/>
  <c r="E20" i="56"/>
  <c r="E46" i="56"/>
  <c r="AJ32" i="54"/>
  <c r="E42" i="56"/>
  <c r="AL19" i="56"/>
  <c r="AJ41" i="55"/>
  <c r="G25" i="54"/>
  <c r="AJ46" i="55"/>
  <c r="G53" i="55"/>
  <c r="AK40" i="56"/>
  <c r="G34" i="55"/>
  <c r="AK9" i="55"/>
  <c r="E52" i="56"/>
  <c r="E43" i="56"/>
  <c r="E53" i="56"/>
  <c r="E28" i="56"/>
  <c r="AL26" i="56"/>
  <c r="AK48" i="56"/>
  <c r="E45" i="56"/>
  <c r="G27" i="55"/>
  <c r="AJ37" i="55"/>
  <c r="G37" i="54"/>
  <c r="AL38" i="56"/>
  <c r="AL24" i="55"/>
  <c r="AJ40" i="55"/>
  <c r="G10" i="54"/>
  <c r="AL34" i="56"/>
  <c r="AJ41" i="54"/>
  <c r="G31" i="55"/>
  <c r="AJ25" i="54"/>
  <c r="E39" i="56"/>
  <c r="G49" i="54"/>
  <c r="AJ27" i="54"/>
  <c r="AJ23" i="54"/>
  <c r="G46" i="54"/>
  <c r="AL13" i="56"/>
  <c r="AL39" i="56"/>
  <c r="AK33" i="56"/>
  <c r="G44" i="54"/>
  <c r="AJ58" i="54"/>
  <c r="AL18" i="56"/>
  <c r="G28" i="54"/>
  <c r="AK52" i="56"/>
  <c r="E50" i="56"/>
  <c r="E41" i="56"/>
  <c r="AJ64" i="54"/>
  <c r="G51" i="55"/>
  <c r="AK49" i="56"/>
  <c r="AK9" i="56"/>
  <c r="AJ38" i="54"/>
  <c r="AK11" i="56"/>
  <c r="AJ55" i="54"/>
  <c r="G19" i="55"/>
  <c r="G16" i="54"/>
  <c r="AK15" i="55"/>
  <c r="AJ65" i="54"/>
  <c r="AJ63" i="55"/>
  <c r="AL37" i="56"/>
  <c r="AL51" i="56"/>
  <c r="AJ18" i="54"/>
  <c r="E51" i="56"/>
  <c r="G57" i="55"/>
  <c r="AK28" i="55"/>
  <c r="AJ45" i="55"/>
  <c r="E17" i="55"/>
  <c r="G54" i="54"/>
  <c r="AL15" i="56"/>
  <c r="AJ39" i="54"/>
  <c r="G26" i="55"/>
  <c r="G56" i="55"/>
  <c r="G18" i="54"/>
  <c r="AJ67" i="55"/>
  <c r="AJ13" i="54"/>
  <c r="AL11" i="56"/>
  <c r="AJ53" i="54"/>
  <c r="AL11" i="55"/>
  <c r="G49" i="55"/>
  <c r="AK11" i="55"/>
  <c r="G61" i="54"/>
  <c r="AK35" i="56"/>
  <c r="AL30" i="56"/>
  <c r="E48" i="56"/>
  <c r="AK18" i="56"/>
  <c r="G21" i="54"/>
  <c r="E54" i="56"/>
  <c r="AJ36" i="54"/>
  <c r="G48" i="54"/>
  <c r="AK38" i="56"/>
  <c r="AL53" i="56"/>
  <c r="G55" i="55"/>
  <c r="AL28" i="55"/>
  <c r="G17" i="54"/>
  <c r="AJ56" i="54"/>
  <c r="G19" i="54"/>
  <c r="G36" i="55"/>
  <c r="AJ31" i="54"/>
  <c r="AJ61" i="54"/>
  <c r="AJ59" i="54"/>
  <c r="AJ10" i="54"/>
  <c r="G24" i="54"/>
  <c r="AK30" i="55"/>
  <c r="AJ54" i="54"/>
  <c r="AL10" i="56"/>
  <c r="G43" i="54"/>
  <c r="AJ26" i="54"/>
  <c r="G29" i="55"/>
  <c r="AJ17" i="54"/>
  <c r="AJ52" i="55"/>
  <c r="AJ62" i="54"/>
  <c r="E62" i="56"/>
  <c r="E15" i="55"/>
  <c r="AK24" i="56"/>
  <c r="AJ11" i="54"/>
  <c r="AJ14" i="54"/>
  <c r="AK30" i="56"/>
  <c r="AJ55" i="55"/>
  <c r="AK24" i="55"/>
  <c r="AK18" i="55"/>
  <c r="G34" i="54"/>
  <c r="G32" i="55"/>
  <c r="G55" i="54"/>
  <c r="AK17" i="56"/>
  <c r="AJ62" i="55"/>
  <c r="G18" i="55"/>
  <c r="G14" i="55"/>
  <c r="G33" i="54"/>
  <c r="AJ39" i="55"/>
  <c r="AL7" i="55"/>
  <c r="AK36" i="56"/>
  <c r="AL44" i="56"/>
  <c r="AL35" i="56"/>
  <c r="AK55" i="56"/>
  <c r="AJ20" i="55"/>
  <c r="AJ50" i="54"/>
  <c r="AL22" i="56"/>
  <c r="AJ61" i="55"/>
  <c r="E22" i="55"/>
  <c r="AL9" i="55"/>
  <c r="AJ51" i="54"/>
  <c r="AL21" i="56"/>
  <c r="E16" i="56"/>
  <c r="AJ8" i="54"/>
  <c r="AJ51" i="55"/>
  <c r="G15" i="54"/>
  <c r="G27" i="54"/>
  <c r="AL7" i="56"/>
  <c r="G31" i="54"/>
  <c r="G41" i="55"/>
  <c r="G57" i="54"/>
  <c r="AJ58" i="55"/>
  <c r="AJ22" i="54"/>
  <c r="AJ40" i="54"/>
  <c r="G30" i="54"/>
  <c r="AJ57" i="55"/>
  <c r="G64" i="54"/>
  <c r="AK7" i="55"/>
  <c r="G23" i="55"/>
  <c r="AK10" i="55"/>
  <c r="AL16" i="56"/>
  <c r="AJ50" i="55"/>
  <c r="AL32" i="56"/>
  <c r="E44" i="56"/>
  <c r="AK53" i="56"/>
  <c r="G39" i="54"/>
  <c r="G28" i="55"/>
  <c r="G14" i="54"/>
  <c r="AL45" i="56"/>
  <c r="AK15" i="56"/>
  <c r="E6" i="54"/>
  <c r="AJ42" i="54"/>
  <c r="AJ34" i="54"/>
  <c r="E14" i="56"/>
  <c r="G10" i="55"/>
  <c r="G12" i="55"/>
  <c r="E30" i="56"/>
  <c r="AL32" i="55"/>
  <c r="AK45" i="56"/>
  <c r="G47" i="55"/>
  <c r="G16" i="55"/>
  <c r="E56" i="56"/>
  <c r="E35" i="56"/>
  <c r="G38" i="55"/>
  <c r="G24" i="55"/>
  <c r="G62" i="54"/>
  <c r="G29" i="54"/>
  <c r="AK26" i="56"/>
  <c r="AL36" i="56"/>
  <c r="AJ48" i="55"/>
  <c r="AJ45" i="54"/>
  <c r="AJ64" i="55"/>
  <c r="AK44" i="56"/>
  <c r="G42" i="54"/>
  <c r="AJ22" i="55"/>
  <c r="AJ7" i="54"/>
  <c r="AL54" i="56"/>
  <c r="AK26" i="55"/>
  <c r="AL28" i="56"/>
  <c r="AJ30" i="54"/>
  <c r="AK16" i="56"/>
  <c r="AK33" i="55"/>
  <c r="AK37" i="56"/>
  <c r="AJ54" i="55"/>
  <c r="AJ44" i="55"/>
  <c r="E62" i="55"/>
  <c r="AK23" i="56"/>
  <c r="AL29" i="56"/>
  <c r="E58" i="55"/>
  <c r="E52" i="55"/>
  <c r="AK14" i="55"/>
  <c r="AL33" i="55"/>
  <c r="AK32" i="55"/>
  <c r="AK31" i="56"/>
  <c r="AJ49" i="54"/>
  <c r="AL42" i="56"/>
  <c r="G26" i="54"/>
  <c r="G43" i="55"/>
  <c r="AJ56" i="55"/>
  <c r="AJ43" i="54"/>
  <c r="AK58" i="56"/>
  <c r="G36" i="54"/>
  <c r="E48" i="55"/>
  <c r="E37" i="56"/>
  <c r="G35" i="55"/>
  <c r="AL46" i="56"/>
  <c r="E47" i="56"/>
  <c r="E57" i="56"/>
  <c r="G42" i="55"/>
  <c r="G38" i="54"/>
  <c r="AJ49" i="55"/>
  <c r="AJ17" i="55"/>
  <c r="AK12" i="56"/>
  <c r="AJ53" i="55"/>
  <c r="E55" i="56"/>
  <c r="G61" i="55"/>
  <c r="AK7" i="56"/>
  <c r="AK19" i="56"/>
  <c r="AL26" i="55"/>
  <c r="E61" i="56"/>
  <c r="AJ67" i="54"/>
  <c r="AJ19" i="55"/>
  <c r="G41" i="54"/>
  <c r="G56" i="54"/>
  <c r="AK22" i="56"/>
  <c r="AK16" i="55"/>
  <c r="AK34" i="55"/>
  <c r="G11" i="55"/>
  <c r="G13" i="55"/>
  <c r="AK54" i="56"/>
  <c r="AJ48" i="54"/>
  <c r="AL31" i="56"/>
  <c r="AL25" i="56"/>
  <c r="G21" i="55"/>
  <c r="AK8" i="55"/>
  <c r="G47" i="54"/>
  <c r="G45" i="54"/>
  <c r="AK13" i="56"/>
  <c r="AL15" i="55"/>
  <c r="AJ29" i="54"/>
  <c r="AJ65" i="55"/>
  <c r="AK21" i="56"/>
  <c r="G23" i="54"/>
  <c r="E58" i="56"/>
  <c r="G39" i="55"/>
  <c r="AL23" i="56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S31" i="7"/>
  <c r="BS21" i="7"/>
  <c r="BS11" i="7"/>
  <c r="BS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L10" i="54"/>
  <c r="E63" i="54"/>
  <c r="AK57" i="54"/>
  <c r="AK22" i="54"/>
  <c r="AL45" i="54"/>
  <c r="E34" i="54"/>
  <c r="AL25" i="54"/>
  <c r="AK50" i="55"/>
  <c r="E19" i="55"/>
  <c r="E36" i="55"/>
  <c r="E33" i="54"/>
  <c r="AK53" i="55"/>
  <c r="AL16" i="54"/>
  <c r="AK49" i="54"/>
  <c r="AL32" i="54"/>
  <c r="E54" i="55"/>
  <c r="AL9" i="54"/>
  <c r="AL47" i="54"/>
  <c r="AK12" i="54"/>
  <c r="AL56" i="54"/>
  <c r="E39" i="55"/>
  <c r="AK21" i="54"/>
  <c r="E45" i="54"/>
  <c r="AL31" i="54"/>
  <c r="AK18" i="54"/>
  <c r="AL38" i="54"/>
  <c r="AL13" i="54"/>
  <c r="AL55" i="55"/>
  <c r="AK30" i="54"/>
  <c r="E56" i="55"/>
  <c r="AL53" i="54"/>
  <c r="AL44" i="54"/>
  <c r="AK7" i="54"/>
  <c r="AJ9" i="52"/>
  <c r="AL48" i="54"/>
  <c r="AK54" i="54"/>
  <c r="AL63" i="54"/>
  <c r="AL53" i="55"/>
  <c r="AK10" i="54"/>
  <c r="AJ19" i="52"/>
  <c r="AK48" i="54"/>
  <c r="E27" i="55"/>
  <c r="AK20" i="55"/>
  <c r="E36" i="54"/>
  <c r="E23" i="54"/>
  <c r="AL44" i="55"/>
  <c r="AK42" i="54"/>
  <c r="AK37" i="55"/>
  <c r="E50" i="54"/>
  <c r="AK47" i="55"/>
  <c r="E47" i="55"/>
  <c r="AK61" i="55"/>
  <c r="AK26" i="54"/>
  <c r="AL25" i="55"/>
  <c r="E49" i="54"/>
  <c r="AL40" i="55"/>
  <c r="AL26" i="54"/>
  <c r="AK55" i="54"/>
  <c r="AK31" i="55"/>
  <c r="AK16" i="54"/>
  <c r="AL12" i="54"/>
  <c r="AL31" i="55"/>
  <c r="AK62" i="54"/>
  <c r="AL33" i="54"/>
  <c r="E13" i="54"/>
  <c r="AK53" i="54"/>
  <c r="E61" i="55"/>
  <c r="AL19" i="55"/>
  <c r="E40" i="55"/>
  <c r="AK45" i="55"/>
  <c r="AL54" i="54"/>
  <c r="AL34" i="54"/>
  <c r="AL23" i="54"/>
  <c r="AL15" i="54"/>
  <c r="AK40" i="54"/>
  <c r="AK19" i="54"/>
  <c r="AL27" i="55"/>
  <c r="AK20" i="54"/>
  <c r="AK37" i="54"/>
  <c r="AK38" i="55"/>
  <c r="AK54" i="55"/>
  <c r="E25" i="54"/>
  <c r="AK49" i="55"/>
  <c r="E49" i="55"/>
  <c r="AL52" i="54"/>
  <c r="E11" i="54"/>
  <c r="AK63" i="54"/>
  <c r="AK52" i="54"/>
  <c r="AK41" i="54"/>
  <c r="AK41" i="55"/>
  <c r="AK38" i="54"/>
  <c r="AL61" i="55"/>
  <c r="AL45" i="55"/>
  <c r="E31" i="54"/>
  <c r="E15" i="54"/>
  <c r="E18" i="55"/>
  <c r="AL39" i="55"/>
  <c r="AL49" i="54"/>
  <c r="AK36" i="54"/>
  <c r="E34" i="55"/>
  <c r="AL11" i="54"/>
  <c r="E33" i="55"/>
  <c r="AL58" i="55"/>
  <c r="AK46" i="55"/>
  <c r="E13" i="55"/>
  <c r="AL14" i="54"/>
  <c r="E11" i="55"/>
  <c r="AL49" i="55"/>
  <c r="E37" i="55"/>
  <c r="AL43" i="54"/>
  <c r="E21" i="54"/>
  <c r="E55" i="54"/>
  <c r="AL8" i="54"/>
  <c r="AL23" i="55"/>
  <c r="E26" i="55"/>
  <c r="AL57" i="55"/>
  <c r="E17" i="54"/>
  <c r="AL20" i="55"/>
  <c r="AK29" i="54"/>
  <c r="E51" i="55"/>
  <c r="E22" i="54"/>
  <c r="E7" i="54"/>
  <c r="E46" i="55"/>
  <c r="E25" i="55"/>
  <c r="AL56" i="55"/>
  <c r="AL62" i="55"/>
  <c r="AK50" i="54"/>
  <c r="E24" i="55"/>
  <c r="E8" i="54"/>
  <c r="AL36" i="55"/>
  <c r="AL18" i="54"/>
  <c r="E12" i="54"/>
  <c r="AK9" i="54"/>
  <c r="AK51" i="55"/>
  <c r="AK14" i="54"/>
  <c r="E32" i="54"/>
  <c r="E31" i="55"/>
  <c r="AK40" i="55"/>
  <c r="E42" i="54"/>
  <c r="E40" i="54"/>
  <c r="AL37" i="54"/>
  <c r="AK33" i="54"/>
  <c r="AL36" i="54"/>
  <c r="AK19" i="55"/>
  <c r="AL17" i="55"/>
  <c r="AL29" i="55"/>
  <c r="E41" i="55"/>
  <c r="E51" i="54"/>
  <c r="E38" i="54"/>
  <c r="AL41" i="55"/>
  <c r="AL46" i="55"/>
  <c r="AL51" i="55"/>
  <c r="E28" i="55"/>
  <c r="E14" i="54"/>
  <c r="AK27" i="55"/>
  <c r="E8" i="55"/>
  <c r="E53" i="55"/>
  <c r="AK25" i="55"/>
  <c r="AK56" i="55"/>
  <c r="E38" i="55"/>
  <c r="AL52" i="55"/>
  <c r="E42" i="55"/>
  <c r="E10" i="54"/>
  <c r="E23" i="55"/>
  <c r="E6" i="52"/>
  <c r="AL29" i="54"/>
  <c r="E14" i="55"/>
  <c r="AL50" i="54"/>
  <c r="E57" i="55"/>
  <c r="E47" i="54"/>
  <c r="AL19" i="54"/>
  <c r="E44" i="55"/>
  <c r="E29" i="55"/>
  <c r="AK17" i="55"/>
  <c r="E53" i="54"/>
  <c r="AL41" i="54"/>
  <c r="AK42" i="55"/>
  <c r="AL35" i="54"/>
  <c r="AL21" i="54"/>
  <c r="AK56" i="54"/>
  <c r="AL42" i="54"/>
  <c r="AK57" i="55"/>
  <c r="AK25" i="54"/>
  <c r="AL30" i="54"/>
  <c r="AL28" i="54"/>
  <c r="AK46" i="54"/>
  <c r="AK8" i="54"/>
  <c r="AK24" i="54"/>
  <c r="E55" i="55"/>
  <c r="AL20" i="54"/>
  <c r="AK36" i="55"/>
  <c r="E45" i="55"/>
  <c r="AK43" i="54"/>
  <c r="E52" i="54"/>
  <c r="AK27" i="54"/>
  <c r="E61" i="54"/>
  <c r="AL54" i="55"/>
  <c r="E30" i="54"/>
  <c r="AK35" i="54"/>
  <c r="E21" i="55"/>
  <c r="AK61" i="54"/>
  <c r="E50" i="55"/>
  <c r="E41" i="54"/>
  <c r="AK47" i="54"/>
  <c r="AK13" i="54"/>
  <c r="AL50" i="55"/>
  <c r="E62" i="54"/>
  <c r="E16" i="55"/>
  <c r="AL64" i="54"/>
  <c r="AK22" i="55"/>
  <c r="AL61" i="54"/>
  <c r="AK39" i="54"/>
  <c r="AK23" i="54"/>
  <c r="E57" i="54"/>
  <c r="AK44" i="54"/>
  <c r="AK31" i="54"/>
  <c r="E29" i="54"/>
  <c r="E16" i="54"/>
  <c r="AK58" i="55"/>
  <c r="E43" i="54"/>
  <c r="AK55" i="55"/>
  <c r="AL40" i="54"/>
  <c r="AK15" i="54"/>
  <c r="AK62" i="55"/>
  <c r="AK43" i="55"/>
  <c r="AJ57" i="52"/>
  <c r="E64" i="54"/>
  <c r="AK32" i="54"/>
  <c r="E30" i="55"/>
  <c r="AK23" i="55"/>
  <c r="E44" i="54"/>
  <c r="AK29" i="55"/>
  <c r="AK11" i="54"/>
  <c r="AL55" i="54"/>
  <c r="AL22" i="54"/>
  <c r="AL47" i="55"/>
  <c r="E35" i="54"/>
  <c r="G61" i="52"/>
  <c r="AL46" i="54"/>
  <c r="AK51" i="54"/>
  <c r="E48" i="54"/>
  <c r="E39" i="54"/>
  <c r="AK48" i="55"/>
  <c r="AL51" i="54"/>
  <c r="E18" i="54"/>
  <c r="AK34" i="54"/>
  <c r="AL24" i="54"/>
  <c r="E9" i="55"/>
  <c r="AL37" i="55"/>
  <c r="AL42" i="55"/>
  <c r="E9" i="54"/>
  <c r="E35" i="55"/>
  <c r="E12" i="55"/>
  <c r="AK28" i="54"/>
  <c r="AK52" i="55"/>
  <c r="AL17" i="54"/>
  <c r="AL48" i="55"/>
  <c r="E26" i="54"/>
  <c r="AK64" i="54"/>
  <c r="E10" i="55"/>
  <c r="AK44" i="55"/>
  <c r="AL7" i="54"/>
  <c r="AL57" i="54"/>
  <c r="E56" i="54"/>
  <c r="E24" i="54"/>
  <c r="AL38" i="55"/>
  <c r="E54" i="54"/>
  <c r="AK39" i="55"/>
  <c r="AK17" i="54"/>
  <c r="E27" i="54"/>
  <c r="E37" i="54"/>
  <c r="AL62" i="54"/>
  <c r="AL39" i="54"/>
  <c r="E43" i="55"/>
  <c r="E32" i="55"/>
  <c r="AK45" i="54"/>
  <c r="E46" i="54"/>
  <c r="AL27" i="54"/>
  <c r="AL43" i="55"/>
  <c r="E20" i="54"/>
  <c r="E28" i="54"/>
  <c r="AJ50" i="52"/>
  <c r="E19" i="54"/>
  <c r="AL22" i="55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V12" i="56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AX59" i="52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20" i="52"/>
  <c r="G41" i="52"/>
  <c r="E61" i="52"/>
  <c r="AJ34" i="52"/>
  <c r="AJ16" i="52"/>
  <c r="AJ64" i="52"/>
  <c r="G28" i="52"/>
  <c r="AJ41" i="52"/>
  <c r="AJ27" i="52"/>
  <c r="G29" i="52"/>
  <c r="AJ13" i="52"/>
  <c r="G44" i="52"/>
  <c r="AJ43" i="52"/>
  <c r="AJ48" i="52"/>
  <c r="AJ23" i="52"/>
  <c r="G23" i="52"/>
  <c r="AJ55" i="52"/>
  <c r="AJ12" i="52"/>
  <c r="G35" i="52"/>
  <c r="G26" i="52"/>
  <c r="G30" i="52"/>
  <c r="AJ10" i="52"/>
  <c r="AJ17" i="52"/>
  <c r="G36" i="52"/>
  <c r="G47" i="52"/>
  <c r="AJ47" i="52"/>
  <c r="G21" i="52"/>
  <c r="G55" i="52"/>
  <c r="AJ67" i="52"/>
  <c r="G56" i="52"/>
  <c r="G18" i="52"/>
  <c r="AJ25" i="52"/>
  <c r="G54" i="52"/>
  <c r="AJ26" i="52"/>
  <c r="G48" i="52"/>
  <c r="AJ66" i="52"/>
  <c r="G12" i="52"/>
  <c r="AJ29" i="52"/>
  <c r="G53" i="52"/>
  <c r="G34" i="52"/>
  <c r="AJ18" i="52"/>
  <c r="G43" i="52"/>
  <c r="G40" i="52"/>
  <c r="AJ39" i="52"/>
  <c r="AJ21" i="52"/>
  <c r="G14" i="52"/>
  <c r="G7" i="52"/>
  <c r="AJ62" i="52"/>
  <c r="G12" i="51"/>
  <c r="AJ65" i="52"/>
  <c r="G38" i="52"/>
  <c r="AJ36" i="52"/>
  <c r="AJ15" i="52"/>
  <c r="AJ32" i="52"/>
  <c r="G11" i="52"/>
  <c r="AJ8" i="52"/>
  <c r="G51" i="52"/>
  <c r="AJ14" i="52"/>
  <c r="G57" i="52"/>
  <c r="AJ46" i="52"/>
  <c r="G16" i="52"/>
  <c r="AJ42" i="52"/>
  <c r="G24" i="52"/>
  <c r="G45" i="52"/>
  <c r="G46" i="52"/>
  <c r="G37" i="52"/>
  <c r="G31" i="52"/>
  <c r="AJ45" i="52"/>
  <c r="AJ44" i="52"/>
  <c r="G9" i="52"/>
  <c r="AJ59" i="52"/>
  <c r="G42" i="52"/>
  <c r="AJ56" i="52"/>
  <c r="G27" i="52"/>
  <c r="G32" i="52"/>
  <c r="AJ30" i="52"/>
  <c r="AJ54" i="52"/>
  <c r="AJ61" i="52"/>
  <c r="G25" i="52"/>
  <c r="G52" i="52"/>
  <c r="G22" i="52"/>
  <c r="AJ37" i="52"/>
  <c r="AJ11" i="52"/>
  <c r="G10" i="52"/>
  <c r="AJ31" i="52"/>
  <c r="AJ33" i="52"/>
  <c r="G8" i="52"/>
  <c r="AJ52" i="52"/>
  <c r="G64" i="52"/>
  <c r="AJ38" i="52"/>
  <c r="G15" i="51"/>
  <c r="AJ40" i="52"/>
  <c r="AJ49" i="52"/>
  <c r="G15" i="52"/>
  <c r="AJ24" i="52"/>
  <c r="AJ58" i="52"/>
  <c r="G49" i="52"/>
  <c r="AJ35" i="52"/>
  <c r="G13" i="52"/>
  <c r="G63" i="52"/>
  <c r="AJ60" i="52"/>
  <c r="G20" i="52"/>
  <c r="AJ28" i="52"/>
  <c r="AJ63" i="52"/>
  <c r="G50" i="52"/>
  <c r="AJ51" i="52"/>
  <c r="G17" i="52"/>
  <c r="G62" i="52"/>
  <c r="G19" i="52"/>
  <c r="AJ53" i="52"/>
  <c r="G33" i="52"/>
  <c r="AJ7" i="52"/>
  <c r="AJ22" i="52"/>
  <c r="G39" i="52"/>
  <c r="AO11" i="7"/>
  <c r="P8" i="56" l="1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C78" i="5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2" i="52"/>
  <c r="AL11" i="52"/>
  <c r="AK11" i="52"/>
  <c r="E63" i="52"/>
  <c r="G7" i="51"/>
  <c r="E10" i="52"/>
  <c r="O5" i="54" l="1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X8" i="50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O7" i="7"/>
  <c r="BM7" i="7"/>
  <c r="BL32" i="7"/>
  <c r="BO31" i="7"/>
  <c r="BM31" i="7"/>
  <c r="BK21" i="7"/>
  <c r="BL22" i="7"/>
  <c r="BO21" i="7"/>
  <c r="BM21" i="7"/>
  <c r="BO11" i="7"/>
  <c r="BM11" i="7"/>
  <c r="BL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A21" i="7"/>
  <c r="BG21" i="7"/>
  <c r="AU21" i="7"/>
  <c r="CA12" i="7" l="1"/>
  <c r="CC12" i="7"/>
  <c r="CA22" i="7"/>
  <c r="CC22" i="7"/>
  <c r="CA32" i="7"/>
  <c r="CC32" i="7"/>
  <c r="AW8" i="34"/>
  <c r="AX8" i="34" s="1"/>
  <c r="BU12" i="7"/>
  <c r="BY12" i="7"/>
  <c r="BU22" i="7"/>
  <c r="BY22" i="7"/>
  <c r="BU32" i="7"/>
  <c r="BY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BW12" i="7"/>
  <c r="BQ12" i="7"/>
  <c r="BW22" i="7"/>
  <c r="BQ22" i="7"/>
  <c r="BW32" i="7"/>
  <c r="BQ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K31" i="7"/>
  <c r="BM12" i="7"/>
  <c r="BS12" i="7"/>
  <c r="BO22" i="7"/>
  <c r="BS22" i="7"/>
  <c r="BO32" i="7"/>
  <c r="BS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L13" i="7"/>
  <c r="BO12" i="7"/>
  <c r="BL33" i="7"/>
  <c r="BM32" i="7"/>
  <c r="BL23" i="7"/>
  <c r="BM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AX21" i="7"/>
  <c r="BD21" i="7"/>
  <c r="AU31" i="7"/>
  <c r="CA33" i="7" l="1"/>
  <c r="CC33" i="7"/>
  <c r="CC23" i="7"/>
  <c r="CA23" i="7"/>
  <c r="CC13" i="7"/>
  <c r="CA13" i="7"/>
  <c r="Y14" i="46"/>
  <c r="BU23" i="7"/>
  <c r="BY23" i="7"/>
  <c r="BU33" i="7"/>
  <c r="BY33" i="7"/>
  <c r="BU13" i="7"/>
  <c r="BY13" i="7"/>
  <c r="C79" i="46"/>
  <c r="M8" i="46"/>
  <c r="AY15" i="46"/>
  <c r="AY55" i="34"/>
  <c r="AY25" i="34"/>
  <c r="AY37" i="46"/>
  <c r="BW23" i="7"/>
  <c r="BQ23" i="7"/>
  <c r="BW13" i="7"/>
  <c r="BQ13" i="7"/>
  <c r="BW33" i="7"/>
  <c r="BQ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S13" i="7"/>
  <c r="BS33" i="7"/>
  <c r="BS23" i="7"/>
  <c r="BL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O13" i="7"/>
  <c r="BM13" i="7"/>
  <c r="BO33" i="7"/>
  <c r="BM33" i="7"/>
  <c r="BL34" i="7"/>
  <c r="BO23" i="7"/>
  <c r="BM23" i="7"/>
  <c r="BL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A14" i="7" l="1"/>
  <c r="CC14" i="7"/>
  <c r="CA34" i="7"/>
  <c r="CC34" i="7"/>
  <c r="CA24" i="7"/>
  <c r="CC24" i="7"/>
  <c r="BY14" i="7"/>
  <c r="BU34" i="7"/>
  <c r="BY34" i="7"/>
  <c r="BU24" i="7"/>
  <c r="BY24" i="7"/>
  <c r="BQ14" i="7"/>
  <c r="BU14" i="7"/>
  <c r="BW34" i="7"/>
  <c r="BQ34" i="7"/>
  <c r="BW24" i="7"/>
  <c r="BQ24" i="7"/>
  <c r="BO14" i="7"/>
  <c r="BW14" i="7"/>
  <c r="BM14" i="7"/>
  <c r="BL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S14" i="7"/>
  <c r="BS34" i="7"/>
  <c r="BS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O34" i="7"/>
  <c r="BL35" i="7"/>
  <c r="BM34" i="7"/>
  <c r="BO24" i="7"/>
  <c r="BL25" i="7"/>
  <c r="BM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C35" i="7" l="1"/>
  <c r="CA35" i="7"/>
  <c r="CC25" i="7"/>
  <c r="CA25" i="7"/>
  <c r="CC15" i="7"/>
  <c r="CA15" i="7"/>
  <c r="BY15" i="7"/>
  <c r="BU25" i="7"/>
  <c r="BY25" i="7"/>
  <c r="BU35" i="7"/>
  <c r="BY35" i="7"/>
  <c r="BM15" i="7"/>
  <c r="BU15" i="7"/>
  <c r="BO15" i="7"/>
  <c r="BW15" i="7"/>
  <c r="BQ15" i="7"/>
  <c r="BW35" i="7"/>
  <c r="BQ35" i="7"/>
  <c r="BL16" i="7"/>
  <c r="BW25" i="7"/>
  <c r="BQ25" i="7"/>
  <c r="BS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S35" i="7"/>
  <c r="BS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O35" i="7"/>
  <c r="BM35" i="7"/>
  <c r="BL36" i="7"/>
  <c r="BO25" i="7"/>
  <c r="BM25" i="7"/>
  <c r="BL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A36" i="7" l="1"/>
  <c r="CC36" i="7"/>
  <c r="CA16" i="7"/>
  <c r="CC16" i="7"/>
  <c r="CA26" i="7"/>
  <c r="CC26" i="7"/>
  <c r="BY16" i="7"/>
  <c r="BU36" i="7"/>
  <c r="BY36" i="7"/>
  <c r="BU26" i="7"/>
  <c r="BY26" i="7"/>
  <c r="BO16" i="7"/>
  <c r="BU16" i="7"/>
  <c r="BM16" i="7"/>
  <c r="BS16" i="7"/>
  <c r="BW36" i="7"/>
  <c r="BQ36" i="7"/>
  <c r="BW26" i="7"/>
  <c r="BQ26" i="7"/>
  <c r="BW16" i="7"/>
  <c r="BQ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S26" i="7"/>
  <c r="BS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O36" i="7"/>
  <c r="BM36" i="7"/>
  <c r="BO26" i="7"/>
  <c r="BM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AK28" i="52"/>
  <c r="G47" i="50"/>
  <c r="G26" i="49"/>
  <c r="G49" i="49"/>
  <c r="G63" i="49"/>
  <c r="G63" i="51"/>
  <c r="AK17" i="52"/>
  <c r="E45" i="52"/>
  <c r="AL32" i="52"/>
  <c r="E23" i="52"/>
  <c r="G29" i="45"/>
  <c r="G47" i="49"/>
  <c r="G29" i="50"/>
  <c r="AK62" i="52"/>
  <c r="AK13" i="52"/>
  <c r="G50" i="49"/>
  <c r="AJ61" i="50"/>
  <c r="AJ15" i="51"/>
  <c r="AL30" i="52"/>
  <c r="AL49" i="52"/>
  <c r="AJ34" i="50"/>
  <c r="AL27" i="52"/>
  <c r="AJ8" i="51"/>
  <c r="G48" i="51"/>
  <c r="AL43" i="52"/>
  <c r="G29" i="49"/>
  <c r="AL22" i="52"/>
  <c r="AJ23" i="51"/>
  <c r="AJ47" i="51"/>
  <c r="AK26" i="52"/>
  <c r="AJ52" i="51"/>
  <c r="AK36" i="52"/>
  <c r="E39" i="52"/>
  <c r="G10" i="51"/>
  <c r="G12" i="47"/>
  <c r="G56" i="51"/>
  <c r="G13" i="46"/>
  <c r="AK15" i="52"/>
  <c r="E57" i="52"/>
  <c r="AK53" i="52"/>
  <c r="AJ17" i="50"/>
  <c r="G15" i="50"/>
  <c r="AJ53" i="51"/>
  <c r="AJ27" i="51"/>
  <c r="AJ37" i="50"/>
  <c r="AJ10" i="45"/>
  <c r="E37" i="52"/>
  <c r="E24" i="52"/>
  <c r="AJ14" i="49"/>
  <c r="AJ23" i="49"/>
  <c r="AJ62" i="49"/>
  <c r="AJ58" i="47"/>
  <c r="AJ57" i="51"/>
  <c r="AJ41" i="51"/>
  <c r="AJ26" i="51"/>
  <c r="AJ32" i="46"/>
  <c r="AJ11" i="49"/>
  <c r="AK33" i="52"/>
  <c r="AJ30" i="51"/>
  <c r="G34" i="51"/>
  <c r="AK63" i="52"/>
  <c r="G46" i="50"/>
  <c r="G13" i="51"/>
  <c r="E29" i="52"/>
  <c r="E42" i="52"/>
  <c r="E46" i="52"/>
  <c r="AJ36" i="51"/>
  <c r="G20" i="50"/>
  <c r="AJ66" i="49"/>
  <c r="E18" i="52"/>
  <c r="E19" i="52"/>
  <c r="G36" i="50"/>
  <c r="AJ9" i="51"/>
  <c r="G31" i="51"/>
  <c r="AL62" i="52"/>
  <c r="G63" i="50"/>
  <c r="AJ31" i="49"/>
  <c r="E56" i="52"/>
  <c r="G13" i="50"/>
  <c r="AJ57" i="46"/>
  <c r="AJ49" i="49"/>
  <c r="AJ42" i="45"/>
  <c r="AJ13" i="49"/>
  <c r="AK38" i="52"/>
  <c r="AK40" i="52"/>
  <c r="AJ7" i="45"/>
  <c r="AJ19" i="50"/>
  <c r="G32" i="49"/>
  <c r="G36" i="51"/>
  <c r="AJ39" i="50"/>
  <c r="AJ27" i="50"/>
  <c r="G33" i="50"/>
  <c r="G46" i="51"/>
  <c r="AJ21" i="49"/>
  <c r="AJ40" i="46"/>
  <c r="E7" i="51"/>
  <c r="G14" i="46"/>
  <c r="G52" i="49"/>
  <c r="AJ22" i="51"/>
  <c r="AJ40" i="49"/>
  <c r="AL63" i="52"/>
  <c r="AL26" i="52"/>
  <c r="AJ66" i="50"/>
  <c r="E11" i="52"/>
  <c r="AJ45" i="49"/>
  <c r="AJ22" i="50"/>
  <c r="AJ64" i="50"/>
  <c r="AJ64" i="49"/>
  <c r="AJ28" i="49"/>
  <c r="AJ58" i="50"/>
  <c r="G64" i="51"/>
  <c r="G43" i="49"/>
  <c r="E20" i="52"/>
  <c r="AJ51" i="51"/>
  <c r="AJ55" i="49"/>
  <c r="G53" i="51"/>
  <c r="E21" i="52"/>
  <c r="G41" i="49"/>
  <c r="E51" i="52"/>
  <c r="G34" i="50"/>
  <c r="AJ61" i="49"/>
  <c r="E17" i="52"/>
  <c r="AK9" i="52"/>
  <c r="AJ12" i="50"/>
  <c r="G17" i="49"/>
  <c r="G12" i="45"/>
  <c r="G21" i="45"/>
  <c r="AL56" i="52"/>
  <c r="G57" i="51"/>
  <c r="G8" i="49"/>
  <c r="G47" i="51"/>
  <c r="G49" i="50"/>
  <c r="E41" i="52"/>
  <c r="E43" i="52"/>
  <c r="G31" i="49"/>
  <c r="AJ7" i="50"/>
  <c r="AK19" i="52"/>
  <c r="G16" i="49"/>
  <c r="AL38" i="52"/>
  <c r="G51" i="50"/>
  <c r="G50" i="50"/>
  <c r="G20" i="51"/>
  <c r="E8" i="52"/>
  <c r="AJ18" i="51"/>
  <c r="G25" i="49"/>
  <c r="AK61" i="52"/>
  <c r="G58" i="51"/>
  <c r="G11" i="50"/>
  <c r="AJ28" i="51"/>
  <c r="G27" i="51"/>
  <c r="AJ8" i="50"/>
  <c r="G45" i="49"/>
  <c r="G16" i="51"/>
  <c r="G11" i="51"/>
  <c r="G30" i="51"/>
  <c r="G40" i="51"/>
  <c r="AL7" i="52"/>
  <c r="E15" i="52"/>
  <c r="G49" i="51"/>
  <c r="G37" i="51"/>
  <c r="E12" i="51"/>
  <c r="AJ24" i="45"/>
  <c r="E15" i="51"/>
  <c r="AK29" i="52"/>
  <c r="AK31" i="52"/>
  <c r="AJ18" i="49"/>
  <c r="G28" i="47"/>
  <c r="E48" i="52"/>
  <c r="E9" i="52"/>
  <c r="AJ39" i="45"/>
  <c r="AL28" i="52"/>
  <c r="AJ35" i="51"/>
  <c r="AJ14" i="51"/>
  <c r="AJ27" i="49"/>
  <c r="G28" i="49"/>
  <c r="AL21" i="52"/>
  <c r="E30" i="52"/>
  <c r="G19" i="51"/>
  <c r="G39" i="51"/>
  <c r="AJ35" i="49"/>
  <c r="E49" i="52"/>
  <c r="AJ64" i="51"/>
  <c r="G11" i="47"/>
  <c r="G65" i="47"/>
  <c r="AJ18" i="50"/>
  <c r="G35" i="50"/>
  <c r="AJ14" i="50"/>
  <c r="AL52" i="52"/>
  <c r="AJ50" i="46"/>
  <c r="AJ63" i="50"/>
  <c r="G8" i="51"/>
  <c r="E52" i="52"/>
  <c r="AK45" i="52"/>
  <c r="AJ44" i="50"/>
  <c r="AJ22" i="49"/>
  <c r="E54" i="52"/>
  <c r="G23" i="51"/>
  <c r="AK64" i="52"/>
  <c r="AL51" i="52"/>
  <c r="AK12" i="52"/>
  <c r="G23" i="50"/>
  <c r="G57" i="50"/>
  <c r="AJ24" i="50"/>
  <c r="G23" i="49"/>
  <c r="AJ39" i="49"/>
  <c r="AL42" i="52"/>
  <c r="AK46" i="52"/>
  <c r="G10" i="49"/>
  <c r="AJ37" i="51"/>
  <c r="AJ65" i="50"/>
  <c r="G14" i="45"/>
  <c r="AK8" i="52"/>
  <c r="AJ41" i="50"/>
  <c r="AJ43" i="50"/>
  <c r="AK34" i="52"/>
  <c r="G58" i="50"/>
  <c r="AJ48" i="49"/>
  <c r="G39" i="50"/>
  <c r="AJ20" i="45"/>
  <c r="E32" i="52"/>
  <c r="G22" i="51"/>
  <c r="AL55" i="52"/>
  <c r="AJ40" i="50"/>
  <c r="G53" i="49"/>
  <c r="AJ52" i="50"/>
  <c r="AJ54" i="50"/>
  <c r="AJ20" i="49"/>
  <c r="AK49" i="52"/>
  <c r="G9" i="51"/>
  <c r="E31" i="52"/>
  <c r="AJ16" i="49"/>
  <c r="AJ8" i="49"/>
  <c r="AJ58" i="51"/>
  <c r="E7" i="52"/>
  <c r="AJ29" i="51"/>
  <c r="G43" i="51"/>
  <c r="AJ29" i="49"/>
  <c r="AJ25" i="46"/>
  <c r="G25" i="45"/>
  <c r="G56" i="49"/>
  <c r="AJ59" i="49"/>
  <c r="AJ26" i="49"/>
  <c r="AJ7" i="51"/>
  <c r="AL24" i="52"/>
  <c r="G57" i="49"/>
  <c r="AJ23" i="50"/>
  <c r="E47" i="52"/>
  <c r="G52" i="50"/>
  <c r="AJ16" i="45"/>
  <c r="AL45" i="52"/>
  <c r="AJ33" i="50"/>
  <c r="AJ32" i="50"/>
  <c r="G12" i="50"/>
  <c r="AJ54" i="51"/>
  <c r="G39" i="49"/>
  <c r="G34" i="49"/>
  <c r="AJ47" i="49"/>
  <c r="AJ47" i="50"/>
  <c r="AJ16" i="46"/>
  <c r="AL41" i="52"/>
  <c r="AJ65" i="51"/>
  <c r="AL17" i="52"/>
  <c r="E55" i="52"/>
  <c r="AL34" i="52"/>
  <c r="G29" i="51"/>
  <c r="G13" i="47"/>
  <c r="E12" i="52"/>
  <c r="AJ40" i="51"/>
  <c r="AJ62" i="51"/>
  <c r="AJ49" i="51"/>
  <c r="AK37" i="52"/>
  <c r="E50" i="52"/>
  <c r="AJ37" i="49"/>
  <c r="AJ15" i="50"/>
  <c r="AJ28" i="45"/>
  <c r="AJ24" i="49"/>
  <c r="G13" i="45"/>
  <c r="E13" i="52"/>
  <c r="AJ50" i="49"/>
  <c r="AJ57" i="50"/>
  <c r="AL57" i="52"/>
  <c r="AL53" i="52"/>
  <c r="AJ33" i="49"/>
  <c r="E40" i="52"/>
  <c r="AK22" i="52"/>
  <c r="E38" i="52"/>
  <c r="G48" i="49"/>
  <c r="G14" i="49"/>
  <c r="G18" i="50"/>
  <c r="AJ36" i="50"/>
  <c r="G62" i="49"/>
  <c r="G25" i="50"/>
  <c r="G64" i="47"/>
  <c r="AJ54" i="49"/>
  <c r="G61" i="47"/>
  <c r="AJ32" i="51"/>
  <c r="AJ31" i="51"/>
  <c r="G16" i="50"/>
  <c r="G11" i="49"/>
  <c r="G38" i="50"/>
  <c r="AL29" i="52"/>
  <c r="AJ32" i="49"/>
  <c r="G9" i="50"/>
  <c r="G16" i="47"/>
  <c r="G13" i="49"/>
  <c r="AJ25" i="50"/>
  <c r="G20" i="47"/>
  <c r="AK39" i="52"/>
  <c r="G26" i="51"/>
  <c r="G27" i="50"/>
  <c r="AJ45" i="51"/>
  <c r="AJ38" i="51"/>
  <c r="AJ19" i="49"/>
  <c r="G38" i="49"/>
  <c r="G41" i="50"/>
  <c r="G32" i="50"/>
  <c r="AL64" i="52"/>
  <c r="AL37" i="52"/>
  <c r="AJ45" i="50"/>
  <c r="AJ10" i="49"/>
  <c r="G19" i="47"/>
  <c r="AL35" i="52"/>
  <c r="E34" i="52"/>
  <c r="G44" i="50"/>
  <c r="E22" i="52"/>
  <c r="G27" i="49"/>
  <c r="AK7" i="52"/>
  <c r="G44" i="46"/>
  <c r="AJ7" i="49"/>
  <c r="G63" i="47"/>
  <c r="G55" i="51"/>
  <c r="G58" i="49"/>
  <c r="AJ46" i="51"/>
  <c r="G45" i="51"/>
  <c r="AL9" i="52"/>
  <c r="AJ30" i="49"/>
  <c r="AJ53" i="49"/>
  <c r="AJ30" i="50"/>
  <c r="AL14" i="52"/>
  <c r="AK57" i="52"/>
  <c r="AJ21" i="51"/>
  <c r="AJ60" i="50"/>
  <c r="AJ42" i="50"/>
  <c r="G11" i="46"/>
  <c r="AL50" i="52"/>
  <c r="G24" i="50"/>
  <c r="G59" i="49"/>
  <c r="G38" i="51"/>
  <c r="AJ21" i="50"/>
  <c r="AJ63" i="51"/>
  <c r="AK54" i="52"/>
  <c r="G30" i="49"/>
  <c r="G14" i="50"/>
  <c r="G8" i="50"/>
  <c r="AK16" i="52"/>
  <c r="AK21" i="52"/>
  <c r="AJ42" i="49"/>
  <c r="AJ12" i="49"/>
  <c r="AL25" i="52"/>
  <c r="AK43" i="52"/>
  <c r="AJ20" i="46"/>
  <c r="AJ56" i="49"/>
  <c r="AL46" i="52"/>
  <c r="AJ43" i="51"/>
  <c r="AK41" i="52"/>
  <c r="G35" i="51"/>
  <c r="AJ10" i="50"/>
  <c r="AL12" i="52"/>
  <c r="AJ33" i="51"/>
  <c r="AJ67" i="49"/>
  <c r="AK10" i="52"/>
  <c r="AJ60" i="51"/>
  <c r="AJ50" i="51"/>
  <c r="AJ62" i="50"/>
  <c r="AJ55" i="50"/>
  <c r="G18" i="49"/>
  <c r="AL40" i="52"/>
  <c r="AK18" i="52"/>
  <c r="AJ16" i="50"/>
  <c r="G19" i="49"/>
  <c r="G8" i="47"/>
  <c r="AJ28" i="46"/>
  <c r="AJ19" i="51"/>
  <c r="G54" i="49"/>
  <c r="AJ11" i="50"/>
  <c r="E35" i="52"/>
  <c r="G9" i="49"/>
  <c r="AJ25" i="49"/>
  <c r="AK50" i="52"/>
  <c r="AJ46" i="47"/>
  <c r="AL31" i="52"/>
  <c r="G8" i="46"/>
  <c r="AJ25" i="51"/>
  <c r="AJ26" i="50"/>
  <c r="AJ55" i="51"/>
  <c r="AK56" i="52"/>
  <c r="G55" i="50"/>
  <c r="AK35" i="52"/>
  <c r="G62" i="51"/>
  <c r="G17" i="45"/>
  <c r="G30" i="50"/>
  <c r="G37" i="50"/>
  <c r="AK27" i="52"/>
  <c r="AJ35" i="50"/>
  <c r="G21" i="49"/>
  <c r="AJ44" i="49"/>
  <c r="G26" i="50"/>
  <c r="G34" i="45"/>
  <c r="AJ67" i="50"/>
  <c r="AJ61" i="51"/>
  <c r="AL48" i="52"/>
  <c r="AK25" i="52"/>
  <c r="AJ59" i="51"/>
  <c r="G12" i="49"/>
  <c r="G40" i="49"/>
  <c r="G50" i="51"/>
  <c r="G19" i="50"/>
  <c r="AJ31" i="50"/>
  <c r="AJ43" i="49"/>
  <c r="E14" i="52"/>
  <c r="AJ59" i="50"/>
  <c r="G56" i="50"/>
  <c r="AL54" i="52"/>
  <c r="G42" i="51"/>
  <c r="G44" i="49"/>
  <c r="G48" i="50"/>
  <c r="G40" i="50"/>
  <c r="AJ38" i="50"/>
  <c r="AJ56" i="51"/>
  <c r="G42" i="50"/>
  <c r="G7" i="45"/>
  <c r="AJ20" i="50"/>
  <c r="AL8" i="52"/>
  <c r="AJ44" i="51"/>
  <c r="AJ23" i="46"/>
  <c r="AJ15" i="49"/>
  <c r="AJ13" i="51"/>
  <c r="AK20" i="52"/>
  <c r="G46" i="49"/>
  <c r="AK47" i="52"/>
  <c r="AJ17" i="49"/>
  <c r="AL10" i="52"/>
  <c r="G7" i="50"/>
  <c r="G31" i="50"/>
  <c r="G62" i="50"/>
  <c r="G10" i="50"/>
  <c r="G14" i="51"/>
  <c r="AJ17" i="51"/>
  <c r="E28" i="52"/>
  <c r="AJ47" i="45"/>
  <c r="G28" i="50"/>
  <c r="AJ34" i="51"/>
  <c r="G53" i="50"/>
  <c r="G16" i="45"/>
  <c r="AJ49" i="50"/>
  <c r="AJ9" i="49"/>
  <c r="G60" i="46"/>
  <c r="G51" i="51"/>
  <c r="AJ11" i="51"/>
  <c r="AJ48" i="51"/>
  <c r="AJ57" i="49"/>
  <c r="G27" i="47"/>
  <c r="AL44" i="52"/>
  <c r="E53" i="52"/>
  <c r="G16" i="46"/>
  <c r="AJ31" i="46"/>
  <c r="G17" i="50"/>
  <c r="G54" i="50"/>
  <c r="AJ48" i="46"/>
  <c r="G15" i="49"/>
  <c r="AK48" i="52"/>
  <c r="AK23" i="52"/>
  <c r="AL39" i="52"/>
  <c r="AK52" i="52"/>
  <c r="E16" i="52"/>
  <c r="AJ46" i="50"/>
  <c r="AJ60" i="49"/>
  <c r="G18" i="51"/>
  <c r="G8" i="45"/>
  <c r="E36" i="52"/>
  <c r="E33" i="52"/>
  <c r="AJ41" i="49"/>
  <c r="AL47" i="52"/>
  <c r="AJ53" i="50"/>
  <c r="G9" i="46"/>
  <c r="AJ66" i="51"/>
  <c r="AJ36" i="49"/>
  <c r="E64" i="52"/>
  <c r="G55" i="49"/>
  <c r="AJ28" i="50"/>
  <c r="AJ38" i="49"/>
  <c r="G54" i="51"/>
  <c r="G66" i="47"/>
  <c r="E25" i="52"/>
  <c r="AJ46" i="49"/>
  <c r="G33" i="51"/>
  <c r="G35" i="49"/>
  <c r="G12" i="46"/>
  <c r="AJ63" i="49"/>
  <c r="G45" i="50"/>
  <c r="G51" i="49"/>
  <c r="G22" i="49"/>
  <c r="AJ52" i="49"/>
  <c r="AJ65" i="49"/>
  <c r="G28" i="51"/>
  <c r="G41" i="51"/>
  <c r="AJ42" i="51"/>
  <c r="G20" i="49"/>
  <c r="AJ55" i="45"/>
  <c r="AL23" i="52"/>
  <c r="AJ13" i="50"/>
  <c r="AJ58" i="49"/>
  <c r="G37" i="49"/>
  <c r="G42" i="49"/>
  <c r="AJ56" i="50"/>
  <c r="AJ39" i="51"/>
  <c r="G52" i="51"/>
  <c r="AJ50" i="50"/>
  <c r="AL15" i="52"/>
  <c r="G10" i="46"/>
  <c r="G24" i="49"/>
  <c r="AJ20" i="51"/>
  <c r="AJ16" i="51"/>
  <c r="G7" i="49"/>
  <c r="AK14" i="52"/>
  <c r="E27" i="52"/>
  <c r="G44" i="51"/>
  <c r="AL13" i="52"/>
  <c r="AJ24" i="51"/>
  <c r="G32" i="51"/>
  <c r="AJ67" i="51"/>
  <c r="AK42" i="52"/>
  <c r="G64" i="50"/>
  <c r="AL19" i="52"/>
  <c r="AJ10" i="51"/>
  <c r="AJ10" i="47"/>
  <c r="G21" i="51"/>
  <c r="G21" i="50"/>
  <c r="AL20" i="52"/>
  <c r="G43" i="50"/>
  <c r="E44" i="52"/>
  <c r="AJ11" i="47"/>
  <c r="G9" i="45"/>
  <c r="G22" i="50"/>
  <c r="AJ50" i="45"/>
  <c r="G25" i="51"/>
  <c r="AJ11" i="45"/>
  <c r="AK44" i="52"/>
  <c r="AJ51" i="49"/>
  <c r="AL33" i="52"/>
  <c r="AJ34" i="49"/>
  <c r="AL61" i="52"/>
  <c r="AK30" i="52"/>
  <c r="AL36" i="52"/>
  <c r="AJ51" i="50"/>
  <c r="E26" i="52"/>
  <c r="AJ29" i="50"/>
  <c r="G17" i="51"/>
  <c r="AJ9" i="50"/>
  <c r="AK24" i="52"/>
  <c r="G36" i="49"/>
  <c r="G64" i="49"/>
  <c r="AL16" i="52"/>
  <c r="AK55" i="52"/>
  <c r="AJ12" i="51"/>
  <c r="AK51" i="52"/>
  <c r="G24" i="51"/>
  <c r="G9" i="47"/>
  <c r="AJ48" i="50"/>
  <c r="G33" i="49"/>
  <c r="AK32" i="52"/>
  <c r="AL18" i="52"/>
  <c r="AO31" i="7"/>
  <c r="AL7" i="7"/>
  <c r="AO21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E41" i="50"/>
  <c r="E8" i="50"/>
  <c r="AK52" i="50"/>
  <c r="AL55" i="50"/>
  <c r="AK53" i="51"/>
  <c r="AL54" i="50"/>
  <c r="AL28" i="50"/>
  <c r="AL45" i="51"/>
  <c r="AL31" i="50"/>
  <c r="E49" i="51"/>
  <c r="AL48" i="51"/>
  <c r="E30" i="51"/>
  <c r="AL32" i="51"/>
  <c r="E17" i="51"/>
  <c r="AK56" i="51"/>
  <c r="E57" i="51"/>
  <c r="E16" i="51"/>
  <c r="E31" i="51"/>
  <c r="AK14" i="51"/>
  <c r="AK8" i="51"/>
  <c r="E56" i="50"/>
  <c r="E28" i="50"/>
  <c r="E31" i="50"/>
  <c r="AK29" i="50"/>
  <c r="E21" i="50"/>
  <c r="E13" i="51"/>
  <c r="AK14" i="50"/>
  <c r="E29" i="50"/>
  <c r="AK17" i="51"/>
  <c r="AK63" i="50"/>
  <c r="E63" i="50"/>
  <c r="AL31" i="51"/>
  <c r="E43" i="50"/>
  <c r="E52" i="51"/>
  <c r="E48" i="51"/>
  <c r="E39" i="50"/>
  <c r="E38" i="50"/>
  <c r="AL34" i="51"/>
  <c r="AL20" i="50"/>
  <c r="AK18" i="51"/>
  <c r="E15" i="50"/>
  <c r="AK22" i="50"/>
  <c r="E42" i="51"/>
  <c r="E24" i="51"/>
  <c r="AK45" i="50"/>
  <c r="AK51" i="51"/>
  <c r="AK9" i="50"/>
  <c r="AL26" i="51"/>
  <c r="AK50" i="51"/>
  <c r="AL15" i="50"/>
  <c r="AL46" i="51"/>
  <c r="E50" i="51"/>
  <c r="AK35" i="50"/>
  <c r="AL21" i="50"/>
  <c r="E16" i="50"/>
  <c r="AL63" i="51"/>
  <c r="AL25" i="51"/>
  <c r="AL24" i="51"/>
  <c r="AK35" i="51"/>
  <c r="E10" i="50"/>
  <c r="AK53" i="50"/>
  <c r="AL23" i="50"/>
  <c r="AK62" i="50"/>
  <c r="E47" i="50"/>
  <c r="AL62" i="50"/>
  <c r="AK38" i="50"/>
  <c r="AL52" i="51"/>
  <c r="AK40" i="50"/>
  <c r="E47" i="51"/>
  <c r="E20" i="50"/>
  <c r="E43" i="51"/>
  <c r="AL56" i="50"/>
  <c r="AL39" i="50"/>
  <c r="AL27" i="51"/>
  <c r="E14" i="51"/>
  <c r="AK24" i="51"/>
  <c r="AL17" i="51"/>
  <c r="AL26" i="50"/>
  <c r="AK37" i="51"/>
  <c r="E48" i="50"/>
  <c r="E12" i="50"/>
  <c r="AL63" i="50"/>
  <c r="AL30" i="51"/>
  <c r="AL21" i="51"/>
  <c r="E33" i="51"/>
  <c r="E55" i="51"/>
  <c r="AL57" i="51"/>
  <c r="AK43" i="50"/>
  <c r="AL52" i="50"/>
  <c r="AK44" i="51"/>
  <c r="AL57" i="50"/>
  <c r="AK55" i="51"/>
  <c r="AL40" i="51"/>
  <c r="E13" i="49"/>
  <c r="AK33" i="51"/>
  <c r="AK57" i="50"/>
  <c r="E49" i="50"/>
  <c r="E53" i="51"/>
  <c r="AL9" i="50"/>
  <c r="E25" i="51"/>
  <c r="AK48" i="51"/>
  <c r="E55" i="49"/>
  <c r="AK31" i="50"/>
  <c r="AK11" i="50"/>
  <c r="AK12" i="50"/>
  <c r="E53" i="50"/>
  <c r="E24" i="50"/>
  <c r="AK47" i="50"/>
  <c r="AL34" i="50"/>
  <c r="AK15" i="50"/>
  <c r="AK63" i="51"/>
  <c r="AK39" i="51"/>
  <c r="AL37" i="50"/>
  <c r="E38" i="51"/>
  <c r="AL29" i="51"/>
  <c r="AL13" i="51"/>
  <c r="E20" i="51"/>
  <c r="AK16" i="50"/>
  <c r="AK11" i="51"/>
  <c r="AL45" i="50"/>
  <c r="AK20" i="51"/>
  <c r="AL38" i="50"/>
  <c r="AK13" i="51"/>
  <c r="E45" i="50"/>
  <c r="E7" i="50"/>
  <c r="AL30" i="50"/>
  <c r="AL19" i="50"/>
  <c r="E44" i="50"/>
  <c r="E55" i="50"/>
  <c r="AK42" i="50"/>
  <c r="AL24" i="50"/>
  <c r="E35" i="50"/>
  <c r="AL36" i="50"/>
  <c r="AL18" i="51"/>
  <c r="AL44" i="50"/>
  <c r="AK17" i="50"/>
  <c r="AK49" i="50"/>
  <c r="AK16" i="51"/>
  <c r="AK29" i="51"/>
  <c r="AK12" i="51"/>
  <c r="AK7" i="50"/>
  <c r="E33" i="50"/>
  <c r="AK32" i="51"/>
  <c r="AK50" i="50"/>
  <c r="E22" i="51"/>
  <c r="E23" i="51"/>
  <c r="E40" i="50"/>
  <c r="AL18" i="50"/>
  <c r="AK26" i="51"/>
  <c r="AL17" i="50"/>
  <c r="AK52" i="51"/>
  <c r="AL64" i="51"/>
  <c r="E26" i="51"/>
  <c r="AK44" i="50"/>
  <c r="AL49" i="50"/>
  <c r="AK64" i="51"/>
  <c r="E37" i="50"/>
  <c r="AK34" i="51"/>
  <c r="E51" i="50"/>
  <c r="E30" i="50"/>
  <c r="AK24" i="50"/>
  <c r="AK46" i="51"/>
  <c r="AK42" i="51"/>
  <c r="AL7" i="51"/>
  <c r="AK64" i="50"/>
  <c r="AL8" i="50"/>
  <c r="AK8" i="50"/>
  <c r="E9" i="51"/>
  <c r="E27" i="50"/>
  <c r="AL58" i="50"/>
  <c r="AK48" i="50"/>
  <c r="AK32" i="50"/>
  <c r="AL40" i="50"/>
  <c r="AK58" i="50"/>
  <c r="E58" i="50"/>
  <c r="AK22" i="51"/>
  <c r="E32" i="50"/>
  <c r="AL39" i="51"/>
  <c r="E11" i="50"/>
  <c r="AK27" i="50"/>
  <c r="E56" i="51"/>
  <c r="AK25" i="50"/>
  <c r="AK54" i="51"/>
  <c r="AK25" i="51"/>
  <c r="AL32" i="50"/>
  <c r="AL14" i="50"/>
  <c r="AL14" i="51"/>
  <c r="E32" i="51"/>
  <c r="AK41" i="51"/>
  <c r="E42" i="50"/>
  <c r="AK13" i="50"/>
  <c r="AL33" i="50"/>
  <c r="E17" i="50"/>
  <c r="AL29" i="50"/>
  <c r="AK7" i="51"/>
  <c r="AK30" i="51"/>
  <c r="AL11" i="51"/>
  <c r="E26" i="50"/>
  <c r="AL22" i="50"/>
  <c r="E54" i="50"/>
  <c r="AL22" i="51"/>
  <c r="AL41" i="51"/>
  <c r="AK21" i="50"/>
  <c r="AK34" i="50"/>
  <c r="AK10" i="51"/>
  <c r="AL25" i="50"/>
  <c r="AL19" i="51"/>
  <c r="E13" i="50"/>
  <c r="AL13" i="50"/>
  <c r="AK43" i="51"/>
  <c r="AL16" i="50"/>
  <c r="AL12" i="51"/>
  <c r="AL55" i="51"/>
  <c r="AK33" i="50"/>
  <c r="AL9" i="51"/>
  <c r="AK49" i="51"/>
  <c r="E39" i="51"/>
  <c r="E22" i="50"/>
  <c r="E36" i="50"/>
  <c r="E19" i="50"/>
  <c r="E34" i="51"/>
  <c r="AL49" i="51"/>
  <c r="E23" i="50"/>
  <c r="E58" i="51"/>
  <c r="AK54" i="50"/>
  <c r="AL64" i="50"/>
  <c r="E64" i="50"/>
  <c r="AK38" i="51"/>
  <c r="AL37" i="51"/>
  <c r="AK28" i="50"/>
  <c r="AK58" i="51"/>
  <c r="AK57" i="51"/>
  <c r="AL53" i="51"/>
  <c r="AL50" i="50"/>
  <c r="E47" i="49"/>
  <c r="AK19" i="51"/>
  <c r="AK23" i="50"/>
  <c r="E46" i="50"/>
  <c r="AK56" i="50"/>
  <c r="AK18" i="50"/>
  <c r="AK40" i="51"/>
  <c r="E62" i="50"/>
  <c r="AL7" i="50"/>
  <c r="AK27" i="51"/>
  <c r="E18" i="50"/>
  <c r="AL47" i="51"/>
  <c r="AL12" i="50"/>
  <c r="AL54" i="51"/>
  <c r="E57" i="50"/>
  <c r="E62" i="51"/>
  <c r="AL15" i="51"/>
  <c r="AL33" i="51"/>
  <c r="AK37" i="50"/>
  <c r="AL50" i="51"/>
  <c r="E34" i="50"/>
  <c r="E25" i="50"/>
  <c r="AL36" i="51"/>
  <c r="AL10" i="50"/>
  <c r="AL51" i="51"/>
  <c r="E51" i="51"/>
  <c r="E63" i="51"/>
  <c r="AL48" i="50"/>
  <c r="AK21" i="51"/>
  <c r="E21" i="51"/>
  <c r="AK28" i="51"/>
  <c r="E50" i="50"/>
  <c r="E28" i="51"/>
  <c r="E36" i="51"/>
  <c r="AL35" i="51"/>
  <c r="AL35" i="50"/>
  <c r="AK9" i="51"/>
  <c r="AK39" i="50"/>
  <c r="E27" i="51"/>
  <c r="AK62" i="51"/>
  <c r="AK23" i="51"/>
  <c r="AL47" i="50"/>
  <c r="E46" i="51"/>
  <c r="E41" i="51"/>
  <c r="E40" i="51"/>
  <c r="E64" i="51"/>
  <c r="AL38" i="51"/>
  <c r="AL44" i="51"/>
  <c r="AK47" i="51"/>
  <c r="E44" i="51"/>
  <c r="AK51" i="50"/>
  <c r="E45" i="51"/>
  <c r="AK45" i="51"/>
  <c r="AK20" i="50"/>
  <c r="E15" i="49"/>
  <c r="AL56" i="51"/>
  <c r="AL43" i="51"/>
  <c r="E19" i="51"/>
  <c r="AL58" i="51"/>
  <c r="E10" i="51"/>
  <c r="AL51" i="50"/>
  <c r="AK10" i="50"/>
  <c r="E29" i="51"/>
  <c r="AL41" i="50"/>
  <c r="AK36" i="50"/>
  <c r="AK46" i="50"/>
  <c r="AL42" i="50"/>
  <c r="AK26" i="50"/>
  <c r="E9" i="50"/>
  <c r="E52" i="50"/>
  <c r="AL46" i="50"/>
  <c r="AL8" i="51"/>
  <c r="AL27" i="50"/>
  <c r="AK55" i="50"/>
  <c r="E8" i="51"/>
  <c r="AL20" i="51"/>
  <c r="AL10" i="51"/>
  <c r="AK19" i="50"/>
  <c r="AK31" i="51"/>
  <c r="AK41" i="50"/>
  <c r="E18" i="51"/>
  <c r="AL23" i="51"/>
  <c r="AL43" i="50"/>
  <c r="E11" i="51"/>
  <c r="AK30" i="50"/>
  <c r="AL53" i="50"/>
  <c r="E54" i="51"/>
  <c r="AK36" i="51"/>
  <c r="E35" i="51"/>
  <c r="AL42" i="51"/>
  <c r="AL28" i="51"/>
  <c r="E37" i="51"/>
  <c r="AL16" i="51"/>
  <c r="E14" i="50"/>
  <c r="AL62" i="51"/>
  <c r="AK15" i="51"/>
  <c r="AL11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G44" i="43"/>
  <c r="G56" i="47"/>
  <c r="AK52" i="49"/>
  <c r="AJ14" i="45"/>
  <c r="AL36" i="49"/>
  <c r="AJ66" i="45"/>
  <c r="G43" i="46"/>
  <c r="AK55" i="49"/>
  <c r="AL8" i="49"/>
  <c r="AL52" i="49"/>
  <c r="G50" i="43"/>
  <c r="AJ10" i="43"/>
  <c r="G60" i="47"/>
  <c r="AJ30" i="46"/>
  <c r="E13" i="47"/>
  <c r="AK51" i="49"/>
  <c r="AK20" i="45"/>
  <c r="G39" i="46"/>
  <c r="AL42" i="45"/>
  <c r="G20" i="45"/>
  <c r="AK59" i="49"/>
  <c r="E52" i="49"/>
  <c r="E48" i="49"/>
  <c r="AJ36" i="45"/>
  <c r="G11" i="45"/>
  <c r="AJ24" i="43"/>
  <c r="AJ64" i="45"/>
  <c r="G55" i="43"/>
  <c r="E8" i="45"/>
  <c r="AJ59" i="43"/>
  <c r="G47" i="43"/>
  <c r="AJ65" i="47"/>
  <c r="E66" i="47"/>
  <c r="E11" i="47"/>
  <c r="G29" i="46"/>
  <c r="AJ21" i="46"/>
  <c r="AK44" i="49"/>
  <c r="AK46" i="47"/>
  <c r="E9" i="45"/>
  <c r="AL21" i="49"/>
  <c r="AJ23" i="45"/>
  <c r="AL17" i="49"/>
  <c r="E18" i="49"/>
  <c r="G14" i="47"/>
  <c r="AK21" i="49"/>
  <c r="AK62" i="49"/>
  <c r="AL30" i="49"/>
  <c r="AL38" i="49"/>
  <c r="AJ23" i="47"/>
  <c r="AJ51" i="46"/>
  <c r="E41" i="49"/>
  <c r="G25" i="47"/>
  <c r="G26" i="45"/>
  <c r="G38" i="46"/>
  <c r="E12" i="47"/>
  <c r="G33" i="45"/>
  <c r="G45" i="45"/>
  <c r="AK22" i="49"/>
  <c r="AJ7" i="46"/>
  <c r="G17" i="43"/>
  <c r="AJ14" i="43"/>
  <c r="AL58" i="49"/>
  <c r="AJ51" i="43"/>
  <c r="AJ16" i="47"/>
  <c r="AL15" i="49"/>
  <c r="AK63" i="49"/>
  <c r="G46" i="46"/>
  <c r="G10" i="47"/>
  <c r="AJ15" i="47"/>
  <c r="AJ48" i="45"/>
  <c r="G41" i="46"/>
  <c r="G54" i="46"/>
  <c r="G31" i="46"/>
  <c r="AJ22" i="45"/>
  <c r="AJ42" i="47"/>
  <c r="G41" i="45"/>
  <c r="G13" i="43"/>
  <c r="G30" i="46"/>
  <c r="AK33" i="49"/>
  <c r="E10" i="46"/>
  <c r="AJ38" i="43"/>
  <c r="AK49" i="49"/>
  <c r="E56" i="49"/>
  <c r="AJ19" i="47"/>
  <c r="AJ51" i="47"/>
  <c r="AJ40" i="47"/>
  <c r="AL48" i="49"/>
  <c r="AJ13" i="45"/>
  <c r="G19" i="46"/>
  <c r="E50" i="49"/>
  <c r="G25" i="43"/>
  <c r="G29" i="47"/>
  <c r="G46" i="45"/>
  <c r="G39" i="43"/>
  <c r="G35" i="45"/>
  <c r="AJ52" i="43"/>
  <c r="AJ17" i="45"/>
  <c r="E37" i="49"/>
  <c r="AJ19" i="46"/>
  <c r="AJ54" i="47"/>
  <c r="G10" i="43"/>
  <c r="G62" i="45"/>
  <c r="G37" i="47"/>
  <c r="G49" i="46"/>
  <c r="AK40" i="46"/>
  <c r="E31" i="49"/>
  <c r="E57" i="49"/>
  <c r="G39" i="45"/>
  <c r="G23" i="46"/>
  <c r="AL23" i="49"/>
  <c r="G45" i="43"/>
  <c r="E8" i="47"/>
  <c r="AL24" i="45"/>
  <c r="AJ22" i="46"/>
  <c r="AK7" i="45"/>
  <c r="E63" i="47"/>
  <c r="AJ33" i="47"/>
  <c r="AJ64" i="47"/>
  <c r="E32" i="49"/>
  <c r="AL28" i="46"/>
  <c r="G52" i="43"/>
  <c r="E61" i="47"/>
  <c r="AK20" i="49"/>
  <c r="AJ7" i="43"/>
  <c r="AK8" i="49"/>
  <c r="G48" i="46"/>
  <c r="E16" i="46"/>
  <c r="G44" i="47"/>
  <c r="AJ47" i="43"/>
  <c r="AJ59" i="47"/>
  <c r="G40" i="47"/>
  <c r="AL14" i="49"/>
  <c r="AJ60" i="47"/>
  <c r="E34" i="45"/>
  <c r="E16" i="47"/>
  <c r="AK19" i="49"/>
  <c r="G9" i="43"/>
  <c r="AK11" i="45"/>
  <c r="AJ46" i="43"/>
  <c r="G26" i="47"/>
  <c r="E33" i="49"/>
  <c r="AL59" i="49"/>
  <c r="AJ34" i="47"/>
  <c r="E9" i="46"/>
  <c r="AL16" i="49"/>
  <c r="E36" i="49"/>
  <c r="AJ47" i="46"/>
  <c r="G40" i="46"/>
  <c r="G24" i="45"/>
  <c r="G47" i="45"/>
  <c r="AJ24" i="46"/>
  <c r="G15" i="47"/>
  <c r="AJ57" i="43"/>
  <c r="G44" i="45"/>
  <c r="G18" i="45"/>
  <c r="E26" i="49"/>
  <c r="G62" i="46"/>
  <c r="G23" i="47"/>
  <c r="G10" i="45"/>
  <c r="AJ38" i="45"/>
  <c r="AJ35" i="43"/>
  <c r="G64" i="45"/>
  <c r="AJ19" i="45"/>
  <c r="AJ66" i="43"/>
  <c r="E51" i="49"/>
  <c r="AL10" i="45"/>
  <c r="G40" i="43"/>
  <c r="AK10" i="45"/>
  <c r="G48" i="43"/>
  <c r="AK56" i="49"/>
  <c r="AL16" i="46"/>
  <c r="AJ41" i="43"/>
  <c r="AL19" i="49"/>
  <c r="AL27" i="49"/>
  <c r="E46" i="49"/>
  <c r="AK32" i="46"/>
  <c r="G48" i="47"/>
  <c r="AJ30" i="45"/>
  <c r="AL57" i="46"/>
  <c r="AK11" i="49"/>
  <c r="G57" i="43"/>
  <c r="AJ54" i="46"/>
  <c r="AJ33" i="43"/>
  <c r="G8" i="43"/>
  <c r="AK39" i="49"/>
  <c r="G51" i="46"/>
  <c r="AL42" i="49"/>
  <c r="G27" i="43"/>
  <c r="AJ28" i="43"/>
  <c r="G52" i="46"/>
  <c r="AL7" i="45"/>
  <c r="G52" i="47"/>
  <c r="G65" i="45"/>
  <c r="E14" i="45"/>
  <c r="AL40" i="46"/>
  <c r="AK38" i="49"/>
  <c r="AJ32" i="47"/>
  <c r="G47" i="47"/>
  <c r="AJ37" i="46"/>
  <c r="G27" i="46"/>
  <c r="AJ20" i="43"/>
  <c r="G53" i="45"/>
  <c r="AJ31" i="47"/>
  <c r="AJ29" i="47"/>
  <c r="AL10" i="49"/>
  <c r="AJ53" i="47"/>
  <c r="G24" i="46"/>
  <c r="AK26" i="49"/>
  <c r="AJ55" i="47"/>
  <c r="AJ39" i="43"/>
  <c r="G31" i="47"/>
  <c r="AK53" i="49"/>
  <c r="G42" i="45"/>
  <c r="G41" i="43"/>
  <c r="E19" i="47"/>
  <c r="AJ27" i="45"/>
  <c r="E14" i="46"/>
  <c r="AL32" i="46"/>
  <c r="AJ44" i="43"/>
  <c r="AL25" i="49"/>
  <c r="AJ49" i="45"/>
  <c r="G42" i="43"/>
  <c r="AJ67" i="47"/>
  <c r="AK42" i="45"/>
  <c r="G15" i="46"/>
  <c r="G51" i="45"/>
  <c r="E20" i="47"/>
  <c r="AJ52" i="45"/>
  <c r="AK12" i="49"/>
  <c r="AL50" i="46"/>
  <c r="AJ49" i="43"/>
  <c r="AJ37" i="45"/>
  <c r="G17" i="47"/>
  <c r="G35" i="46"/>
  <c r="E16" i="49"/>
  <c r="AJ34" i="46"/>
  <c r="AL41" i="49"/>
  <c r="E49" i="49"/>
  <c r="E35" i="49"/>
  <c r="AJ8" i="47"/>
  <c r="AJ43" i="45"/>
  <c r="G62" i="43"/>
  <c r="G35" i="47"/>
  <c r="AJ10" i="46"/>
  <c r="AK16" i="49"/>
  <c r="AJ15" i="45"/>
  <c r="G54" i="43"/>
  <c r="AJ62" i="46"/>
  <c r="AJ29" i="46"/>
  <c r="AK64" i="49"/>
  <c r="G43" i="43"/>
  <c r="AL31" i="46"/>
  <c r="AJ50" i="43"/>
  <c r="AJ63" i="47"/>
  <c r="G58" i="45"/>
  <c r="E17" i="45"/>
  <c r="AL23" i="46"/>
  <c r="G49" i="45"/>
  <c r="E12" i="49"/>
  <c r="G48" i="45"/>
  <c r="E30" i="49"/>
  <c r="AL26" i="49"/>
  <c r="AJ9" i="47"/>
  <c r="AJ24" i="47"/>
  <c r="G11" i="43"/>
  <c r="AL64" i="49"/>
  <c r="AJ28" i="47"/>
  <c r="AK28" i="49"/>
  <c r="E29" i="49"/>
  <c r="AK20" i="46"/>
  <c r="AL12" i="49"/>
  <c r="G22" i="47"/>
  <c r="AJ41" i="47"/>
  <c r="AJ40" i="43"/>
  <c r="G55" i="45"/>
  <c r="AJ42" i="43"/>
  <c r="AJ65" i="46"/>
  <c r="AK17" i="49"/>
  <c r="AJ42" i="46"/>
  <c r="AL43" i="49"/>
  <c r="E44" i="49"/>
  <c r="AK28" i="45"/>
  <c r="AJ53" i="43"/>
  <c r="AL51" i="49"/>
  <c r="AJ58" i="46"/>
  <c r="AJ62" i="45"/>
  <c r="G54" i="45"/>
  <c r="AJ8" i="45"/>
  <c r="AK25" i="46"/>
  <c r="AJ17" i="43"/>
  <c r="AK43" i="49"/>
  <c r="G39" i="47"/>
  <c r="G59" i="46"/>
  <c r="E24" i="49"/>
  <c r="AJ26" i="46"/>
  <c r="AJ34" i="45"/>
  <c r="AL29" i="49"/>
  <c r="AK11" i="47"/>
  <c r="G51" i="43"/>
  <c r="AL31" i="49"/>
  <c r="AJ7" i="47"/>
  <c r="G59" i="45"/>
  <c r="G37" i="46"/>
  <c r="AK16" i="45"/>
  <c r="AK9" i="49"/>
  <c r="G34" i="46"/>
  <c r="AK50" i="45"/>
  <c r="AL46" i="49"/>
  <c r="E25" i="49"/>
  <c r="G65" i="46"/>
  <c r="AK37" i="49"/>
  <c r="G63" i="43"/>
  <c r="AJ27" i="43"/>
  <c r="AL50" i="45"/>
  <c r="G34" i="47"/>
  <c r="E21" i="49"/>
  <c r="AJ8" i="46"/>
  <c r="AJ18" i="47"/>
  <c r="AJ51" i="45"/>
  <c r="AL55" i="49"/>
  <c r="AK57" i="46"/>
  <c r="G15" i="43"/>
  <c r="G7" i="47"/>
  <c r="AJ45" i="47"/>
  <c r="G28" i="43"/>
  <c r="G30" i="47"/>
  <c r="AJ26" i="47"/>
  <c r="G33" i="43"/>
  <c r="G20" i="43"/>
  <c r="G53" i="46"/>
  <c r="AJ53" i="46"/>
  <c r="AJ30" i="43"/>
  <c r="AK18" i="49"/>
  <c r="AJ55" i="46"/>
  <c r="AK23" i="46"/>
  <c r="AJ9" i="43"/>
  <c r="AJ12" i="43"/>
  <c r="AL10" i="47"/>
  <c r="G57" i="45"/>
  <c r="G26" i="46"/>
  <c r="AJ15" i="43"/>
  <c r="E28" i="47"/>
  <c r="AK40" i="49"/>
  <c r="G41" i="47"/>
  <c r="AJ58" i="45"/>
  <c r="E10" i="49"/>
  <c r="AJ56" i="43"/>
  <c r="E9" i="49"/>
  <c r="AJ67" i="43"/>
  <c r="AK15" i="49"/>
  <c r="AJ60" i="45"/>
  <c r="G36" i="45"/>
  <c r="AK34" i="49"/>
  <c r="AJ8" i="43"/>
  <c r="AK25" i="49"/>
  <c r="G31" i="43"/>
  <c r="E28" i="49"/>
  <c r="AJ18" i="45"/>
  <c r="AK39" i="45"/>
  <c r="AK58" i="47"/>
  <c r="AK48" i="49"/>
  <c r="AJ64" i="43"/>
  <c r="AJ25" i="47"/>
  <c r="AJ26" i="43"/>
  <c r="AJ35" i="45"/>
  <c r="E54" i="49"/>
  <c r="AL34" i="49"/>
  <c r="AK47" i="49"/>
  <c r="G15" i="45"/>
  <c r="G38" i="47"/>
  <c r="AJ36" i="46"/>
  <c r="G31" i="45"/>
  <c r="G22" i="46"/>
  <c r="G56" i="43"/>
  <c r="G37" i="43"/>
  <c r="G32" i="46"/>
  <c r="AL11" i="49"/>
  <c r="G35" i="43"/>
  <c r="AJ48" i="43"/>
  <c r="AJ12" i="45"/>
  <c r="AJ19" i="43"/>
  <c r="AJ44" i="45"/>
  <c r="AJ39" i="46"/>
  <c r="AK50" i="46"/>
  <c r="E38" i="49"/>
  <c r="G7" i="43"/>
  <c r="AL11" i="45"/>
  <c r="AJ46" i="45"/>
  <c r="AJ37" i="47"/>
  <c r="AJ36" i="43"/>
  <c r="AJ45" i="45"/>
  <c r="E62" i="49"/>
  <c r="G18" i="46"/>
  <c r="AJ50" i="47"/>
  <c r="AJ63" i="43"/>
  <c r="AJ38" i="46"/>
  <c r="G23" i="43"/>
  <c r="AJ60" i="43"/>
  <c r="AK58" i="49"/>
  <c r="AJ15" i="46"/>
  <c r="AJ56" i="47"/>
  <c r="AJ31" i="45"/>
  <c r="AJ64" i="46"/>
  <c r="AJ57" i="45"/>
  <c r="AJ13" i="43"/>
  <c r="G53" i="43"/>
  <c r="AL48" i="46"/>
  <c r="G32" i="43"/>
  <c r="AL49" i="49"/>
  <c r="AL7" i="49"/>
  <c r="G43" i="45"/>
  <c r="E27" i="47"/>
  <c r="G21" i="47"/>
  <c r="AK55" i="45"/>
  <c r="AJ56" i="46"/>
  <c r="AK36" i="49"/>
  <c r="G30" i="43"/>
  <c r="G53" i="47"/>
  <c r="AJ62" i="47"/>
  <c r="AJ56" i="45"/>
  <c r="E64" i="47"/>
  <c r="G28" i="46"/>
  <c r="AJ9" i="45"/>
  <c r="G57" i="46"/>
  <c r="E43" i="49"/>
  <c r="G36" i="46"/>
  <c r="AK31" i="46"/>
  <c r="AL44" i="49"/>
  <c r="G64" i="46"/>
  <c r="AL56" i="49"/>
  <c r="AJ67" i="46"/>
  <c r="AJ21" i="43"/>
  <c r="E12" i="46"/>
  <c r="AJ22" i="47"/>
  <c r="G56" i="46"/>
  <c r="AJ44" i="47"/>
  <c r="AK7" i="49"/>
  <c r="AK47" i="45"/>
  <c r="AJ11" i="46"/>
  <c r="AJ13" i="46"/>
  <c r="G18" i="47"/>
  <c r="AJ52" i="47"/>
  <c r="AL22" i="49"/>
  <c r="G47" i="46"/>
  <c r="AK30" i="49"/>
  <c r="E8" i="49"/>
  <c r="AK48" i="46"/>
  <c r="E23" i="49"/>
  <c r="AL63" i="49"/>
  <c r="E14" i="49"/>
  <c r="AJ65" i="45"/>
  <c r="AJ33" i="46"/>
  <c r="AJ61" i="45"/>
  <c r="G46" i="43"/>
  <c r="AJ31" i="43"/>
  <c r="E13" i="45"/>
  <c r="AJ45" i="43"/>
  <c r="AJ60" i="46"/>
  <c r="G38" i="45"/>
  <c r="AL40" i="49"/>
  <c r="E22" i="49"/>
  <c r="G32" i="47"/>
  <c r="G45" i="47"/>
  <c r="G36" i="43"/>
  <c r="AK31" i="49"/>
  <c r="AJ17" i="47"/>
  <c r="AL50" i="49"/>
  <c r="AK24" i="45"/>
  <c r="AL33" i="49"/>
  <c r="AJ30" i="47"/>
  <c r="AL24" i="49"/>
  <c r="E65" i="47"/>
  <c r="AJ40" i="45"/>
  <c r="G55" i="46"/>
  <c r="AJ14" i="46"/>
  <c r="E42" i="49"/>
  <c r="G58" i="43"/>
  <c r="AJ61" i="43"/>
  <c r="E40" i="49"/>
  <c r="AK16" i="46"/>
  <c r="G24" i="43"/>
  <c r="AJ63" i="45"/>
  <c r="G63" i="46"/>
  <c r="AL39" i="49"/>
  <c r="G23" i="45"/>
  <c r="E64" i="49"/>
  <c r="G59" i="43"/>
  <c r="G59" i="47"/>
  <c r="G51" i="47"/>
  <c r="AJ49" i="47"/>
  <c r="AL46" i="47"/>
  <c r="AL18" i="49"/>
  <c r="G58" i="46"/>
  <c r="AL45" i="49"/>
  <c r="E9" i="47"/>
  <c r="AL16" i="45"/>
  <c r="AJ32" i="45"/>
  <c r="G45" i="46"/>
  <c r="G19" i="43"/>
  <c r="G18" i="43"/>
  <c r="E12" i="45"/>
  <c r="AJ29" i="43"/>
  <c r="G38" i="43"/>
  <c r="AJ35" i="46"/>
  <c r="E27" i="49"/>
  <c r="G58" i="47"/>
  <c r="G16" i="43"/>
  <c r="E34" i="49"/>
  <c r="E21" i="45"/>
  <c r="AL25" i="46"/>
  <c r="G30" i="45"/>
  <c r="G14" i="43"/>
  <c r="E39" i="49"/>
  <c r="G49" i="47"/>
  <c r="AJ26" i="45"/>
  <c r="AK28" i="46"/>
  <c r="AJ9" i="46"/>
  <c r="AK32" i="49"/>
  <c r="AL11" i="47"/>
  <c r="AL32" i="49"/>
  <c r="G20" i="46"/>
  <c r="AJ23" i="43"/>
  <c r="AJ29" i="45"/>
  <c r="AJ65" i="43"/>
  <c r="AL28" i="45"/>
  <c r="AJ33" i="45"/>
  <c r="E45" i="49"/>
  <c r="AL20" i="45"/>
  <c r="AJ44" i="46"/>
  <c r="AJ27" i="47"/>
  <c r="G56" i="45"/>
  <c r="G26" i="43"/>
  <c r="G29" i="43"/>
  <c r="AJ18" i="43"/>
  <c r="AL58" i="47"/>
  <c r="AJ46" i="46"/>
  <c r="AL28" i="49"/>
  <c r="G25" i="46"/>
  <c r="AK24" i="49"/>
  <c r="AJ12" i="46"/>
  <c r="G17" i="46"/>
  <c r="G24" i="47"/>
  <c r="G64" i="43"/>
  <c r="AK10" i="49"/>
  <c r="AK42" i="49"/>
  <c r="AL20" i="46"/>
  <c r="AJ37" i="43"/>
  <c r="G49" i="43"/>
  <c r="E29" i="45"/>
  <c r="AK27" i="49"/>
  <c r="E16" i="45"/>
  <c r="AK46" i="49"/>
  <c r="G28" i="45"/>
  <c r="AJ41" i="45"/>
  <c r="AJ66" i="47"/>
  <c r="G52" i="45"/>
  <c r="AJ58" i="43"/>
  <c r="AL62" i="49"/>
  <c r="G21" i="46"/>
  <c r="AK54" i="49"/>
  <c r="AJ41" i="46"/>
  <c r="E17" i="49"/>
  <c r="G34" i="43"/>
  <c r="G50" i="46"/>
  <c r="AJ13" i="47"/>
  <c r="G40" i="45"/>
  <c r="AJ35" i="47"/>
  <c r="G50" i="45"/>
  <c r="AK13" i="49"/>
  <c r="AL35" i="49"/>
  <c r="AJ47" i="47"/>
  <c r="G7" i="46"/>
  <c r="G33" i="46"/>
  <c r="G55" i="47"/>
  <c r="AK45" i="49"/>
  <c r="G57" i="47"/>
  <c r="AJ21" i="47"/>
  <c r="AJ43" i="46"/>
  <c r="AL55" i="45"/>
  <c r="AJ43" i="47"/>
  <c r="AJ27" i="46"/>
  <c r="E53" i="49"/>
  <c r="AL37" i="49"/>
  <c r="G54" i="47"/>
  <c r="AJ54" i="43"/>
  <c r="G27" i="45"/>
  <c r="G12" i="43"/>
  <c r="AJ52" i="46"/>
  <c r="AJ17" i="46"/>
  <c r="AK10" i="47"/>
  <c r="AJ62" i="43"/>
  <c r="AL47" i="45"/>
  <c r="E8" i="46"/>
  <c r="E19" i="49"/>
  <c r="AJ48" i="47"/>
  <c r="AJ49" i="46"/>
  <c r="E59" i="49"/>
  <c r="E7" i="45"/>
  <c r="AJ61" i="47"/>
  <c r="G37" i="45"/>
  <c r="E13" i="46"/>
  <c r="AL47" i="49"/>
  <c r="E11" i="46"/>
  <c r="AL9" i="49"/>
  <c r="E44" i="46"/>
  <c r="G32" i="45"/>
  <c r="AJ20" i="47"/>
  <c r="G21" i="43"/>
  <c r="AJ66" i="46"/>
  <c r="G36" i="47"/>
  <c r="AL13" i="49"/>
  <c r="E63" i="49"/>
  <c r="AJ21" i="45"/>
  <c r="G22" i="43"/>
  <c r="G22" i="45"/>
  <c r="AL39" i="45"/>
  <c r="E11" i="49"/>
  <c r="G42" i="46"/>
  <c r="E7" i="49"/>
  <c r="AL20" i="49"/>
  <c r="AJ53" i="45"/>
  <c r="AL53" i="49"/>
  <c r="AJ32" i="43"/>
  <c r="AJ45" i="46"/>
  <c r="AJ59" i="46"/>
  <c r="G46" i="47"/>
  <c r="AJ25" i="45"/>
  <c r="AJ67" i="45"/>
  <c r="AJ63" i="46"/>
  <c r="G19" i="45"/>
  <c r="AJ38" i="47"/>
  <c r="AK41" i="49"/>
  <c r="AJ57" i="47"/>
  <c r="AJ55" i="43"/>
  <c r="AJ39" i="47"/>
  <c r="E20" i="49"/>
  <c r="AJ43" i="43"/>
  <c r="AL54" i="49"/>
  <c r="AJ16" i="43"/>
  <c r="AK57" i="49"/>
  <c r="E25" i="45"/>
  <c r="G42" i="47"/>
  <c r="AK35" i="49"/>
  <c r="G33" i="47"/>
  <c r="AL57" i="49"/>
  <c r="AJ12" i="47"/>
  <c r="AJ59" i="45"/>
  <c r="AJ18" i="46"/>
  <c r="E58" i="49"/>
  <c r="G43" i="47"/>
  <c r="AJ61" i="46"/>
  <c r="AJ11" i="43"/>
  <c r="AJ36" i="47"/>
  <c r="AJ34" i="43"/>
  <c r="AK50" i="49"/>
  <c r="AK23" i="49"/>
  <c r="AJ25" i="43"/>
  <c r="AJ54" i="45"/>
  <c r="AJ14" i="47"/>
  <c r="AK14" i="49"/>
  <c r="AJ22" i="43"/>
  <c r="G63" i="45"/>
  <c r="AK29" i="49"/>
  <c r="G50" i="47"/>
  <c r="AR31" i="7"/>
  <c r="AR11" i="7"/>
  <c r="AR2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K8" i="45"/>
  <c r="AL8" i="43"/>
  <c r="AL45" i="47"/>
  <c r="AL65" i="47"/>
  <c r="AK42" i="46"/>
  <c r="AL33" i="43"/>
  <c r="AL41" i="45"/>
  <c r="AK15" i="46"/>
  <c r="AL52" i="46"/>
  <c r="AK51" i="43"/>
  <c r="AK41" i="45"/>
  <c r="AL63" i="45"/>
  <c r="AL14" i="46"/>
  <c r="E49" i="46"/>
  <c r="AL54" i="43"/>
  <c r="AL62" i="43"/>
  <c r="AL45" i="43"/>
  <c r="AK9" i="46"/>
  <c r="AL24" i="43"/>
  <c r="E24" i="46"/>
  <c r="AK43" i="43"/>
  <c r="E23" i="46"/>
  <c r="E41" i="43"/>
  <c r="AL15" i="45"/>
  <c r="E46" i="45"/>
  <c r="AK21" i="46"/>
  <c r="AL20" i="43"/>
  <c r="AK53" i="46"/>
  <c r="AL17" i="43"/>
  <c r="AL43" i="47"/>
  <c r="E35" i="47"/>
  <c r="AL43" i="46"/>
  <c r="AL27" i="46"/>
  <c r="E49" i="45"/>
  <c r="E33" i="43"/>
  <c r="AL35" i="47"/>
  <c r="E19" i="43"/>
  <c r="AL49" i="45"/>
  <c r="E52" i="43"/>
  <c r="AL7" i="43"/>
  <c r="E22" i="46"/>
  <c r="AK48" i="45"/>
  <c r="E54" i="45"/>
  <c r="AL36" i="47"/>
  <c r="AL56" i="46"/>
  <c r="E51" i="45"/>
  <c r="E45" i="47"/>
  <c r="AL30" i="46"/>
  <c r="AK35" i="45"/>
  <c r="E47" i="43"/>
  <c r="E36" i="47"/>
  <c r="AK19" i="43"/>
  <c r="E7" i="43"/>
  <c r="AL31" i="45"/>
  <c r="AK55" i="43"/>
  <c r="E31" i="43"/>
  <c r="AL29" i="45"/>
  <c r="AK50" i="47"/>
  <c r="AK45" i="45"/>
  <c r="AL64" i="47"/>
  <c r="E39" i="45"/>
  <c r="AK66" i="47"/>
  <c r="AL14" i="43"/>
  <c r="E22" i="45"/>
  <c r="AK49" i="46"/>
  <c r="E18" i="45"/>
  <c r="AK29" i="45"/>
  <c r="AK22" i="43"/>
  <c r="AK60" i="46"/>
  <c r="AK44" i="45"/>
  <c r="AK55" i="46"/>
  <c r="AL26" i="45"/>
  <c r="AK52" i="46"/>
  <c r="E27" i="45"/>
  <c r="AL31" i="47"/>
  <c r="AL30" i="45"/>
  <c r="AK19" i="45"/>
  <c r="E15" i="47"/>
  <c r="E38" i="47"/>
  <c r="AK18" i="45"/>
  <c r="AL8" i="46"/>
  <c r="AK14" i="46"/>
  <c r="AL66" i="47"/>
  <c r="AK9" i="45"/>
  <c r="AK58" i="43"/>
  <c r="AK13" i="47"/>
  <c r="E35" i="45"/>
  <c r="AK7" i="46"/>
  <c r="E42" i="45"/>
  <c r="E14" i="43"/>
  <c r="AK23" i="43"/>
  <c r="AK48" i="47"/>
  <c r="E48" i="45"/>
  <c r="E25" i="43"/>
  <c r="E7" i="46"/>
  <c r="AK56" i="47"/>
  <c r="E39" i="43"/>
  <c r="AK13" i="46"/>
  <c r="E24" i="47"/>
  <c r="AL30" i="43"/>
  <c r="E40" i="45"/>
  <c r="E52" i="47"/>
  <c r="AK59" i="46"/>
  <c r="AL37" i="46"/>
  <c r="AL63" i="43"/>
  <c r="AL36" i="46"/>
  <c r="AL51" i="46"/>
  <c r="AK8" i="46"/>
  <c r="AK56" i="45"/>
  <c r="AL36" i="45"/>
  <c r="AL48" i="43"/>
  <c r="E25" i="46"/>
  <c r="AK12" i="43"/>
  <c r="AL42" i="43"/>
  <c r="AL23" i="45"/>
  <c r="E26" i="45"/>
  <c r="AK45" i="47"/>
  <c r="AL7" i="46"/>
  <c r="AL37" i="47"/>
  <c r="AL12" i="47"/>
  <c r="AK51" i="46"/>
  <c r="AK45" i="43"/>
  <c r="E26" i="43"/>
  <c r="E46" i="47"/>
  <c r="AK22" i="47"/>
  <c r="AK55" i="47"/>
  <c r="AL14" i="47"/>
  <c r="AK38" i="43"/>
  <c r="AK63" i="43"/>
  <c r="E30" i="46"/>
  <c r="E21" i="43"/>
  <c r="AK32" i="45"/>
  <c r="AL19" i="45"/>
  <c r="AL43" i="45"/>
  <c r="E14" i="47"/>
  <c r="E41" i="45"/>
  <c r="AK34" i="43"/>
  <c r="E53" i="45"/>
  <c r="AL56" i="43"/>
  <c r="AL42" i="47"/>
  <c r="E58" i="45"/>
  <c r="E15" i="43"/>
  <c r="AK12" i="45"/>
  <c r="AL59" i="43"/>
  <c r="AK35" i="47"/>
  <c r="AL15" i="46"/>
  <c r="AK42" i="47"/>
  <c r="E29" i="43"/>
  <c r="AK65" i="46"/>
  <c r="AL38" i="43"/>
  <c r="E59" i="47"/>
  <c r="E56" i="43"/>
  <c r="E50" i="47"/>
  <c r="AL45" i="46"/>
  <c r="AL64" i="45"/>
  <c r="AK21" i="45"/>
  <c r="AK49" i="45"/>
  <c r="AK43" i="46"/>
  <c r="AL60" i="47"/>
  <c r="E59" i="46"/>
  <c r="AK54" i="43"/>
  <c r="AL54" i="47"/>
  <c r="AL26" i="47"/>
  <c r="AL62" i="45"/>
  <c r="E53" i="46"/>
  <c r="E32" i="43"/>
  <c r="AK43" i="45"/>
  <c r="AK51" i="45"/>
  <c r="AK21" i="47"/>
  <c r="E41" i="46"/>
  <c r="AK16" i="47"/>
  <c r="AK22" i="45"/>
  <c r="AK56" i="43"/>
  <c r="AL34" i="46"/>
  <c r="AL15" i="47"/>
  <c r="E55" i="45"/>
  <c r="E11" i="45"/>
  <c r="AL11" i="46"/>
  <c r="AL9" i="47"/>
  <c r="AL50" i="47"/>
  <c r="AK60" i="47"/>
  <c r="AK65" i="47"/>
  <c r="AL24" i="46"/>
  <c r="AK24" i="46"/>
  <c r="AK28" i="47"/>
  <c r="AK12" i="46"/>
  <c r="AL21" i="47"/>
  <c r="AK49" i="43"/>
  <c r="E29" i="46"/>
  <c r="AK10" i="43"/>
  <c r="AK27" i="47"/>
  <c r="AL18" i="43"/>
  <c r="AL63" i="46"/>
  <c r="AL12" i="43"/>
  <c r="AK63" i="46"/>
  <c r="AL30" i="47"/>
  <c r="AL37" i="43"/>
  <c r="AK46" i="45"/>
  <c r="AL49" i="47"/>
  <c r="AK29" i="47"/>
  <c r="AK40" i="45"/>
  <c r="AK7" i="47"/>
  <c r="AL12" i="46"/>
  <c r="AK65" i="45"/>
  <c r="AL33" i="45"/>
  <c r="AK41" i="47"/>
  <c r="AK42" i="43"/>
  <c r="E19" i="45"/>
  <c r="AK30" i="47"/>
  <c r="E43" i="45"/>
  <c r="AL22" i="46"/>
  <c r="AK24" i="47"/>
  <c r="AK37" i="43"/>
  <c r="AK25" i="47"/>
  <c r="AK54" i="46"/>
  <c r="E34" i="47"/>
  <c r="E56" i="46"/>
  <c r="AL52" i="47"/>
  <c r="E51" i="46"/>
  <c r="E26" i="47"/>
  <c r="E36" i="43"/>
  <c r="E57" i="43"/>
  <c r="E10" i="45"/>
  <c r="E7" i="47"/>
  <c r="AK27" i="46"/>
  <c r="E31" i="45"/>
  <c r="E29" i="47"/>
  <c r="AL34" i="45"/>
  <c r="AK15" i="43"/>
  <c r="E17" i="43"/>
  <c r="E21" i="46"/>
  <c r="AK59" i="45"/>
  <c r="AK35" i="46"/>
  <c r="E26" i="46"/>
  <c r="AK41" i="43"/>
  <c r="E35" i="46"/>
  <c r="AL38" i="46"/>
  <c r="E65" i="45"/>
  <c r="AK17" i="46"/>
  <c r="AL55" i="46"/>
  <c r="AL39" i="43"/>
  <c r="E55" i="43"/>
  <c r="E64" i="46"/>
  <c r="AK17" i="43"/>
  <c r="AK38" i="47"/>
  <c r="E13" i="43"/>
  <c r="AK16" i="43"/>
  <c r="E62" i="45"/>
  <c r="AK40" i="43"/>
  <c r="E20" i="43"/>
  <c r="AL19" i="46"/>
  <c r="E64" i="45"/>
  <c r="E45" i="43"/>
  <c r="AL9" i="45"/>
  <c r="E50" i="43"/>
  <c r="AK29" i="43"/>
  <c r="AL36" i="43"/>
  <c r="AK20" i="43"/>
  <c r="AK62" i="43"/>
  <c r="AL63" i="47"/>
  <c r="E32" i="46"/>
  <c r="E44" i="45"/>
  <c r="AK44" i="43"/>
  <c r="E48" i="47"/>
  <c r="AL40" i="47"/>
  <c r="AL27" i="43"/>
  <c r="E59" i="43"/>
  <c r="E33" i="46"/>
  <c r="E41" i="47"/>
  <c r="AK10" i="46"/>
  <c r="AL25" i="45"/>
  <c r="E54" i="43"/>
  <c r="AK53" i="47"/>
  <c r="AL56" i="45"/>
  <c r="E40" i="43"/>
  <c r="AK37" i="47"/>
  <c r="AK50" i="43"/>
  <c r="E57" i="47"/>
  <c r="AL13" i="47"/>
  <c r="E36" i="46"/>
  <c r="AL65" i="45"/>
  <c r="E54" i="46"/>
  <c r="AL59" i="46"/>
  <c r="E59" i="45"/>
  <c r="E23" i="45"/>
  <c r="E40" i="47"/>
  <c r="E46" i="43"/>
  <c r="AK40" i="47"/>
  <c r="AK37" i="46"/>
  <c r="AK44" i="47"/>
  <c r="E27" i="46"/>
  <c r="AL61" i="47"/>
  <c r="AL59" i="47"/>
  <c r="AL25" i="47"/>
  <c r="E18" i="47"/>
  <c r="AK23" i="47"/>
  <c r="E39" i="46"/>
  <c r="AK27" i="45"/>
  <c r="E18" i="43"/>
  <c r="AL23" i="43"/>
  <c r="AL40" i="45"/>
  <c r="E25" i="47"/>
  <c r="AK51" i="47"/>
  <c r="E32" i="47"/>
  <c r="AK33" i="43"/>
  <c r="E58" i="47"/>
  <c r="E57" i="45"/>
  <c r="AL44" i="45"/>
  <c r="AL62" i="46"/>
  <c r="AL28" i="47"/>
  <c r="AK15" i="45"/>
  <c r="AK33" i="45"/>
  <c r="AL9" i="46"/>
  <c r="AL54" i="46"/>
  <c r="AL29" i="47"/>
  <c r="E55" i="47"/>
  <c r="AL20" i="47"/>
  <c r="AK47" i="47"/>
  <c r="AL64" i="43"/>
  <c r="AL57" i="45"/>
  <c r="AL35" i="43"/>
  <c r="AL31" i="43"/>
  <c r="AK8" i="43"/>
  <c r="AL43" i="43"/>
  <c r="E37" i="47"/>
  <c r="E8" i="43"/>
  <c r="AL29" i="46"/>
  <c r="E46" i="46"/>
  <c r="AL26" i="43"/>
  <c r="AK47" i="46"/>
  <c r="E39" i="47"/>
  <c r="AL57" i="47"/>
  <c r="AL26" i="46"/>
  <c r="AL22" i="43"/>
  <c r="E22" i="43"/>
  <c r="AL11" i="43"/>
  <c r="AK58" i="45"/>
  <c r="E43" i="43"/>
  <c r="AK19" i="47"/>
  <c r="E21" i="47"/>
  <c r="E49" i="43"/>
  <c r="AK63" i="47"/>
  <c r="AK13" i="45"/>
  <c r="AL12" i="45"/>
  <c r="E16" i="43"/>
  <c r="E38" i="46"/>
  <c r="AL58" i="43"/>
  <c r="E23" i="43"/>
  <c r="AK9" i="47"/>
  <c r="AL27" i="45"/>
  <c r="AK17" i="45"/>
  <c r="E31" i="46"/>
  <c r="AL45" i="45"/>
  <c r="AL21" i="43"/>
  <c r="AK61" i="47"/>
  <c r="E10" i="43"/>
  <c r="AL15" i="43"/>
  <c r="AK36" i="45"/>
  <c r="E45" i="45"/>
  <c r="AL27" i="47"/>
  <c r="AK31" i="43"/>
  <c r="AK17" i="47"/>
  <c r="AK22" i="46"/>
  <c r="E50" i="46"/>
  <c r="AK64" i="47"/>
  <c r="AK41" i="46"/>
  <c r="E48" i="46"/>
  <c r="AK14" i="47"/>
  <c r="AK31" i="45"/>
  <c r="AL21" i="45"/>
  <c r="AL17" i="45"/>
  <c r="AL39" i="46"/>
  <c r="AK37" i="45"/>
  <c r="AL58" i="46"/>
  <c r="AK39" i="47"/>
  <c r="E56" i="45"/>
  <c r="AK34" i="47"/>
  <c r="E62" i="43"/>
  <c r="E23" i="47"/>
  <c r="AL21" i="46"/>
  <c r="AL40" i="43"/>
  <c r="AL13" i="45"/>
  <c r="AL33" i="47"/>
  <c r="AK25" i="45"/>
  <c r="AL47" i="46"/>
  <c r="AK64" i="46"/>
  <c r="AL29" i="43"/>
  <c r="AK59" i="43"/>
  <c r="AK34" i="46"/>
  <c r="AL10" i="43"/>
  <c r="AK48" i="43"/>
  <c r="AL18" i="46"/>
  <c r="AL53" i="45"/>
  <c r="E43" i="47"/>
  <c r="E43" i="46"/>
  <c r="E17" i="47"/>
  <c r="AK57" i="43"/>
  <c r="AK28" i="43"/>
  <c r="E45" i="46"/>
  <c r="AL54" i="45"/>
  <c r="AK38" i="46"/>
  <c r="AL52" i="45"/>
  <c r="E47" i="46"/>
  <c r="AK62" i="45"/>
  <c r="AL41" i="43"/>
  <c r="E28" i="46"/>
  <c r="AL65" i="46"/>
  <c r="E55" i="46"/>
  <c r="E57" i="46"/>
  <c r="AK29" i="46"/>
  <c r="AL34" i="47"/>
  <c r="AK18" i="43"/>
  <c r="AK18" i="46"/>
  <c r="AK36" i="43"/>
  <c r="AK36" i="47"/>
  <c r="E19" i="46"/>
  <c r="AK59" i="47"/>
  <c r="E63" i="45"/>
  <c r="AK36" i="46"/>
  <c r="E44" i="47"/>
  <c r="E42" i="43"/>
  <c r="AK43" i="47"/>
  <c r="AL18" i="45"/>
  <c r="AL52" i="43"/>
  <c r="AK47" i="43"/>
  <c r="AL41" i="46"/>
  <c r="AK34" i="45"/>
  <c r="AK52" i="45"/>
  <c r="AK30" i="45"/>
  <c r="E30" i="45"/>
  <c r="AL22" i="47"/>
  <c r="AK35" i="43"/>
  <c r="AK13" i="43"/>
  <c r="AL49" i="43"/>
  <c r="AK62" i="46"/>
  <c r="E60" i="47"/>
  <c r="E35" i="43"/>
  <c r="AL22" i="45"/>
  <c r="AK33" i="46"/>
  <c r="E42" i="46"/>
  <c r="E37" i="46"/>
  <c r="E24" i="45"/>
  <c r="E63" i="46"/>
  <c r="E20" i="46"/>
  <c r="AL17" i="46"/>
  <c r="E62" i="46"/>
  <c r="AL46" i="45"/>
  <c r="AK44" i="46"/>
  <c r="AL42" i="46"/>
  <c r="AL38" i="47"/>
  <c r="AL9" i="43"/>
  <c r="AK26" i="47"/>
  <c r="AK58" i="46"/>
  <c r="E27" i="43"/>
  <c r="E33" i="45"/>
  <c r="AK24" i="43"/>
  <c r="E18" i="46"/>
  <c r="AL10" i="46"/>
  <c r="AL51" i="45"/>
  <c r="E33" i="47"/>
  <c r="AL8" i="45"/>
  <c r="AK12" i="47"/>
  <c r="AL37" i="45"/>
  <c r="AK11" i="43"/>
  <c r="E63" i="43"/>
  <c r="AL44" i="43"/>
  <c r="AL47" i="47"/>
  <c r="AK49" i="47"/>
  <c r="AK26" i="45"/>
  <c r="E17" i="46"/>
  <c r="E24" i="43"/>
  <c r="AL13" i="43"/>
  <c r="AK63" i="45"/>
  <c r="AL39" i="47"/>
  <c r="E37" i="43"/>
  <c r="E44" i="43"/>
  <c r="AL16" i="43"/>
  <c r="AL13" i="46"/>
  <c r="AK33" i="47"/>
  <c r="AK46" i="46"/>
  <c r="E34" i="46"/>
  <c r="E49" i="47"/>
  <c r="E37" i="45"/>
  <c r="AK9" i="43"/>
  <c r="AL25" i="43"/>
  <c r="AL19" i="43"/>
  <c r="E20" i="45"/>
  <c r="AL58" i="45"/>
  <c r="AK46" i="43"/>
  <c r="E11" i="43"/>
  <c r="AL38" i="45"/>
  <c r="AK18" i="47"/>
  <c r="AK20" i="47"/>
  <c r="E50" i="45"/>
  <c r="AK53" i="45"/>
  <c r="E51" i="43"/>
  <c r="AK38" i="45"/>
  <c r="E51" i="47"/>
  <c r="AK26" i="46"/>
  <c r="E53" i="47"/>
  <c r="E52" i="45"/>
  <c r="AK45" i="46"/>
  <c r="E42" i="47"/>
  <c r="AL55" i="47"/>
  <c r="AK26" i="43"/>
  <c r="AK39" i="46"/>
  <c r="AL46" i="46"/>
  <c r="AL18" i="47"/>
  <c r="AL49" i="46"/>
  <c r="E30" i="47"/>
  <c r="E40" i="46"/>
  <c r="E53" i="43"/>
  <c r="AL57" i="43"/>
  <c r="AL44" i="47"/>
  <c r="AL56" i="47"/>
  <c r="AK53" i="43"/>
  <c r="AL59" i="45"/>
  <c r="AK30" i="43"/>
  <c r="E58" i="46"/>
  <c r="E15" i="45"/>
  <c r="AL53" i="43"/>
  <c r="E47" i="47"/>
  <c r="AK30" i="46"/>
  <c r="AK11" i="46"/>
  <c r="E22" i="47"/>
  <c r="E54" i="47"/>
  <c r="AK64" i="45"/>
  <c r="AK52" i="43"/>
  <c r="E58" i="43"/>
  <c r="AL35" i="45"/>
  <c r="AL19" i="47"/>
  <c r="AK39" i="43"/>
  <c r="E48" i="43"/>
  <c r="E36" i="45"/>
  <c r="AL64" i="46"/>
  <c r="AL60" i="46"/>
  <c r="AL33" i="46"/>
  <c r="E64" i="43"/>
  <c r="AK27" i="43"/>
  <c r="AL24" i="47"/>
  <c r="E9" i="43"/>
  <c r="AK57" i="45"/>
  <c r="AL28" i="43"/>
  <c r="AL55" i="43"/>
  <c r="AK52" i="47"/>
  <c r="E52" i="46"/>
  <c r="AK19" i="46"/>
  <c r="AL7" i="47"/>
  <c r="E56" i="47"/>
  <c r="AL8" i="47"/>
  <c r="AK25" i="43"/>
  <c r="AL17" i="47"/>
  <c r="AK14" i="43"/>
  <c r="AK54" i="47"/>
  <c r="AL51" i="47"/>
  <c r="AL34" i="43"/>
  <c r="AL51" i="43"/>
  <c r="AK57" i="47"/>
  <c r="E10" i="47"/>
  <c r="AL16" i="47"/>
  <c r="AL32" i="43"/>
  <c r="AK32" i="43"/>
  <c r="AK7" i="43"/>
  <c r="AL53" i="47"/>
  <c r="E32" i="45"/>
  <c r="AL50" i="43"/>
  <c r="E38" i="45"/>
  <c r="AK8" i="47"/>
  <c r="AL35" i="46"/>
  <c r="AL41" i="47"/>
  <c r="AK21" i="43"/>
  <c r="E31" i="47"/>
  <c r="AK56" i="46"/>
  <c r="AK23" i="45"/>
  <c r="E34" i="43"/>
  <c r="AL53" i="46"/>
  <c r="AL14" i="45"/>
  <c r="AL48" i="45"/>
  <c r="AK32" i="47"/>
  <c r="AL48" i="47"/>
  <c r="AL32" i="47"/>
  <c r="AK15" i="47"/>
  <c r="E65" i="46"/>
  <c r="E12" i="43"/>
  <c r="E30" i="43"/>
  <c r="AK64" i="43"/>
  <c r="AK31" i="47"/>
  <c r="E28" i="43"/>
  <c r="AL46" i="43"/>
  <c r="AL44" i="46"/>
  <c r="AL32" i="45"/>
  <c r="AK54" i="45"/>
  <c r="E47" i="45"/>
  <c r="E15" i="46"/>
  <c r="E28" i="45"/>
  <c r="AL23" i="47"/>
  <c r="AK14" i="45"/>
  <c r="E38" i="43"/>
  <c r="AL47" i="43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AG35" i="43"/>
  <c r="AH35" i="43"/>
  <c r="AM34" i="47"/>
  <c r="AG46" i="45"/>
  <c r="AH46" i="45"/>
  <c r="AH45" i="45"/>
  <c r="AG45" i="45"/>
  <c r="AM14" i="43"/>
  <c r="AH17" i="45"/>
  <c r="AG17" i="45"/>
  <c r="AH13" i="43"/>
  <c r="AG13" i="43"/>
  <c r="AG12" i="43"/>
  <c r="AH12" i="43"/>
  <c r="AM23" i="45"/>
  <c r="AM36" i="46"/>
  <c r="AG36" i="43"/>
  <c r="AH36" i="43"/>
  <c r="AH50" i="43"/>
  <c r="AG50" i="43"/>
  <c r="AH18" i="45"/>
  <c r="AG18" i="45"/>
  <c r="AM41" i="46"/>
  <c r="AG26" i="43"/>
  <c r="AH26" i="43"/>
  <c r="AM64" i="47"/>
  <c r="AH9" i="43"/>
  <c r="AG9" i="43"/>
  <c r="AM34" i="45"/>
  <c r="AM14" i="46"/>
  <c r="AG39" i="43"/>
  <c r="AH39" i="43"/>
  <c r="AM8" i="46"/>
  <c r="AM44" i="47"/>
  <c r="AM35" i="46"/>
  <c r="AM13" i="45"/>
  <c r="AG22" i="43"/>
  <c r="AH22" i="43"/>
  <c r="AM13" i="43"/>
  <c r="AH56" i="46"/>
  <c r="AG56" i="46"/>
  <c r="AH46" i="46"/>
  <c r="AG46" i="46"/>
  <c r="AM62" i="43"/>
  <c r="AG49" i="43"/>
  <c r="AH49" i="43"/>
  <c r="AG23" i="43"/>
  <c r="AH23" i="43"/>
  <c r="AG41" i="43"/>
  <c r="AH41" i="43"/>
  <c r="AG34" i="46"/>
  <c r="AH34" i="46"/>
  <c r="AM59" i="46"/>
  <c r="AG38" i="43"/>
  <c r="AH38" i="43"/>
  <c r="AG35" i="46"/>
  <c r="AH35" i="46"/>
  <c r="AM35" i="47"/>
  <c r="AH17" i="46"/>
  <c r="AG17" i="46"/>
  <c r="AM11" i="43"/>
  <c r="AM55" i="43"/>
  <c r="AG12" i="45"/>
  <c r="AH12" i="45"/>
  <c r="AM19" i="43"/>
  <c r="AH35" i="45"/>
  <c r="AG35" i="45"/>
  <c r="AG38" i="45"/>
  <c r="AH38" i="45"/>
  <c r="AM16" i="47"/>
  <c r="AM10" i="43"/>
  <c r="AH43" i="47"/>
  <c r="AG43" i="47"/>
  <c r="AG52" i="43"/>
  <c r="AH52" i="43"/>
  <c r="AM45" i="43"/>
  <c r="AM30" i="43"/>
  <c r="AM45" i="47"/>
  <c r="AM19" i="45"/>
  <c r="AM40" i="45"/>
  <c r="AM38" i="45"/>
  <c r="AG47" i="46"/>
  <c r="AH47" i="46"/>
  <c r="AH8" i="46"/>
  <c r="AG8" i="46"/>
  <c r="AM9" i="43"/>
  <c r="AM65" i="45"/>
  <c r="AM22" i="47"/>
  <c r="AM27" i="45"/>
  <c r="AH9" i="46"/>
  <c r="AG9" i="46"/>
  <c r="AM45" i="46"/>
  <c r="AH18" i="43"/>
  <c r="AG18" i="43"/>
  <c r="AH59" i="43"/>
  <c r="AG59" i="43"/>
  <c r="AG34" i="43"/>
  <c r="AH34" i="43"/>
  <c r="AH36" i="46"/>
  <c r="AG36" i="46"/>
  <c r="AM31" i="43"/>
  <c r="AH30" i="46"/>
  <c r="AG30" i="46"/>
  <c r="AH54" i="43"/>
  <c r="AG54" i="43"/>
  <c r="AM20" i="43"/>
  <c r="AM51" i="46"/>
  <c r="AM44" i="45"/>
  <c r="AM15" i="45"/>
  <c r="AM37" i="46"/>
  <c r="AG20" i="43"/>
  <c r="AH20" i="43"/>
  <c r="AM36" i="47"/>
  <c r="AM45" i="45"/>
  <c r="AG21" i="47"/>
  <c r="AH21" i="47"/>
  <c r="AM48" i="43"/>
  <c r="AG41" i="47"/>
  <c r="AH41" i="47"/>
  <c r="AM51" i="43"/>
  <c r="AH42" i="46"/>
  <c r="AG42" i="46"/>
  <c r="AM9" i="47"/>
  <c r="AG21" i="43"/>
  <c r="AH21" i="43"/>
  <c r="AG52" i="46"/>
  <c r="AH52" i="46"/>
  <c r="AM46" i="43"/>
  <c r="AH44" i="45"/>
  <c r="AG44" i="45"/>
  <c r="AM54" i="43"/>
  <c r="AH55" i="47"/>
  <c r="AG55" i="47"/>
  <c r="AG18" i="47"/>
  <c r="AH18" i="47"/>
  <c r="AH22" i="46"/>
  <c r="AG22" i="46"/>
  <c r="AH50" i="47"/>
  <c r="AG50" i="47"/>
  <c r="AH55" i="46"/>
  <c r="AG55" i="46"/>
  <c r="AM39" i="46"/>
  <c r="AG37" i="47"/>
  <c r="AH37" i="47"/>
  <c r="AH12" i="47"/>
  <c r="AG12" i="47"/>
  <c r="AH14" i="45"/>
  <c r="AG14" i="45"/>
  <c r="AM24" i="46"/>
  <c r="AM29" i="43"/>
  <c r="AG22" i="45"/>
  <c r="AH22" i="45"/>
  <c r="AH33" i="43"/>
  <c r="AG33" i="43"/>
  <c r="AH49" i="46"/>
  <c r="AG49" i="46"/>
  <c r="AG24" i="43"/>
  <c r="AH24" i="43"/>
  <c r="AH44" i="43"/>
  <c r="AG44" i="43"/>
  <c r="AM56" i="45"/>
  <c r="AG62" i="46"/>
  <c r="AH62" i="46"/>
  <c r="AG56" i="47"/>
  <c r="AH56" i="47"/>
  <c r="AH11" i="43"/>
  <c r="AG11" i="43"/>
  <c r="AM7" i="46"/>
  <c r="R10" i="43"/>
  <c r="O10" i="43"/>
  <c r="R13" i="43"/>
  <c r="S13" i="43" s="1"/>
  <c r="U9" i="43"/>
  <c r="V9" i="43" s="1"/>
  <c r="U12" i="43"/>
  <c r="U8" i="43"/>
  <c r="V8" i="43" s="1"/>
  <c r="U13" i="43"/>
  <c r="R8" i="43"/>
  <c r="O11" i="43"/>
  <c r="R12" i="43"/>
  <c r="O9" i="43"/>
  <c r="U11" i="43"/>
  <c r="V11" i="43" s="1"/>
  <c r="O16" i="43" a="1"/>
  <c r="O16" i="43" s="1"/>
  <c r="O8" i="43"/>
  <c r="U16" i="43" a="1"/>
  <c r="U16" i="43" s="1"/>
  <c r="U10" i="43"/>
  <c r="O12" i="43"/>
  <c r="R11" i="43"/>
  <c r="R16" i="43" a="1"/>
  <c r="R16" i="43" s="1"/>
  <c r="O13" i="43"/>
  <c r="R9" i="43"/>
  <c r="AM12" i="45"/>
  <c r="AG63" i="47"/>
  <c r="AH63" i="47"/>
  <c r="AG54" i="45"/>
  <c r="AH54" i="45"/>
  <c r="AG13" i="46"/>
  <c r="AH13" i="46"/>
  <c r="AM34" i="46"/>
  <c r="AM66" i="47"/>
  <c r="AM30" i="46"/>
  <c r="AH56" i="43"/>
  <c r="AG56" i="43"/>
  <c r="AM28" i="43"/>
  <c r="AM27" i="46"/>
  <c r="AM43" i="46"/>
  <c r="AM8" i="43"/>
  <c r="AH14" i="43"/>
  <c r="AG14" i="43"/>
  <c r="AM29" i="45"/>
  <c r="AH29" i="43"/>
  <c r="AG29" i="43"/>
  <c r="AM65" i="46"/>
  <c r="AM32" i="43"/>
  <c r="AM44" i="43"/>
  <c r="AM48" i="47"/>
  <c r="AH34" i="47"/>
  <c r="AG34" i="47"/>
  <c r="AM22" i="45"/>
  <c r="AM23" i="43"/>
  <c r="AG37" i="45"/>
  <c r="AH37" i="45"/>
  <c r="AH9" i="47"/>
  <c r="AG9" i="47"/>
  <c r="AM53" i="43"/>
  <c r="AM17" i="45"/>
  <c r="AG14" i="47"/>
  <c r="AH14" i="47"/>
  <c r="AH36" i="45"/>
  <c r="AG36" i="45"/>
  <c r="AG29" i="45"/>
  <c r="AH29" i="45"/>
  <c r="AH58" i="43"/>
  <c r="AG58" i="43"/>
  <c r="AG60" i="47"/>
  <c r="AH60" i="47"/>
  <c r="AH41" i="45"/>
  <c r="AG41" i="45"/>
  <c r="AG47" i="47"/>
  <c r="AH47" i="47"/>
  <c r="AM43" i="45"/>
  <c r="AG34" i="45"/>
  <c r="AH34" i="45"/>
  <c r="AH59" i="47"/>
  <c r="AG59" i="47"/>
  <c r="AH59" i="46"/>
  <c r="AG59" i="46"/>
  <c r="AM44" i="46"/>
  <c r="AM24" i="47"/>
  <c r="AM25" i="47"/>
  <c r="AM47" i="43"/>
  <c r="AM21" i="46"/>
  <c r="AG23" i="45"/>
  <c r="AH23" i="45"/>
  <c r="AM47" i="46"/>
  <c r="AH51" i="46"/>
  <c r="AG51" i="46"/>
  <c r="AG60" i="46"/>
  <c r="AH60" i="46"/>
  <c r="AG19" i="43"/>
  <c r="AH19" i="43"/>
  <c r="AH64" i="46"/>
  <c r="AG64" i="46"/>
  <c r="AM36" i="45"/>
  <c r="AM41" i="47"/>
  <c r="AM29" i="47"/>
  <c r="AH25" i="45"/>
  <c r="AG25" i="45"/>
  <c r="AG42" i="43"/>
  <c r="AH42" i="43"/>
  <c r="AH14" i="46"/>
  <c r="AG14" i="46"/>
  <c r="AM21" i="47"/>
  <c r="AH44" i="47"/>
  <c r="AG44" i="47"/>
  <c r="AH24" i="46"/>
  <c r="AG24" i="46"/>
  <c r="AH39" i="46"/>
  <c r="AG39" i="46"/>
  <c r="AG7" i="43"/>
  <c r="AH7" i="43"/>
  <c r="AM58" i="43"/>
  <c r="AG27" i="43"/>
  <c r="AH27" i="43"/>
  <c r="AH30" i="47"/>
  <c r="AG30" i="47"/>
  <c r="AH63" i="45"/>
  <c r="AG63" i="45"/>
  <c r="AG26" i="47"/>
  <c r="AH26" i="47"/>
  <c r="AM33" i="45"/>
  <c r="AG57" i="45"/>
  <c r="AH57" i="45"/>
  <c r="AG51" i="47"/>
  <c r="AH51" i="47"/>
  <c r="AH65" i="47"/>
  <c r="AG65" i="47"/>
  <c r="AM9" i="45"/>
  <c r="AG26" i="46"/>
  <c r="AH26" i="46"/>
  <c r="AM15" i="47"/>
  <c r="AM18" i="46"/>
  <c r="AM60" i="46"/>
  <c r="AG44" i="46"/>
  <c r="AH44" i="46"/>
  <c r="AG48" i="47"/>
  <c r="AH48" i="47"/>
  <c r="AM36" i="43"/>
  <c r="AM14" i="47"/>
  <c r="AG33" i="47"/>
  <c r="AH33" i="47"/>
  <c r="AH52" i="47"/>
  <c r="AG52" i="47"/>
  <c r="AM54" i="45"/>
  <c r="AG27" i="46"/>
  <c r="AH27" i="46"/>
  <c r="AM26" i="47"/>
  <c r="AM53" i="46"/>
  <c r="AG62" i="45"/>
  <c r="AH62" i="45"/>
  <c r="AM55" i="47"/>
  <c r="AM10" i="46"/>
  <c r="AM24" i="43"/>
  <c r="AH54" i="47"/>
  <c r="AG54" i="47"/>
  <c r="AG38" i="46"/>
  <c r="AH38" i="46"/>
  <c r="AG41" i="46"/>
  <c r="AH41" i="46"/>
  <c r="AM40" i="43"/>
  <c r="AM42" i="47"/>
  <c r="AM31" i="47"/>
  <c r="AG17" i="43"/>
  <c r="AH17" i="43"/>
  <c r="AM40" i="47"/>
  <c r="AH51" i="43"/>
  <c r="AG51" i="43"/>
  <c r="AM33" i="46"/>
  <c r="AG43" i="43"/>
  <c r="AH43" i="43"/>
  <c r="AM63" i="43"/>
  <c r="AM17" i="46"/>
  <c r="AH37" i="46"/>
  <c r="AG37" i="46"/>
  <c r="AH28" i="43"/>
  <c r="AG28" i="43"/>
  <c r="AH48" i="43"/>
  <c r="AG48" i="43"/>
  <c r="AH21" i="46"/>
  <c r="AG21" i="46"/>
  <c r="AM39" i="43"/>
  <c r="AH61" i="47"/>
  <c r="AG61" i="47"/>
  <c r="AM13" i="46"/>
  <c r="AM28" i="47"/>
  <c r="AH53" i="46"/>
  <c r="AG53" i="46"/>
  <c r="AG56" i="45"/>
  <c r="AH56" i="45"/>
  <c r="AM43" i="47"/>
  <c r="AG19" i="45"/>
  <c r="AH19" i="45"/>
  <c r="AM38" i="46"/>
  <c r="AM47" i="47"/>
  <c r="AH57" i="47"/>
  <c r="AG57" i="47"/>
  <c r="AM64" i="46"/>
  <c r="AG8" i="45"/>
  <c r="AH8" i="45"/>
  <c r="AG29" i="47"/>
  <c r="AH29" i="47"/>
  <c r="AM34" i="43"/>
  <c r="AH49" i="45"/>
  <c r="AG49" i="45"/>
  <c r="AM29" i="46"/>
  <c r="AM21" i="43"/>
  <c r="AH45" i="43"/>
  <c r="AG45" i="43"/>
  <c r="AM17" i="43"/>
  <c r="AG64" i="47"/>
  <c r="AH64" i="47"/>
  <c r="AH25" i="43"/>
  <c r="AG25" i="43"/>
  <c r="AM30" i="47"/>
  <c r="AM22" i="46"/>
  <c r="AG59" i="45"/>
  <c r="AH59" i="45"/>
  <c r="AM27" i="47"/>
  <c r="AM7" i="47"/>
  <c r="AG30" i="45"/>
  <c r="AH30" i="45"/>
  <c r="AG25" i="47"/>
  <c r="AH25" i="47"/>
  <c r="AM39" i="47"/>
  <c r="AM63" i="47"/>
  <c r="AM65" i="47"/>
  <c r="AM49" i="46"/>
  <c r="AM31" i="45"/>
  <c r="AM41" i="45"/>
  <c r="AM18" i="43"/>
  <c r="AM15" i="43"/>
  <c r="AM53" i="45"/>
  <c r="AM12" i="43"/>
  <c r="AM42" i="46"/>
  <c r="AG8" i="43"/>
  <c r="AH8" i="43"/>
  <c r="AM58" i="45"/>
  <c r="AM49" i="47"/>
  <c r="AG29" i="46"/>
  <c r="AH29" i="46"/>
  <c r="AH47" i="43"/>
  <c r="AG47" i="43"/>
  <c r="AH32" i="47"/>
  <c r="AG32" i="47"/>
  <c r="AH20" i="47"/>
  <c r="AG20" i="47"/>
  <c r="AM33" i="47"/>
  <c r="AM57" i="43"/>
  <c r="AM37" i="45"/>
  <c r="AM30" i="45"/>
  <c r="AM26" i="46"/>
  <c r="AM33" i="43"/>
  <c r="AH19" i="47"/>
  <c r="AG19" i="47"/>
  <c r="AH32" i="43"/>
  <c r="AG32" i="43"/>
  <c r="AM18" i="45"/>
  <c r="AG23" i="47"/>
  <c r="AH23" i="47"/>
  <c r="AM46" i="45"/>
  <c r="AG31" i="43"/>
  <c r="AH31" i="43"/>
  <c r="AM26" i="45"/>
  <c r="AH10" i="46"/>
  <c r="AG10" i="46"/>
  <c r="AG15" i="43"/>
  <c r="AH15" i="43"/>
  <c r="AH16" i="43"/>
  <c r="AG16" i="43"/>
  <c r="AG39" i="47"/>
  <c r="AH39" i="47"/>
  <c r="AM8" i="45"/>
  <c r="AM46" i="46"/>
  <c r="AM32" i="47"/>
  <c r="AM56" i="46"/>
  <c r="AM64" i="45"/>
  <c r="AM51" i="45"/>
  <c r="AM35" i="43"/>
  <c r="AM50" i="47"/>
  <c r="AH40" i="43"/>
  <c r="AG40" i="43"/>
  <c r="O13" i="47"/>
  <c r="O12" i="47"/>
  <c r="R9" i="47"/>
  <c r="R8" i="47"/>
  <c r="U10" i="47"/>
  <c r="O9" i="47"/>
  <c r="U12" i="47"/>
  <c r="O10" i="47"/>
  <c r="U11" i="47"/>
  <c r="V11" i="47" s="1"/>
  <c r="U16" i="47" a="1"/>
  <c r="U16" i="47" s="1"/>
  <c r="O11" i="47"/>
  <c r="R10" i="47"/>
  <c r="R11" i="47"/>
  <c r="R12" i="47"/>
  <c r="U9" i="47"/>
  <c r="V9" i="47" s="1"/>
  <c r="U8" i="47"/>
  <c r="V8" i="47" s="1"/>
  <c r="U13" i="47"/>
  <c r="O16" i="47" a="1"/>
  <c r="O16" i="47" s="1"/>
  <c r="O8" i="47"/>
  <c r="R13" i="47"/>
  <c r="S13" i="47" s="1"/>
  <c r="R16" i="47" a="1"/>
  <c r="R16" i="47" s="1"/>
  <c r="AM55" i="46"/>
  <c r="AG33" i="46"/>
  <c r="AH33" i="46"/>
  <c r="AG46" i="43"/>
  <c r="AH46" i="43"/>
  <c r="AM25" i="45"/>
  <c r="AG21" i="45"/>
  <c r="AH21" i="45"/>
  <c r="AM49" i="45"/>
  <c r="AM63" i="45"/>
  <c r="AG24" i="47"/>
  <c r="AH24" i="47"/>
  <c r="AM57" i="47"/>
  <c r="AG63" i="46"/>
  <c r="AH63" i="46"/>
  <c r="AM64" i="43"/>
  <c r="AM13" i="47"/>
  <c r="AM12" i="46"/>
  <c r="AH8" i="47"/>
  <c r="AG8" i="47"/>
  <c r="AM53" i="47"/>
  <c r="AG31" i="47"/>
  <c r="AH31" i="47"/>
  <c r="AG64" i="45"/>
  <c r="AH64" i="45"/>
  <c r="AM52" i="43"/>
  <c r="AH26" i="45"/>
  <c r="AG26" i="45"/>
  <c r="AM22" i="43"/>
  <c r="AM59" i="43"/>
  <c r="AH40" i="47"/>
  <c r="AG40" i="47"/>
  <c r="AM49" i="43"/>
  <c r="AG15" i="46"/>
  <c r="AH15" i="46"/>
  <c r="AG36" i="47"/>
  <c r="AH36" i="47"/>
  <c r="AH9" i="45"/>
  <c r="AG9" i="45"/>
  <c r="AM56" i="43"/>
  <c r="AM38" i="47"/>
  <c r="AM27" i="43"/>
  <c r="AG15" i="45"/>
  <c r="AH15" i="45"/>
  <c r="AM41" i="43"/>
  <c r="AG11" i="46"/>
  <c r="AH11" i="46"/>
  <c r="AG27" i="45"/>
  <c r="AH27" i="45"/>
  <c r="AH35" i="47"/>
  <c r="AG35" i="47"/>
  <c r="AH53" i="47"/>
  <c r="AG53" i="47"/>
  <c r="AM52" i="47"/>
  <c r="AM19" i="46"/>
  <c r="AG54" i="46"/>
  <c r="AH54" i="46"/>
  <c r="AM62" i="46"/>
  <c r="AH15" i="47"/>
  <c r="AG15" i="47"/>
  <c r="AH51" i="45"/>
  <c r="AG51" i="45"/>
  <c r="AM59" i="45"/>
  <c r="AH58" i="46"/>
  <c r="AG58" i="46"/>
  <c r="AM51" i="47"/>
  <c r="AM52" i="45"/>
  <c r="AM37" i="47"/>
  <c r="AM37" i="43"/>
  <c r="AG13" i="47"/>
  <c r="AH13" i="47"/>
  <c r="AG42" i="47"/>
  <c r="AH42" i="47"/>
  <c r="AG12" i="46"/>
  <c r="AH12" i="46"/>
  <c r="AG40" i="45"/>
  <c r="AH40" i="45"/>
  <c r="AM38" i="43"/>
  <c r="AM8" i="47"/>
  <c r="AM32" i="45"/>
  <c r="AG16" i="47"/>
  <c r="AH16" i="47"/>
  <c r="AM23" i="47"/>
  <c r="AM60" i="47"/>
  <c r="AM21" i="45"/>
  <c r="AM58" i="46"/>
  <c r="AH62" i="43"/>
  <c r="AG62" i="43"/>
  <c r="AG53" i="43"/>
  <c r="AH53" i="43"/>
  <c r="AH10" i="43"/>
  <c r="AG10" i="43"/>
  <c r="AM61" i="47"/>
  <c r="AM9" i="46"/>
  <c r="AM35" i="45"/>
  <c r="AG63" i="43"/>
  <c r="AH63" i="43"/>
  <c r="AH43" i="46"/>
  <c r="AG43" i="46"/>
  <c r="AM7" i="43"/>
  <c r="AH53" i="45"/>
  <c r="AG53" i="45"/>
  <c r="AH38" i="47"/>
  <c r="AG38" i="47"/>
  <c r="AM16" i="43"/>
  <c r="AH18" i="46"/>
  <c r="AG18" i="46"/>
  <c r="AM42" i="43"/>
  <c r="AG57" i="43"/>
  <c r="AH57" i="43"/>
  <c r="AM43" i="43"/>
  <c r="AG52" i="45"/>
  <c r="AH52" i="45"/>
  <c r="AH7" i="47"/>
  <c r="AG7" i="47"/>
  <c r="AG27" i="47"/>
  <c r="AH27" i="47"/>
  <c r="AM20" i="47"/>
  <c r="AM63" i="46"/>
  <c r="AH45" i="47"/>
  <c r="AG45" i="47"/>
  <c r="AG49" i="47"/>
  <c r="AH49" i="47"/>
  <c r="AG33" i="45"/>
  <c r="AH33" i="45"/>
  <c r="AG22" i="47"/>
  <c r="AH22" i="47"/>
  <c r="AM54" i="46"/>
  <c r="AG31" i="45"/>
  <c r="AH31" i="45"/>
  <c r="AG58" i="45"/>
  <c r="AH58" i="45"/>
  <c r="AH28" i="47"/>
  <c r="AG28" i="47"/>
  <c r="AH7" i="46"/>
  <c r="AG7" i="46"/>
  <c r="AM18" i="47"/>
  <c r="AH13" i="45"/>
  <c r="AG13" i="45"/>
  <c r="AM12" i="47"/>
  <c r="AM54" i="47"/>
  <c r="AM59" i="47"/>
  <c r="R10" i="45"/>
  <c r="R11" i="45"/>
  <c r="U9" i="45"/>
  <c r="V9" i="45" s="1"/>
  <c r="O11" i="45"/>
  <c r="U16" i="45" a="1"/>
  <c r="U16" i="45" s="1"/>
  <c r="O16" i="45" a="1"/>
  <c r="O16" i="45" s="1"/>
  <c r="O13" i="45"/>
  <c r="U11" i="45"/>
  <c r="V11" i="45" s="1"/>
  <c r="R9" i="45"/>
  <c r="U10" i="45"/>
  <c r="R12" i="45"/>
  <c r="U13" i="45"/>
  <c r="O9" i="45"/>
  <c r="U12" i="45"/>
  <c r="R13" i="45"/>
  <c r="S13" i="45" s="1"/>
  <c r="R8" i="45"/>
  <c r="O8" i="45"/>
  <c r="O10" i="45"/>
  <c r="R16" i="45" a="1"/>
  <c r="R16" i="45" s="1"/>
  <c r="U8" i="45"/>
  <c r="V8" i="45" s="1"/>
  <c r="O12" i="45"/>
  <c r="AG32" i="45"/>
  <c r="AH32" i="45"/>
  <c r="AM48" i="45"/>
  <c r="AM56" i="47"/>
  <c r="AM62" i="45"/>
  <c r="AH43" i="45"/>
  <c r="AG43" i="45"/>
  <c r="AG37" i="43"/>
  <c r="AH37" i="43"/>
  <c r="AH55" i="43"/>
  <c r="AG55" i="43"/>
  <c r="AM15" i="46"/>
  <c r="AH45" i="46"/>
  <c r="AG45" i="46"/>
  <c r="AM52" i="46"/>
  <c r="AM19" i="47"/>
  <c r="U16" i="46" a="1"/>
  <c r="U16" i="46" s="1"/>
  <c r="U9" i="46"/>
  <c r="V9" i="46" s="1"/>
  <c r="U12" i="46"/>
  <c r="O11" i="46"/>
  <c r="U10" i="46"/>
  <c r="R12" i="46"/>
  <c r="R13" i="46"/>
  <c r="S13" i="46" s="1"/>
  <c r="O8" i="46"/>
  <c r="O9" i="46"/>
  <c r="O12" i="46"/>
  <c r="O16" i="46" a="1"/>
  <c r="O16" i="46" s="1"/>
  <c r="U11" i="46"/>
  <c r="V11" i="46" s="1"/>
  <c r="O13" i="46"/>
  <c r="R11" i="46"/>
  <c r="R9" i="46"/>
  <c r="R8" i="46"/>
  <c r="R10" i="46"/>
  <c r="U13" i="46"/>
  <c r="V13" i="46" s="1"/>
  <c r="U8" i="46"/>
  <c r="V8" i="46" s="1"/>
  <c r="R16" i="46" a="1"/>
  <c r="R16" i="46" s="1"/>
  <c r="O10" i="46"/>
  <c r="AG48" i="45"/>
  <c r="AH48" i="45"/>
  <c r="AG19" i="46"/>
  <c r="AH19" i="46"/>
  <c r="AM11" i="46"/>
  <c r="AM57" i="45"/>
  <c r="AM50" i="43"/>
  <c r="AH30" i="43"/>
  <c r="AG30" i="43"/>
  <c r="AM17" i="47"/>
  <c r="AM25" i="43"/>
  <c r="AM14" i="45"/>
  <c r="AH17" i="47"/>
  <c r="AG17" i="47"/>
  <c r="AM26" i="43"/>
  <c r="S8" i="49"/>
  <c r="P8" i="49"/>
  <c r="P12" i="49"/>
  <c r="O5" i="49"/>
  <c r="P9" i="49"/>
  <c r="P14" i="49"/>
  <c r="S11" i="49"/>
  <c r="S14" i="49"/>
  <c r="S10" i="49"/>
  <c r="S9" i="49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A11" i="46" l="1"/>
  <c r="AA10" i="47"/>
  <c r="AA10" i="45"/>
  <c r="AA10" i="46"/>
  <c r="AA12" i="46"/>
  <c r="AA13" i="47"/>
  <c r="AA12" i="43"/>
  <c r="AA14" i="49"/>
  <c r="V10" i="49"/>
  <c r="V14" i="49"/>
  <c r="U5" i="49"/>
  <c r="AA12" i="47"/>
  <c r="AA12" i="45"/>
  <c r="AA9" i="47"/>
  <c r="R5" i="49"/>
  <c r="AA8" i="47"/>
  <c r="AA13" i="45"/>
  <c r="O14" i="46"/>
  <c r="P8" i="46" s="1"/>
  <c r="AA9" i="45"/>
  <c r="AA13" i="43"/>
  <c r="P13" i="49"/>
  <c r="P10" i="49"/>
  <c r="R14" i="46"/>
  <c r="S12" i="46" s="1"/>
  <c r="AA8" i="45"/>
  <c r="O14" i="45"/>
  <c r="O5" i="45" s="1"/>
  <c r="O14" i="47"/>
  <c r="P13" i="47" s="1"/>
  <c r="AA11" i="47"/>
  <c r="R14" i="47"/>
  <c r="R5" i="47" s="1"/>
  <c r="AA10" i="43"/>
  <c r="AA8" i="43"/>
  <c r="O14" i="43"/>
  <c r="P13" i="43" s="1"/>
  <c r="AA13" i="46"/>
  <c r="U14" i="45"/>
  <c r="V10" i="45" s="1"/>
  <c r="R14" i="45"/>
  <c r="S10" i="45" s="1"/>
  <c r="U14" i="46"/>
  <c r="V12" i="46" s="1"/>
  <c r="AA11" i="45"/>
  <c r="AA9" i="46"/>
  <c r="R14" i="43"/>
  <c r="R5" i="43" s="1"/>
  <c r="AA11" i="43"/>
  <c r="AA9" i="43"/>
  <c r="U14" i="43"/>
  <c r="V12" i="43" s="1"/>
  <c r="AA8" i="46"/>
  <c r="U14" i="47"/>
  <c r="V10" i="47" s="1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S14" i="47" l="1"/>
  <c r="V10" i="46"/>
  <c r="S9" i="47"/>
  <c r="S10" i="47"/>
  <c r="S12" i="47"/>
  <c r="S11" i="47"/>
  <c r="S8" i="47"/>
  <c r="S8" i="46"/>
  <c r="P12" i="43"/>
  <c r="O5" i="43"/>
  <c r="P12" i="47"/>
  <c r="S10" i="43"/>
  <c r="P12" i="46"/>
  <c r="S12" i="45"/>
  <c r="P12" i="45"/>
  <c r="S8" i="43"/>
  <c r="V14" i="43"/>
  <c r="P10" i="43"/>
  <c r="S11" i="46"/>
  <c r="S14" i="46"/>
  <c r="V13" i="43"/>
  <c r="P9" i="43"/>
  <c r="AA14" i="47"/>
  <c r="U5" i="43"/>
  <c r="V10" i="43"/>
  <c r="R5" i="45"/>
  <c r="S14" i="45"/>
  <c r="S8" i="45"/>
  <c r="P14" i="45"/>
  <c r="S11" i="43"/>
  <c r="S12" i="43"/>
  <c r="S11" i="45"/>
  <c r="S9" i="45"/>
  <c r="P9" i="47"/>
  <c r="P11" i="46"/>
  <c r="P14" i="47"/>
  <c r="AA14" i="43"/>
  <c r="P9" i="46"/>
  <c r="V12" i="45"/>
  <c r="O5" i="47"/>
  <c r="P10" i="46"/>
  <c r="P8" i="47"/>
  <c r="P13" i="45"/>
  <c r="AA14" i="46"/>
  <c r="P11" i="45"/>
  <c r="P10" i="45"/>
  <c r="O5" i="46"/>
  <c r="P14" i="46"/>
  <c r="P10" i="47"/>
  <c r="P13" i="46"/>
  <c r="P11" i="47"/>
  <c r="AA14" i="45"/>
  <c r="U5" i="45"/>
  <c r="P11" i="43"/>
  <c r="S9" i="46"/>
  <c r="P8" i="43"/>
  <c r="S10" i="46"/>
  <c r="P8" i="45"/>
  <c r="U5" i="46"/>
  <c r="V14" i="46"/>
  <c r="R5" i="46"/>
  <c r="P14" i="43"/>
  <c r="P9" i="45"/>
  <c r="V12" i="47"/>
  <c r="V14" i="47"/>
  <c r="U5" i="47"/>
  <c r="V13" i="47"/>
  <c r="S9" i="43"/>
  <c r="S14" i="43"/>
  <c r="V13" i="45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BC38" i="56" l="1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AJ32" i="40"/>
  <c r="AJ23" i="40"/>
  <c r="AJ27" i="40"/>
  <c r="AJ61" i="40"/>
  <c r="AJ40" i="40"/>
  <c r="AJ16" i="40"/>
  <c r="AJ31" i="40"/>
  <c r="AJ28" i="40"/>
  <c r="AJ20" i="40"/>
  <c r="AJ15" i="40"/>
  <c r="AJ19" i="40"/>
  <c r="AJ14" i="40"/>
  <c r="AJ11" i="40"/>
  <c r="G14" i="40"/>
  <c r="AJ35" i="40"/>
  <c r="AJ36" i="40"/>
  <c r="AJ39" i="40"/>
  <c r="AJ24" i="40"/>
  <c r="AK2" i="40" l="1"/>
  <c r="AL4" i="40"/>
  <c r="AL2" i="40" s="1"/>
  <c r="AL61" i="40"/>
  <c r="AK61" i="40"/>
  <c r="L14" i="40"/>
  <c r="M10" i="40" s="1"/>
  <c r="G49" i="40"/>
  <c r="AL36" i="40"/>
  <c r="G19" i="40"/>
  <c r="AJ50" i="40"/>
  <c r="AJ59" i="40"/>
  <c r="G7" i="40"/>
  <c r="G53" i="40"/>
  <c r="AJ13" i="40"/>
  <c r="AJ41" i="40"/>
  <c r="G35" i="40"/>
  <c r="AJ62" i="40"/>
  <c r="AJ58" i="40"/>
  <c r="AJ64" i="40"/>
  <c r="E14" i="40"/>
  <c r="G45" i="40"/>
  <c r="G29" i="40"/>
  <c r="AJ49" i="40"/>
  <c r="G52" i="40"/>
  <c r="AJ63" i="40"/>
  <c r="G54" i="40"/>
  <c r="G58" i="40"/>
  <c r="AL31" i="40"/>
  <c r="AL35" i="40"/>
  <c r="AJ25" i="40"/>
  <c r="AJ8" i="40"/>
  <c r="AJ30" i="40"/>
  <c r="AJ52" i="40"/>
  <c r="AJ44" i="40"/>
  <c r="G26" i="40"/>
  <c r="G20" i="40"/>
  <c r="G51" i="40"/>
  <c r="G47" i="40"/>
  <c r="AJ22" i="40"/>
  <c r="AJ43" i="40"/>
  <c r="AJ47" i="40"/>
  <c r="AJ60" i="40"/>
  <c r="AJ7" i="40"/>
  <c r="G11" i="40"/>
  <c r="AJ67" i="40"/>
  <c r="G8" i="40"/>
  <c r="AL40" i="40"/>
  <c r="AJ38" i="40"/>
  <c r="G46" i="40"/>
  <c r="G34" i="40"/>
  <c r="G27" i="40"/>
  <c r="G23" i="40"/>
  <c r="AJ21" i="40"/>
  <c r="AL11" i="40"/>
  <c r="G37" i="40"/>
  <c r="G55" i="40"/>
  <c r="G33" i="40"/>
  <c r="G64" i="40"/>
  <c r="AK16" i="40"/>
  <c r="G32" i="40"/>
  <c r="AL16" i="40"/>
  <c r="G21" i="40"/>
  <c r="G28" i="40"/>
  <c r="AK11" i="40"/>
  <c r="AJ66" i="40"/>
  <c r="AK32" i="40"/>
  <c r="AJ34" i="40"/>
  <c r="G62" i="40"/>
  <c r="AJ54" i="40"/>
  <c r="AJ65" i="40"/>
  <c r="AJ57" i="40"/>
  <c r="AJ37" i="40"/>
  <c r="G13" i="40"/>
  <c r="AJ29" i="40"/>
  <c r="G31" i="40"/>
  <c r="G22" i="40"/>
  <c r="G39" i="40"/>
  <c r="G50" i="40"/>
  <c r="G25" i="40"/>
  <c r="AJ10" i="40"/>
  <c r="G36" i="40"/>
  <c r="AJ42" i="40"/>
  <c r="G18" i="40"/>
  <c r="G43" i="40"/>
  <c r="G9" i="40"/>
  <c r="G10" i="40"/>
  <c r="G12" i="40"/>
  <c r="AJ46" i="40"/>
  <c r="AK20" i="40"/>
  <c r="AJ33" i="40"/>
  <c r="AK36" i="40"/>
  <c r="G17" i="40"/>
  <c r="G48" i="40"/>
  <c r="AJ17" i="40"/>
  <c r="G63" i="40"/>
  <c r="G15" i="40"/>
  <c r="G30" i="40"/>
  <c r="AL15" i="40"/>
  <c r="AJ45" i="40"/>
  <c r="AJ12" i="40"/>
  <c r="G65" i="40"/>
  <c r="AJ53" i="40"/>
  <c r="AJ26" i="40"/>
  <c r="G16" i="40"/>
  <c r="G59" i="40"/>
  <c r="G57" i="40"/>
  <c r="AJ55" i="40"/>
  <c r="G41" i="40"/>
  <c r="AJ56" i="40"/>
  <c r="G38" i="40"/>
  <c r="AJ18" i="40"/>
  <c r="G56" i="40"/>
  <c r="G24" i="40"/>
  <c r="G44" i="40"/>
  <c r="AJ48" i="40"/>
  <c r="AJ9" i="40"/>
  <c r="G42" i="40"/>
  <c r="AJ51" i="40"/>
  <c r="G40" i="40"/>
  <c r="AG61" i="40" l="1"/>
  <c r="AH61" i="40"/>
  <c r="AH11" i="40"/>
  <c r="AH35" i="40"/>
  <c r="AH36" i="40"/>
  <c r="AH16" i="40"/>
  <c r="AH15" i="40"/>
  <c r="AH31" i="40"/>
  <c r="AH40" i="40"/>
  <c r="AG11" i="40"/>
  <c r="AG35" i="40"/>
  <c r="AG36" i="40"/>
  <c r="AG16" i="40"/>
  <c r="AG15" i="40"/>
  <c r="AG31" i="40"/>
  <c r="AG40" i="40"/>
  <c r="AL60" i="40"/>
  <c r="AL66" i="40"/>
  <c r="AL67" i="40"/>
  <c r="AK60" i="40"/>
  <c r="AK66" i="40"/>
  <c r="AK67" i="40"/>
  <c r="AM61" i="40"/>
  <c r="M13" i="40"/>
  <c r="M9" i="40"/>
  <c r="AM20" i="40"/>
  <c r="AM32" i="40"/>
  <c r="AM11" i="40"/>
  <c r="AM36" i="40"/>
  <c r="AM16" i="40"/>
  <c r="M14" i="40"/>
  <c r="C79" i="40"/>
  <c r="Y14" i="40"/>
  <c r="L5" i="40"/>
  <c r="M12" i="40"/>
  <c r="M11" i="40"/>
  <c r="M8" i="40"/>
  <c r="E13" i="40"/>
  <c r="AK10" i="40"/>
  <c r="AK57" i="40"/>
  <c r="AL46" i="40"/>
  <c r="AL14" i="40"/>
  <c r="E22" i="40"/>
  <c r="AL13" i="40"/>
  <c r="AK38" i="40"/>
  <c r="E36" i="40"/>
  <c r="AL19" i="40"/>
  <c r="AK40" i="40"/>
  <c r="AL47" i="40"/>
  <c r="E17" i="40"/>
  <c r="AK12" i="40"/>
  <c r="E18" i="40"/>
  <c r="E35" i="40"/>
  <c r="E53" i="40"/>
  <c r="AL42" i="40"/>
  <c r="AL26" i="40"/>
  <c r="AK52" i="40"/>
  <c r="AL37" i="40"/>
  <c r="AL51" i="40"/>
  <c r="AK37" i="40"/>
  <c r="E54" i="40"/>
  <c r="E65" i="40"/>
  <c r="AL8" i="40"/>
  <c r="AL20" i="40"/>
  <c r="AK44" i="40"/>
  <c r="AK49" i="40"/>
  <c r="AK64" i="40"/>
  <c r="E11" i="40"/>
  <c r="E63" i="40"/>
  <c r="AK53" i="40"/>
  <c r="E8" i="40"/>
  <c r="AK54" i="40"/>
  <c r="E45" i="40"/>
  <c r="E39" i="40"/>
  <c r="AK28" i="40"/>
  <c r="AL34" i="40"/>
  <c r="AL33" i="40"/>
  <c r="E51" i="40"/>
  <c r="AL39" i="40"/>
  <c r="AK59" i="40"/>
  <c r="E48" i="40"/>
  <c r="AK55" i="40"/>
  <c r="AK9" i="40"/>
  <c r="AK47" i="40"/>
  <c r="AK51" i="40"/>
  <c r="AL53" i="40"/>
  <c r="E21" i="40"/>
  <c r="AL55" i="40"/>
  <c r="AK42" i="40"/>
  <c r="E52" i="40"/>
  <c r="E56" i="40"/>
  <c r="AK30" i="40"/>
  <c r="AL49" i="40"/>
  <c r="E46" i="40"/>
  <c r="AK22" i="40"/>
  <c r="AL7" i="40"/>
  <c r="E23" i="40"/>
  <c r="AL9" i="40"/>
  <c r="AK21" i="40"/>
  <c r="E28" i="40"/>
  <c r="AK14" i="40"/>
  <c r="AL57" i="40"/>
  <c r="AK34" i="40"/>
  <c r="AL65" i="40"/>
  <c r="E50" i="40"/>
  <c r="AL17" i="40"/>
  <c r="E44" i="40"/>
  <c r="E26" i="40"/>
  <c r="AK24" i="40"/>
  <c r="AK56" i="40"/>
  <c r="AL41" i="40"/>
  <c r="E24" i="40"/>
  <c r="E34" i="40"/>
  <c r="E25" i="40"/>
  <c r="AL30" i="40"/>
  <c r="AL27" i="40"/>
  <c r="E43" i="40"/>
  <c r="AK39" i="40"/>
  <c r="E58" i="40"/>
  <c r="AL62" i="40"/>
  <c r="AK63" i="40"/>
  <c r="AL63" i="40"/>
  <c r="E49" i="40"/>
  <c r="AK58" i="40"/>
  <c r="AL25" i="40"/>
  <c r="AK31" i="40"/>
  <c r="AL48" i="40"/>
  <c r="AK35" i="40"/>
  <c r="AL18" i="40"/>
  <c r="AK62" i="40"/>
  <c r="E64" i="40"/>
  <c r="AK41" i="40"/>
  <c r="E62" i="40"/>
  <c r="E42" i="40"/>
  <c r="AL43" i="40"/>
  <c r="AK29" i="40"/>
  <c r="AK26" i="40"/>
  <c r="AL45" i="40"/>
  <c r="AK27" i="40"/>
  <c r="E31" i="40"/>
  <c r="AK25" i="40"/>
  <c r="E10" i="40"/>
  <c r="E57" i="40"/>
  <c r="AL32" i="40"/>
  <c r="E40" i="40"/>
  <c r="AK19" i="40"/>
  <c r="AL56" i="40"/>
  <c r="AL58" i="40"/>
  <c r="AL54" i="40"/>
  <c r="E19" i="40"/>
  <c r="AL64" i="40"/>
  <c r="E12" i="40"/>
  <c r="AL23" i="40"/>
  <c r="E16" i="40"/>
  <c r="AK50" i="40"/>
  <c r="E9" i="40"/>
  <c r="AK46" i="40"/>
  <c r="AK48" i="40"/>
  <c r="AK23" i="40"/>
  <c r="AK45" i="40"/>
  <c r="E37" i="40"/>
  <c r="E41" i="40"/>
  <c r="AL24" i="40"/>
  <c r="AK65" i="40"/>
  <c r="E47" i="40"/>
  <c r="AK17" i="40"/>
  <c r="AK15" i="40"/>
  <c r="AL52" i="40"/>
  <c r="E15" i="40"/>
  <c r="AL22" i="40"/>
  <c r="E32" i="40"/>
  <c r="AL38" i="40"/>
  <c r="E38" i="40"/>
  <c r="AL12" i="40"/>
  <c r="E7" i="40"/>
  <c r="E20" i="40"/>
  <c r="E29" i="40"/>
  <c r="AL44" i="40"/>
  <c r="AL10" i="40"/>
  <c r="AL59" i="40"/>
  <c r="E27" i="40"/>
  <c r="AL29" i="40"/>
  <c r="AL21" i="40"/>
  <c r="AK13" i="40"/>
  <c r="E30" i="40"/>
  <c r="AK43" i="40"/>
  <c r="AK18" i="40"/>
  <c r="AK8" i="40"/>
  <c r="AK7" i="40"/>
  <c r="AL28" i="40"/>
  <c r="AK33" i="40"/>
  <c r="E59" i="40"/>
  <c r="E33" i="40"/>
  <c r="AL50" i="40"/>
  <c r="E55" i="40"/>
  <c r="AM39" i="40" l="1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21" i="7"/>
  <c r="AL11" i="7"/>
  <c r="AL3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5" i="34"/>
  <c r="G57" i="34"/>
  <c r="G63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7" i="34"/>
  <c r="G43" i="34"/>
  <c r="G51" i="34"/>
  <c r="G8" i="34"/>
  <c r="G52" i="34"/>
  <c r="G36" i="34"/>
  <c r="G42" i="34"/>
  <c r="E63" i="34"/>
  <c r="G15" i="34"/>
  <c r="G34" i="34"/>
  <c r="G62" i="34"/>
  <c r="G24" i="34"/>
  <c r="G50" i="34"/>
  <c r="G29" i="34"/>
  <c r="G19" i="34"/>
  <c r="G28" i="34"/>
  <c r="G10" i="34"/>
  <c r="G18" i="34"/>
  <c r="G16" i="34"/>
  <c r="G58" i="34"/>
  <c r="G54" i="34"/>
  <c r="G12" i="34"/>
  <c r="G38" i="34"/>
  <c r="G45" i="34"/>
  <c r="G64" i="34"/>
  <c r="E55" i="34"/>
  <c r="G13" i="34"/>
  <c r="G11" i="34"/>
  <c r="G25" i="34"/>
  <c r="G49" i="34"/>
  <c r="G32" i="34"/>
  <c r="G44" i="34"/>
  <c r="G22" i="34"/>
  <c r="G14" i="34"/>
  <c r="G40" i="34"/>
  <c r="G27" i="34"/>
  <c r="G56" i="34"/>
  <c r="G23" i="34"/>
  <c r="G41" i="34"/>
  <c r="G65" i="34"/>
  <c r="G48" i="34"/>
  <c r="G20" i="34"/>
  <c r="G35" i="34"/>
  <c r="G37" i="34"/>
  <c r="G26" i="34"/>
  <c r="G53" i="34"/>
  <c r="G46" i="34"/>
  <c r="G31" i="34"/>
  <c r="G21" i="34"/>
  <c r="E57" i="34"/>
  <c r="G59" i="34"/>
  <c r="G33" i="34"/>
  <c r="G30" i="34"/>
  <c r="G39" i="34"/>
  <c r="G47" i="34"/>
  <c r="G9" i="34"/>
  <c r="G1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1" i="34"/>
  <c r="E45" i="34"/>
  <c r="E51" i="34"/>
  <c r="E64" i="34"/>
  <c r="E44" i="34"/>
  <c r="E30" i="34"/>
  <c r="E20" i="34"/>
  <c r="E25" i="34"/>
  <c r="E56" i="34"/>
  <c r="E46" i="34"/>
  <c r="E21" i="34"/>
  <c r="E52" i="34"/>
  <c r="E24" i="34"/>
  <c r="E7" i="34"/>
  <c r="E53" i="34"/>
  <c r="E49" i="34"/>
  <c r="E35" i="34"/>
  <c r="E37" i="34"/>
  <c r="E23" i="34"/>
  <c r="E10" i="34"/>
  <c r="E9" i="34"/>
  <c r="E42" i="34"/>
  <c r="E27" i="34"/>
  <c r="E62" i="34"/>
  <c r="E16" i="34"/>
  <c r="E32" i="34"/>
  <c r="E34" i="34"/>
  <c r="E38" i="34"/>
  <c r="E28" i="34"/>
  <c r="E33" i="34"/>
  <c r="E36" i="34"/>
  <c r="E40" i="34"/>
  <c r="E39" i="34"/>
  <c r="E14" i="34"/>
  <c r="E43" i="34"/>
  <c r="E41" i="34"/>
  <c r="E58" i="34"/>
  <c r="E18" i="34"/>
  <c r="E15" i="34"/>
  <c r="E13" i="34"/>
  <c r="E29" i="34"/>
  <c r="E19" i="34"/>
  <c r="E48" i="34"/>
  <c r="E11" i="34"/>
  <c r="E22" i="34"/>
  <c r="E54" i="34"/>
  <c r="E17" i="34"/>
  <c r="E8" i="34"/>
  <c r="E26" i="34"/>
  <c r="E12" i="34"/>
  <c r="E65" i="34"/>
  <c r="E47" i="34"/>
  <c r="E59" i="34"/>
  <c r="E50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31" i="7"/>
  <c r="AI11" i="7"/>
  <c r="AI2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47" i="34"/>
  <c r="AJ35" i="34"/>
  <c r="AJ7" i="34"/>
  <c r="AK2" i="34" l="1"/>
  <c r="AL4" i="34"/>
  <c r="AL2" i="34" s="1"/>
  <c r="AL35" i="34"/>
  <c r="AJ23" i="34"/>
  <c r="AJ62" i="34"/>
  <c r="AJ55" i="34"/>
  <c r="AJ50" i="34"/>
  <c r="AJ28" i="34"/>
  <c r="AJ11" i="34"/>
  <c r="AJ54" i="34"/>
  <c r="AJ48" i="34"/>
  <c r="AJ53" i="34"/>
  <c r="AJ42" i="34"/>
  <c r="AJ51" i="34"/>
  <c r="AJ26" i="34"/>
  <c r="AJ67" i="34"/>
  <c r="AJ66" i="34"/>
  <c r="AJ10" i="34"/>
  <c r="AJ49" i="34"/>
  <c r="AJ41" i="34"/>
  <c r="AJ19" i="34"/>
  <c r="AJ57" i="34"/>
  <c r="AJ20" i="34"/>
  <c r="AJ13" i="34"/>
  <c r="AJ45" i="34"/>
  <c r="AJ64" i="34"/>
  <c r="AJ34" i="34"/>
  <c r="AJ18" i="34"/>
  <c r="AJ43" i="34"/>
  <c r="AJ16" i="34"/>
  <c r="AJ17" i="34"/>
  <c r="AJ46" i="34"/>
  <c r="AJ52" i="34"/>
  <c r="AJ65" i="34"/>
  <c r="AJ24" i="34"/>
  <c r="AJ31" i="34"/>
  <c r="AJ33" i="34"/>
  <c r="AJ58" i="34"/>
  <c r="AK35" i="34"/>
  <c r="AJ9" i="34"/>
  <c r="AJ37" i="34"/>
  <c r="AJ61" i="34"/>
  <c r="AJ60" i="34"/>
  <c r="AJ38" i="34"/>
  <c r="AJ63" i="34"/>
  <c r="AJ56" i="34"/>
  <c r="AJ8" i="34"/>
  <c r="AJ22" i="34"/>
  <c r="AJ40" i="34"/>
  <c r="AJ21" i="34"/>
  <c r="AJ39" i="34"/>
  <c r="AJ12" i="34"/>
  <c r="AJ59" i="34"/>
  <c r="AJ15" i="34"/>
  <c r="AJ3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L63" i="34"/>
  <c r="AK26" i="34"/>
  <c r="AK24" i="34"/>
  <c r="AK10" i="34"/>
  <c r="AK37" i="34"/>
  <c r="AL21" i="34"/>
  <c r="AL37" i="34"/>
  <c r="AK56" i="34"/>
  <c r="AJ25" i="34"/>
  <c r="AK55" i="34"/>
  <c r="AL46" i="34"/>
  <c r="AK8" i="34"/>
  <c r="AK13" i="34"/>
  <c r="AK23" i="34"/>
  <c r="AK51" i="34"/>
  <c r="AL43" i="34"/>
  <c r="AL51" i="34"/>
  <c r="AL19" i="34"/>
  <c r="AL64" i="34"/>
  <c r="AK38" i="34"/>
  <c r="AK43" i="34"/>
  <c r="AK54" i="34"/>
  <c r="AK50" i="34"/>
  <c r="AK58" i="34"/>
  <c r="AJ27" i="34"/>
  <c r="AL30" i="34"/>
  <c r="AK18" i="34"/>
  <c r="AL53" i="34"/>
  <c r="AK47" i="34"/>
  <c r="AL49" i="34"/>
  <c r="AK20" i="34"/>
  <c r="AL47" i="34"/>
  <c r="AL58" i="34"/>
  <c r="AK17" i="34"/>
  <c r="AK33" i="34"/>
  <c r="AL52" i="34"/>
  <c r="AL42" i="34"/>
  <c r="AL57" i="34"/>
  <c r="AJ44" i="34"/>
  <c r="AL17" i="34"/>
  <c r="AK9" i="34"/>
  <c r="AL39" i="34"/>
  <c r="AL45" i="34"/>
  <c r="AL56" i="34"/>
  <c r="AK41" i="34"/>
  <c r="AK57" i="34"/>
  <c r="AL48" i="34"/>
  <c r="AK46" i="34"/>
  <c r="AL8" i="34"/>
  <c r="AL10" i="34"/>
  <c r="AL55" i="34"/>
  <c r="AK11" i="34"/>
  <c r="AL13" i="34"/>
  <c r="AK52" i="34"/>
  <c r="AL54" i="34"/>
  <c r="AL7" i="34"/>
  <c r="AL24" i="34"/>
  <c r="AK48" i="34"/>
  <c r="AL33" i="34"/>
  <c r="AK64" i="34"/>
  <c r="AK45" i="34"/>
  <c r="AL59" i="34"/>
  <c r="AK59" i="34"/>
  <c r="AL34" i="34"/>
  <c r="AL65" i="34"/>
  <c r="AL50" i="34"/>
  <c r="AL15" i="34"/>
  <c r="AK42" i="34"/>
  <c r="AL28" i="34"/>
  <c r="AL16" i="34"/>
  <c r="AL40" i="34"/>
  <c r="AK49" i="34"/>
  <c r="AK16" i="34"/>
  <c r="AK7" i="34"/>
  <c r="AL9" i="34"/>
  <c r="AJ29" i="34"/>
  <c r="AK39" i="34"/>
  <c r="AL41" i="34"/>
  <c r="AK30" i="34"/>
  <c r="AL11" i="34"/>
  <c r="AL26" i="34"/>
  <c r="AK40" i="34"/>
  <c r="AK34" i="34"/>
  <c r="AK12" i="34"/>
  <c r="AL20" i="34"/>
  <c r="AK21" i="34"/>
  <c r="AL12" i="34"/>
  <c r="AL38" i="34"/>
  <c r="AL18" i="34"/>
  <c r="AK19" i="34"/>
  <c r="AK65" i="34"/>
  <c r="AL31" i="34"/>
  <c r="AK63" i="34"/>
  <c r="AL23" i="34"/>
  <c r="AJ14" i="34"/>
  <c r="AK53" i="34"/>
  <c r="AK28" i="34"/>
  <c r="AL62" i="34"/>
  <c r="AJ32" i="34"/>
  <c r="AJ36" i="34"/>
  <c r="AL22" i="34"/>
  <c r="AK31" i="34"/>
  <c r="AK62" i="34"/>
  <c r="AK15" i="34"/>
  <c r="AK22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K36" i="34"/>
  <c r="AK25" i="34"/>
  <c r="AL27" i="34"/>
  <c r="AL25" i="34"/>
  <c r="AK27" i="34"/>
  <c r="AL29" i="34"/>
  <c r="AL36" i="34"/>
  <c r="AL14" i="34"/>
  <c r="AL32" i="34"/>
  <c r="AK14" i="34"/>
  <c r="AL44" i="34"/>
  <c r="AK32" i="34"/>
  <c r="AK44" i="34"/>
  <c r="AK29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K12" i="7"/>
  <c r="BA12" i="7"/>
  <c r="BG12" i="7"/>
  <c r="BK22" i="7" l="1"/>
  <c r="BK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W58" i="5" s="1"/>
  <c r="AV56" i="5"/>
  <c r="AU56" i="5"/>
  <c r="AU58" i="5" s="1"/>
  <c r="AT56" i="5"/>
  <c r="AT58" i="5" s="1"/>
  <c r="AW47" i="5"/>
  <c r="AV47" i="5"/>
  <c r="AU47" i="5"/>
  <c r="AT47" i="5"/>
  <c r="AW46" i="5"/>
  <c r="AW52" i="5" s="1"/>
  <c r="AV46" i="5"/>
  <c r="AV52" i="5" s="1"/>
  <c r="AU46" i="5"/>
  <c r="AU52" i="5" s="1"/>
  <c r="AT46" i="5"/>
  <c r="AT52" i="5" s="1"/>
  <c r="AW45" i="5"/>
  <c r="AV45" i="5"/>
  <c r="AU45" i="5"/>
  <c r="AT45" i="5"/>
  <c r="AW44" i="5"/>
  <c r="AW51" i="5" s="1"/>
  <c r="N12" i="9" s="1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W50" i="5" s="1"/>
  <c r="N11" i="9" s="1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BD12" i="7"/>
  <c r="AI12" i="7"/>
  <c r="AU22" i="7"/>
  <c r="BG22" i="7"/>
  <c r="BA22" i="7"/>
  <c r="AR12" i="7"/>
  <c r="AU12" i="7"/>
  <c r="AO12" i="7"/>
  <c r="BG13" i="7"/>
  <c r="AL12" i="7"/>
  <c r="AX12" i="7"/>
  <c r="BA13" i="7"/>
  <c r="H14" i="24" l="1"/>
  <c r="I13" i="24" s="1"/>
  <c r="AD25" i="27"/>
  <c r="AE25" i="27" s="1"/>
  <c r="AD25" i="24"/>
  <c r="R12" i="7"/>
  <c r="AG6" i="24"/>
  <c r="G9" i="11"/>
  <c r="H14" i="27"/>
  <c r="I13" i="27" s="1"/>
  <c r="I8" i="24"/>
  <c r="R16" i="10"/>
  <c r="Q16" i="10"/>
  <c r="P16" i="10"/>
  <c r="F14" i="17"/>
  <c r="H14" i="25"/>
  <c r="M52" i="5"/>
  <c r="U52" i="5"/>
  <c r="E58" i="5"/>
  <c r="AO58" i="5"/>
  <c r="AA26" i="7"/>
  <c r="AR22" i="7"/>
  <c r="AX22" i="7"/>
  <c r="AL22" i="7"/>
  <c r="AL13" i="7"/>
  <c r="AI13" i="7"/>
  <c r="AU13" i="7"/>
  <c r="BD13" i="7"/>
  <c r="AO13" i="7"/>
  <c r="AR13" i="7"/>
  <c r="AX13" i="7"/>
  <c r="BD22" i="7"/>
  <c r="AO22" i="7"/>
  <c r="AI22" i="7"/>
  <c r="Q58" i="5" l="1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K23" i="7"/>
  <c r="BK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BG23" i="7"/>
  <c r="BA23" i="7"/>
  <c r="AU32" i="7"/>
  <c r="AR23" i="7"/>
  <c r="AI32" i="7"/>
  <c r="AU23" i="7"/>
  <c r="AR32" i="7"/>
  <c r="AL32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K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K14" i="7"/>
  <c r="U33" i="7"/>
  <c r="I13" i="7"/>
  <c r="AF27" i="7"/>
  <c r="AG25" i="7" s="1"/>
  <c r="M16" i="10"/>
  <c r="S16" i="10" s="1"/>
  <c r="N16" i="10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BD23" i="7"/>
  <c r="AL23" i="7"/>
  <c r="AO14" i="7"/>
  <c r="AX23" i="7"/>
  <c r="AU33" i="7"/>
  <c r="AI23" i="7"/>
  <c r="AR14" i="7"/>
  <c r="BA14" i="7"/>
  <c r="AO32" i="7"/>
  <c r="AU14" i="7"/>
  <c r="AO23" i="7"/>
  <c r="BG14" i="7"/>
  <c r="U16" i="10" l="1"/>
  <c r="O16" i="10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K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K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BA15" i="7"/>
  <c r="BD14" i="7"/>
  <c r="BA24" i="7"/>
  <c r="AL33" i="7"/>
  <c r="AI14" i="7"/>
  <c r="AL14" i="7"/>
  <c r="AU15" i="7"/>
  <c r="BG24" i="7"/>
  <c r="AR33" i="7"/>
  <c r="AI33" i="7"/>
  <c r="AX14" i="7"/>
  <c r="AO33" i="7"/>
  <c r="AU24" i="7"/>
  <c r="BG15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K25" i="7"/>
  <c r="BK34" i="7"/>
  <c r="BK16" i="7"/>
  <c r="BD24" i="7"/>
  <c r="AO15" i="7"/>
  <c r="AR24" i="7"/>
  <c r="AO24" i="7"/>
  <c r="AI24" i="7"/>
  <c r="BD15" i="7"/>
  <c r="AL16" i="7"/>
  <c r="AX15" i="7"/>
  <c r="AL34" i="7"/>
  <c r="AL24" i="7"/>
  <c r="AX24" i="7"/>
  <c r="AR15" i="7"/>
  <c r="AL15" i="7"/>
  <c r="BA16" i="7"/>
  <c r="AI15" i="7"/>
  <c r="BG16" i="7"/>
  <c r="BG25" i="7"/>
  <c r="BG17" i="7" l="1"/>
  <c r="BH16" i="7" s="1"/>
  <c r="BA17" i="7"/>
  <c r="BB16" i="7" s="1"/>
  <c r="BA25" i="7"/>
  <c r="BD25" i="7"/>
  <c r="AI16" i="7"/>
  <c r="AX16" i="7"/>
  <c r="AR25" i="7"/>
  <c r="AO16" i="7"/>
  <c r="BD16" i="7"/>
  <c r="AR34" i="7"/>
  <c r="AL25" i="7"/>
  <c r="AU34" i="7"/>
  <c r="AI34" i="7"/>
  <c r="AO34" i="7"/>
  <c r="AU16" i="7"/>
  <c r="AR16" i="7"/>
  <c r="AX25" i="7"/>
  <c r="AU25" i="7"/>
  <c r="AI25" i="7"/>
  <c r="AO25" i="7"/>
  <c r="BD17" i="7" l="1"/>
  <c r="BE16" i="7" s="1"/>
  <c r="BH11" i="7"/>
  <c r="BH12" i="7"/>
  <c r="BH13" i="7"/>
  <c r="BH14" i="7"/>
  <c r="BH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K35" i="7"/>
  <c r="BK26" i="7"/>
  <c r="AI17" i="7"/>
  <c r="AL26" i="7"/>
  <c r="BA26" i="7"/>
  <c r="BG26" i="7"/>
  <c r="AU35" i="7"/>
  <c r="BG27" i="7" l="1"/>
  <c r="BE11" i="7"/>
  <c r="BE12" i="7"/>
  <c r="BE13" i="7"/>
  <c r="BE14" i="7"/>
  <c r="BE15" i="7"/>
  <c r="BH17" i="7"/>
  <c r="AP12" i="7"/>
  <c r="AP16" i="7"/>
  <c r="AP14" i="7"/>
  <c r="AP13" i="7"/>
  <c r="AP15" i="7"/>
  <c r="AV16" i="7"/>
  <c r="BA27" i="7"/>
  <c r="BB26" i="7" s="1"/>
  <c r="AV13" i="7"/>
  <c r="BB17" i="7"/>
  <c r="AV12" i="7"/>
  <c r="AV15" i="7"/>
  <c r="AV11" i="7"/>
  <c r="AY11" i="7"/>
  <c r="AY12" i="7"/>
  <c r="AY13" i="7"/>
  <c r="AY14" i="7"/>
  <c r="AY15" i="7"/>
  <c r="AY16" i="7"/>
  <c r="AI35" i="7"/>
  <c r="BD26" i="7"/>
  <c r="AL35" i="7"/>
  <c r="AO35" i="7"/>
  <c r="AI26" i="7"/>
  <c r="AX26" i="7"/>
  <c r="AR35" i="7"/>
  <c r="AO26" i="7"/>
  <c r="AR26" i="7"/>
  <c r="AU26" i="7"/>
  <c r="BD27" i="7" l="1"/>
  <c r="BE17" i="7"/>
  <c r="BH21" i="7"/>
  <c r="BH22" i="7"/>
  <c r="BH23" i="7"/>
  <c r="BH24" i="7"/>
  <c r="BH25" i="7"/>
  <c r="BH26" i="7"/>
  <c r="AP17" i="7"/>
  <c r="AU27" i="7"/>
  <c r="AV23" i="7" s="1"/>
  <c r="AV17" i="7"/>
  <c r="BB21" i="7"/>
  <c r="BB22" i="7"/>
  <c r="BB23" i="7"/>
  <c r="BB24" i="7"/>
  <c r="BB25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K36" i="7"/>
  <c r="AM12" i="7"/>
  <c r="AM13" i="7"/>
  <c r="AM11" i="7"/>
  <c r="AM14" i="7"/>
  <c r="AM15" i="7"/>
  <c r="AO36" i="7"/>
  <c r="BH27" i="7" l="1"/>
  <c r="BE21" i="7"/>
  <c r="BE22" i="7"/>
  <c r="BE23" i="7"/>
  <c r="BE24" i="7"/>
  <c r="BE25" i="7"/>
  <c r="BE26" i="7"/>
  <c r="AV24" i="7"/>
  <c r="AV22" i="7"/>
  <c r="AV26" i="7"/>
  <c r="AV25" i="7"/>
  <c r="AV21" i="7"/>
  <c r="BB27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L36" i="7"/>
  <c r="AR36" i="7"/>
  <c r="AU36" i="7"/>
  <c r="AI36" i="7"/>
  <c r="BE27" i="7" l="1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V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V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BG7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last year end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D38" authorId="0" shapeId="0" xr:uid="{00000000-0006-0000-0E00-000001000000}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Modified to align with 2018Q2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AK33" authorId="0" shapeId="0" xr:uid="{00000000-0006-0000-1200-000001000000}">
      <text>
        <r>
          <rPr>
            <b/>
            <sz val="9"/>
            <color indexed="81"/>
            <rFont val="Tahoma"/>
            <charset val="1"/>
          </rPr>
          <t>Michael Buckley:</t>
        </r>
        <r>
          <rPr>
            <sz val="9"/>
            <color indexed="81"/>
            <rFont val="Tahoma"/>
            <charset val="1"/>
          </rPr>
          <t xml:space="preserve">
Hardwired for Q1 only so Oncor isn't mistakingly marked as "upgrade".  Need to reinstate the formula here in 2017 Q2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45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AG5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C50" authorId="0" shapeId="0" xr:uid="{00000000-0006-0000-3300-000001000000}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Removed due to M&amp;A activity in 2018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56" authorId="0" shapeId="0" xr:uid="{00000000-0006-0000-3600-000001000000}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<sst xmlns="http://schemas.openxmlformats.org/spreadsheetml/2006/main" count="18527" uniqueCount="600">
  <si>
    <t>Company Name</t>
  </si>
  <si>
    <t>CH Energy Group, Inc.</t>
  </si>
  <si>
    <t>A</t>
  </si>
  <si>
    <t>Consolidated Edison, Inc.</t>
  </si>
  <si>
    <t>FPL Group, Inc.</t>
  </si>
  <si>
    <t>Niagara Mohawk Power Corporation</t>
  </si>
  <si>
    <t>NSTAR</t>
  </si>
  <si>
    <t>Southern Company</t>
  </si>
  <si>
    <t>WPS Resources Corporation</t>
  </si>
  <si>
    <t>Ameren Corporation</t>
  </si>
  <si>
    <t>A-</t>
  </si>
  <si>
    <t>Exelon Corporation</t>
  </si>
  <si>
    <t>MDU Resources Group, Inc.</t>
  </si>
  <si>
    <t>SCANA Corporation</t>
  </si>
  <si>
    <t>Vectren Corporation</t>
  </si>
  <si>
    <t>ALLETE, Inc.</t>
  </si>
  <si>
    <t>BBB+</t>
  </si>
  <si>
    <t>Alliant Energy Corporation</t>
  </si>
  <si>
    <t>Dominion Resources, Inc.</t>
  </si>
  <si>
    <t>Energy East Corporation</t>
  </si>
  <si>
    <t>IDACORP, Inc.</t>
  </si>
  <si>
    <t>OGE Energy Corp.</t>
  </si>
  <si>
    <t>Otter Tail Corporation</t>
  </si>
  <si>
    <t>Pepco Holdings, Inc.</t>
  </si>
  <si>
    <t>Portland General Electric Company</t>
  </si>
  <si>
    <t>Sempra Energy</t>
  </si>
  <si>
    <t>Wisconsin Energy Corporation</t>
  </si>
  <si>
    <t>American Electric Power Company</t>
  </si>
  <si>
    <t>BBB</t>
  </si>
  <si>
    <t>CenterPoint Energy, Inc.</t>
  </si>
  <si>
    <t>Cleco Corporation</t>
  </si>
  <si>
    <t>DTE Energy Company</t>
  </si>
  <si>
    <t>Duke Energy Corporation</t>
  </si>
  <si>
    <t>Duquesne Light Holdings, Inc.</t>
  </si>
  <si>
    <t>El Paso Electric Company</t>
  </si>
  <si>
    <t>Empire District Electric Company</t>
  </si>
  <si>
    <t>Entergy Corporation</t>
  </si>
  <si>
    <t>Great Plains Energy, Inc.</t>
  </si>
  <si>
    <t>Green Mountain Power Corporation</t>
  </si>
  <si>
    <t>Hawaiian Electric Industries, Inc.</t>
  </si>
  <si>
    <t>NiSource Inc.</t>
  </si>
  <si>
    <t>Pinnacle West Capital Corporation</t>
  </si>
  <si>
    <t>PNM Resources, Inc.</t>
  </si>
  <si>
    <t>PPL Corporation</t>
  </si>
  <si>
    <t>Progress Energy Inc.</t>
  </si>
  <si>
    <t>Public Service Enterprise Group Incorporated</t>
  </si>
  <si>
    <t>TXU Corp.</t>
  </si>
  <si>
    <t>Xcel Energy, Inc.</t>
  </si>
  <si>
    <t>Black Hills Corporation</t>
  </si>
  <si>
    <t>BBB-</t>
  </si>
  <si>
    <t>Central Vermont Public Service Corporation</t>
  </si>
  <si>
    <t>FirstEnergy Corp.</t>
  </si>
  <si>
    <t>MidAmerican Energy Holdings Company</t>
  </si>
  <si>
    <t>PG&amp;E Corporation</t>
  </si>
  <si>
    <t>Puget Energy, Inc.</t>
  </si>
  <si>
    <t>Avista Corporation</t>
  </si>
  <si>
    <t>BB+</t>
  </si>
  <si>
    <t>Edison International</t>
  </si>
  <si>
    <t>IPALCO Enterprises, Inc.</t>
  </si>
  <si>
    <t>Westar Energy, Inc.</t>
  </si>
  <si>
    <t>CMS Energy Corporation</t>
  </si>
  <si>
    <t>BB</t>
  </si>
  <si>
    <t>TECO Energy, Inc.</t>
  </si>
  <si>
    <t>UniSource Energy Corporation</t>
  </si>
  <si>
    <t>DPL Inc.</t>
  </si>
  <si>
    <t>BB-</t>
  </si>
  <si>
    <t>NorthWestern Corporation</t>
  </si>
  <si>
    <t>Allegheny Energy, Inc.</t>
  </si>
  <si>
    <t>B+</t>
  </si>
  <si>
    <t>Sierra Pacific Resources</t>
  </si>
  <si>
    <t>Aquila, Inc.</t>
  </si>
  <si>
    <t>B-</t>
  </si>
  <si>
    <t>Maine &amp; Maritimes Corporation</t>
  </si>
  <si>
    <t/>
  </si>
  <si>
    <t>MGE Energy, Inc.</t>
  </si>
  <si>
    <t>UIL Holdings Corporation</t>
  </si>
  <si>
    <t>Unitil Corporation</t>
  </si>
  <si>
    <t>Rating</t>
  </si>
  <si>
    <t>B</t>
  </si>
  <si>
    <t>Below BBB-</t>
  </si>
  <si>
    <t>Total</t>
  </si>
  <si>
    <t>#</t>
  </si>
  <si>
    <t>%</t>
  </si>
  <si>
    <t>Note:</t>
  </si>
  <si>
    <t xml:space="preserve">Note: </t>
  </si>
  <si>
    <t>All ratings are at the holding company level with the exception of 4 companies that do not have a credit rating (Maine &amp; Maritimes, MGE Energy, Unitil Corp, &amp; UIL Holdings)</t>
  </si>
  <si>
    <t>D</t>
  </si>
  <si>
    <t>KeySpan Corp.</t>
  </si>
  <si>
    <t>Constellation Energy, Inc.</t>
  </si>
  <si>
    <t>Fitch</t>
  </si>
  <si>
    <t>S&amp;P</t>
  </si>
  <si>
    <t>2002 Q3</t>
  </si>
  <si>
    <t>2002 Q4</t>
  </si>
  <si>
    <t>2003 Q1</t>
  </si>
  <si>
    <t>2003 Q2</t>
  </si>
  <si>
    <t>2004 Q1</t>
  </si>
  <si>
    <t>2004 Q3</t>
  </si>
  <si>
    <t>2005 Q1</t>
  </si>
  <si>
    <t>Standard &amp; Poor's</t>
  </si>
  <si>
    <t>MOODY'S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</si>
  <si>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</si>
  <si>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</si>
  <si>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</si>
  <si>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</si>
  <si>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</si>
  <si>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</si>
  <si>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</si>
  <si>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</si>
  <si>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</si>
  <si>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</si>
  <si>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</si>
  <si>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</si>
  <si>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</si>
  <si>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</si>
  <si>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</si>
  <si>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</si>
  <si>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</si>
  <si>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</si>
  <si>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</si>
  <si>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</si>
  <si>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</si>
  <si>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</si>
  <si>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</si>
  <si>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</si>
  <si>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</si>
  <si>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</si>
  <si>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</si>
  <si>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</si>
  <si>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</si>
  <si>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</si>
  <si>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</si>
  <si>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</si>
  <si>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Source: Fitch Ratings, Moody's, Standard &amp; Poor's</t>
  </si>
  <si>
    <t>Source: Standard &amp; Poor's, SNL Financial</t>
  </si>
  <si>
    <t>Average</t>
  </si>
  <si>
    <t xml:space="preserve">Average </t>
  </si>
  <si>
    <t>N/A</t>
  </si>
  <si>
    <t>Regulated</t>
  </si>
  <si>
    <t>A or higher</t>
  </si>
  <si>
    <t>Mostly Regulated</t>
  </si>
  <si>
    <t>Diversified</t>
  </si>
  <si>
    <t>Source: Standard &amp; Poor's, SNL Financial, EEI Finance Department, and company annual reports</t>
  </si>
  <si>
    <t>S&amp;P Utility Credit Rating Distribution by Category</t>
  </si>
  <si>
    <t>2001 Y</t>
  </si>
  <si>
    <t>El Paso Electric</t>
  </si>
  <si>
    <t>Empire District</t>
  </si>
  <si>
    <t>Green Mtn Power Corp</t>
  </si>
  <si>
    <t>Illinois Power Co</t>
  </si>
  <si>
    <t>IPALCO Enterprises</t>
  </si>
  <si>
    <t>Montana Power</t>
  </si>
  <si>
    <t>New England Power</t>
  </si>
  <si>
    <t>Niagara Mohawk Power Corp</t>
  </si>
  <si>
    <t>Pacificorp</t>
  </si>
  <si>
    <t>Portland General Electric</t>
  </si>
  <si>
    <t>RGS Energy Group, Inc.</t>
  </si>
  <si>
    <t>TNP Enterprises</t>
  </si>
  <si>
    <t>Allegheny Energy</t>
  </si>
  <si>
    <t>MidAmerican Energy Holdings</t>
  </si>
  <si>
    <t>Xcel Energy</t>
  </si>
  <si>
    <t>Ameren Corp</t>
  </si>
  <si>
    <t>Maine Public Service</t>
  </si>
  <si>
    <t>Puget Energy</t>
  </si>
  <si>
    <t>Unisource</t>
  </si>
  <si>
    <t>Southern Co</t>
  </si>
  <si>
    <t>Energy East</t>
  </si>
  <si>
    <t>Great Plains Energy</t>
  </si>
  <si>
    <t>Centr Vermont Pub Serv</t>
  </si>
  <si>
    <t>Consolidated Edison</t>
  </si>
  <si>
    <t>Pinnacle West Capital</t>
  </si>
  <si>
    <t>UIL Holdings</t>
  </si>
  <si>
    <t>Wisconsin Energy</t>
  </si>
  <si>
    <t>CH Energy Group</t>
  </si>
  <si>
    <t>PEPCO</t>
  </si>
  <si>
    <t>Exelon</t>
  </si>
  <si>
    <t>IDACORP Inc</t>
  </si>
  <si>
    <t>Entergy</t>
  </si>
  <si>
    <t>First Energy</t>
  </si>
  <si>
    <t>Vectren</t>
  </si>
  <si>
    <t>DTE Energy</t>
  </si>
  <si>
    <t>Keyspan</t>
  </si>
  <si>
    <t>PG&amp;E</t>
  </si>
  <si>
    <t>Conectiv</t>
  </si>
  <si>
    <t>Progress Energy</t>
  </si>
  <si>
    <t>FPL Group</t>
  </si>
  <si>
    <t>Otter Tail Power</t>
  </si>
  <si>
    <t>DQE</t>
  </si>
  <si>
    <t>Westar Energy Inc.</t>
  </si>
  <si>
    <t>Alliant Energy</t>
  </si>
  <si>
    <t>Avista Corp.</t>
  </si>
  <si>
    <t>WPS Resources</t>
  </si>
  <si>
    <t>TECO Energy</t>
  </si>
  <si>
    <t>Cinergy</t>
  </si>
  <si>
    <t>Public Service Enterprise Group</t>
  </si>
  <si>
    <t>PPL Corp</t>
  </si>
  <si>
    <t>CMS Energy</t>
  </si>
  <si>
    <t>OGE Energy Corp</t>
  </si>
  <si>
    <t>American Electric Power</t>
  </si>
  <si>
    <t>Constellation Energy</t>
  </si>
  <si>
    <t>NiSource</t>
  </si>
  <si>
    <t>Hawaiian Electric</t>
  </si>
  <si>
    <t>Duke Energy</t>
  </si>
  <si>
    <t>TXU</t>
  </si>
  <si>
    <t>Black Hills Corp</t>
  </si>
  <si>
    <t>Northwestern Corp</t>
  </si>
  <si>
    <t>Dominion Resources</t>
  </si>
  <si>
    <t>MDU Resources</t>
  </si>
  <si>
    <t>Allete</t>
  </si>
  <si>
    <t xml:space="preserve">BBB- 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</si>
  <si>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</si>
  <si>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</si>
  <si>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</si>
  <si>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and 6 companies that do not have a parent level rating in SNL Datasource -- see below.  </t>
  </si>
  <si>
    <t xml:space="preserve">Great Plains Enregy - Using Kansas City Power &amp; Light (A- on 1/2/02). </t>
  </si>
  <si>
    <t>Unisource - Using Tuscon Electric Power Company credit rating (BB on 11/08/02).</t>
  </si>
  <si>
    <t xml:space="preserve">PEPCO - Using Potomac Electric Power rating (BBB+ on 7/15/03). </t>
  </si>
  <si>
    <t>2005 Q4</t>
  </si>
  <si>
    <t>Rating Agency Activity</t>
  </si>
  <si>
    <t>Total Rating Activity</t>
  </si>
  <si>
    <t xml:space="preserve">Moody's </t>
  </si>
  <si>
    <t xml:space="preserve">Total </t>
  </si>
  <si>
    <t>Upgrades</t>
  </si>
  <si>
    <t>Downgrades</t>
  </si>
  <si>
    <t>% Upgrades</t>
  </si>
  <si>
    <t>MGE Energy</t>
  </si>
  <si>
    <t xml:space="preserve">Cinergy Corp and Pacificorp are no longer part of the EEI Index.  Numbers based on 64+4 companies.  </t>
  </si>
  <si>
    <t>2001 Q1</t>
  </si>
  <si>
    <t>2001 Q2</t>
  </si>
  <si>
    <t>2006 Q1</t>
  </si>
  <si>
    <t>2005 Q2</t>
  </si>
  <si>
    <t>2005 Q3</t>
  </si>
  <si>
    <t>2006 Q2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</si>
  <si>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</si>
  <si>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</si>
  <si>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</si>
  <si>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>2006 Q3</t>
  </si>
  <si>
    <t>2006 Q4</t>
  </si>
  <si>
    <t>Louisville Gas &amp; Electric</t>
  </si>
  <si>
    <t>Kentucky Utilities</t>
  </si>
  <si>
    <t>2007Q1</t>
  </si>
  <si>
    <t>2007 Q2</t>
  </si>
  <si>
    <t>2007 Q3</t>
  </si>
  <si>
    <t>I. S&amp;P Utility Credit Ratings Distribution - 2006</t>
  </si>
  <si>
    <t>I. S&amp;P Utility Credit Ratings Distribution - 2001</t>
  </si>
  <si>
    <t>Direction of Ratings Actions</t>
  </si>
  <si>
    <t>Credit Ratings Scales</t>
  </si>
  <si>
    <t>Investment Grade</t>
  </si>
  <si>
    <t>Speculative Grade</t>
  </si>
  <si>
    <t>2007 Q4</t>
  </si>
  <si>
    <t>Energy Future Holdings Corp.</t>
  </si>
  <si>
    <t>2008 Q1</t>
  </si>
  <si>
    <t>2008 Q2</t>
  </si>
  <si>
    <t>2008 Q3</t>
  </si>
  <si>
    <t>2008 Q4</t>
  </si>
  <si>
    <t>Integrys Energy Group, Inc.</t>
  </si>
  <si>
    <t>Kentucky Utilities Company</t>
  </si>
  <si>
    <t>Louisville Gas and Electric Company</t>
  </si>
  <si>
    <t>Progress Energy, Inc.</t>
  </si>
  <si>
    <t>Xcel Energy Inc.</t>
  </si>
  <si>
    <t>American Electric Power Company, Inc.</t>
  </si>
  <si>
    <t>Constellation Energy Group, Inc.</t>
  </si>
  <si>
    <t>Great Plains Energy Inc.</t>
  </si>
  <si>
    <t>Duquesne Light Company</t>
  </si>
  <si>
    <t>MGE Energy, Inc.*</t>
  </si>
  <si>
    <t>CH Energy Group, Inc.*</t>
  </si>
  <si>
    <t>UniSource Energy Corporation*</t>
  </si>
  <si>
    <t>NV Energy, Inc.</t>
  </si>
  <si>
    <t xml:space="preserve">Notes: </t>
  </si>
  <si>
    <t>Source:  Standard &amp; Poor's, SNL Financial and EEI Finance Dept.</t>
  </si>
  <si>
    <t>Note:  Chart depicts the number of occurences and includes each event, even if multiple downgrades occurred for a single company.</t>
  </si>
  <si>
    <t>II.  Upgrades &amp; Downgrades</t>
  </si>
  <si>
    <t>2009 Q1</t>
  </si>
  <si>
    <t>III.  Total Ratings Actions</t>
  </si>
  <si>
    <t>IV.  Direction of Ratings Actions</t>
  </si>
  <si>
    <t>AEE</t>
  </si>
  <si>
    <t>AEP</t>
  </si>
  <si>
    <t>AES</t>
  </si>
  <si>
    <t>ALE</t>
  </si>
  <si>
    <t>AVA</t>
  </si>
  <si>
    <t>AYE</t>
  </si>
  <si>
    <t>BKH</t>
  </si>
  <si>
    <t>BRK</t>
  </si>
  <si>
    <t>CEG</t>
  </si>
  <si>
    <t>CHG</t>
  </si>
  <si>
    <t>CMS</t>
  </si>
  <si>
    <t>CNL</t>
  </si>
  <si>
    <t>CNP</t>
  </si>
  <si>
    <t>CV</t>
  </si>
  <si>
    <t>DPL</t>
  </si>
  <si>
    <t>DTE</t>
  </si>
  <si>
    <t>DUK</t>
  </si>
  <si>
    <t>EAST</t>
  </si>
  <si>
    <t>ED</t>
  </si>
  <si>
    <t>EDE</t>
  </si>
  <si>
    <t>EE</t>
  </si>
  <si>
    <t>EFH</t>
  </si>
  <si>
    <t>EIX</t>
  </si>
  <si>
    <t>ETR</t>
  </si>
  <si>
    <t>EXC</t>
  </si>
  <si>
    <t>FE</t>
  </si>
  <si>
    <t>GMT</t>
  </si>
  <si>
    <t>GXP</t>
  </si>
  <si>
    <t>HE</t>
  </si>
  <si>
    <t>IDA</t>
  </si>
  <si>
    <t>KEY</t>
  </si>
  <si>
    <t>KU</t>
  </si>
  <si>
    <t>LGE</t>
  </si>
  <si>
    <t>LNT</t>
  </si>
  <si>
    <t>MAM</t>
  </si>
  <si>
    <t>MDU</t>
  </si>
  <si>
    <t>MGEE</t>
  </si>
  <si>
    <t>NI</t>
  </si>
  <si>
    <t>NIMO</t>
  </si>
  <si>
    <t>NST</t>
  </si>
  <si>
    <t>NVE</t>
  </si>
  <si>
    <t>NWE</t>
  </si>
  <si>
    <t>OGE</t>
  </si>
  <si>
    <t>OTTR</t>
  </si>
  <si>
    <t>PCG</t>
  </si>
  <si>
    <t>PEG</t>
  </si>
  <si>
    <t>PGN</t>
  </si>
  <si>
    <t>PNM</t>
  </si>
  <si>
    <t>PNW</t>
  </si>
  <si>
    <t>POM</t>
  </si>
  <si>
    <t>POR</t>
  </si>
  <si>
    <t>PPL</t>
  </si>
  <si>
    <t>PSD</t>
  </si>
  <si>
    <t>SCG</t>
  </si>
  <si>
    <t>SO</t>
  </si>
  <si>
    <t>SRE</t>
  </si>
  <si>
    <t>TE</t>
  </si>
  <si>
    <t>TEG</t>
  </si>
  <si>
    <t>UIL</t>
  </si>
  <si>
    <t>UNS</t>
  </si>
  <si>
    <t>UTL</t>
  </si>
  <si>
    <t>VVC</t>
  </si>
  <si>
    <t>WEC</t>
  </si>
  <si>
    <t>WR</t>
  </si>
  <si>
    <t>XEL</t>
  </si>
  <si>
    <t>% regulated at</t>
  </si>
  <si>
    <t>V.  S&amp;P Ratings by Category</t>
  </si>
  <si>
    <t>PG&amp;E Corporation*</t>
  </si>
  <si>
    <t>PG&amp;E:  Using Pacific Gas and Electric Co.; PG&amp;E long-term issuer credit rating not available as of 12/31/08.</t>
  </si>
  <si>
    <t>CH Energy Group:  Using Central Hudson Gas &amp; Electric Corp.; CH Energy Group long-term issuer credit rating not available as of 12/31/08.</t>
  </si>
  <si>
    <t>UniSource Energy:  Using Tucson Electric Power Co.; UniSource Energy long-term issuer credit rating not available as of 12/31/08.</t>
  </si>
  <si>
    <t>12/31/2008r</t>
  </si>
  <si>
    <t>I.  S&amp;P Utility Credit Ratings Distribution -- 2008r</t>
  </si>
  <si>
    <t>I.  S&amp;P Utility Credit Ratings Distribution -- 2007r</t>
  </si>
  <si>
    <t>2008r</t>
  </si>
  <si>
    <t>2007r</t>
  </si>
  <si>
    <t>12/31/2007r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</si>
  <si>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</si>
  <si>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</si>
  <si>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</si>
  <si>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Cat. Avg.</t>
  </si>
  <si>
    <t>2009 Q2</t>
  </si>
  <si>
    <t>CH Energy Group:  Using Central Hudson Gas &amp; Electric Corp.; CH Energy Group long-term issuer credit rating not available.</t>
  </si>
  <si>
    <t>MGE Energy:  Using Madison Gas and Electric Co.; MGE Energy long-term issuer credit rating not available.</t>
  </si>
  <si>
    <t>UniSource Energy:  Using Tucson Electric Power Co.; UniSource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</si>
  <si>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</si>
  <si>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Chg.</t>
  </si>
  <si>
    <t>2009 Q3</t>
  </si>
  <si>
    <t>I.  S&amp;P Utility Credit Ratings Distribution -- Q4 2009</t>
  </si>
  <si>
    <t>Q4 2009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</si>
  <si>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</si>
  <si>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</si>
  <si>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* For the following companies, EEI includes the subsidiary rating because parent/holding company ratings are not available:</t>
  </si>
  <si>
    <t>2009 Q4</t>
  </si>
  <si>
    <t>2010 Q1</t>
  </si>
  <si>
    <t>NEE</t>
  </si>
  <si>
    <t>NextEra Energy, Inc.</t>
  </si>
  <si>
    <t>R</t>
  </si>
  <si>
    <t>MR</t>
  </si>
  <si>
    <t>N.A.</t>
  </si>
  <si>
    <t>2010 Q2</t>
  </si>
  <si>
    <t>2010 Q3</t>
  </si>
  <si>
    <t>I.  S&amp;P Utility Credit Ratings Distribution -- Q4 2010</t>
  </si>
  <si>
    <t>Q4 2010</t>
  </si>
  <si>
    <t>2010 Q4</t>
  </si>
  <si>
    <t>I.  S&amp;P Utility Credit Ratings Distribution -- Q1 2011</t>
  </si>
  <si>
    <t>Q1 2011</t>
  </si>
  <si>
    <t>2011 Q1</t>
  </si>
  <si>
    <t>I.  S&amp;P Utility Credit Ratings Distribution -- Q2 2011</t>
  </si>
  <si>
    <t>Q2 2011</t>
  </si>
  <si>
    <t>2011 Q2</t>
  </si>
  <si>
    <t>I.  S&amp;P Utility Credit Ratings Distribution -- Q3 2011</t>
  </si>
  <si>
    <t>Q3 2011</t>
  </si>
  <si>
    <t>2011 Q3</t>
  </si>
  <si>
    <t>I.  S&amp;P Utility Credit Ratings Distribution -- Q4 2011</t>
  </si>
  <si>
    <t>Q4 2011</t>
  </si>
  <si>
    <t>2011 Q4</t>
  </si>
  <si>
    <t>2012 Q1</t>
  </si>
  <si>
    <t>Quarterly Upgrade</t>
  </si>
  <si>
    <t>Quarterly Downgrade</t>
  </si>
  <si>
    <t>Annual Upgrade</t>
  </si>
  <si>
    <t>Annual Downgrade</t>
  </si>
  <si>
    <t>Quarterly Activity</t>
  </si>
  <si>
    <t>Fitch (upgrade)</t>
  </si>
  <si>
    <t>Fitch (downgrade)</t>
  </si>
  <si>
    <t>Moody's (upgrade)</t>
  </si>
  <si>
    <t>Standard &amp; Poor's (upgrade)</t>
  </si>
  <si>
    <t>Moody's (downgrade)</t>
  </si>
  <si>
    <t>Standard &amp; Poor's (downgrade)</t>
  </si>
  <si>
    <t>Fitch (activity)</t>
  </si>
  <si>
    <t>Moody's (activity)</t>
  </si>
  <si>
    <t>Standard &amp; Poor's (activity)</t>
  </si>
  <si>
    <t>2012 Q2</t>
  </si>
  <si>
    <t>2012 Q3</t>
  </si>
  <si>
    <t>2012 Q4</t>
  </si>
  <si>
    <t>2001 Q3</t>
  </si>
  <si>
    <t>2001 Q4</t>
  </si>
  <si>
    <t>2002 Q1</t>
  </si>
  <si>
    <t>2002 Q2</t>
  </si>
  <si>
    <t>2003 Q3</t>
  </si>
  <si>
    <t>2003 Q4</t>
  </si>
  <si>
    <t>2004 Q2</t>
  </si>
  <si>
    <t>2004 Q4</t>
  </si>
  <si>
    <t>Annual Activity</t>
  </si>
  <si>
    <t>Note:  Chart depicts the number of upgrades / downgrades for all rated companies, including subisidiaries, during the quarter.</t>
  </si>
  <si>
    <t>Upgrades = Downgrades</t>
  </si>
  <si>
    <t>Group</t>
  </si>
  <si>
    <t>Up</t>
  </si>
  <si>
    <t>Down</t>
  </si>
  <si>
    <t>SD</t>
  </si>
  <si>
    <t>Match</t>
  </si>
  <si>
    <t>a:a</t>
  </si>
  <si>
    <t>Previous</t>
  </si>
  <si>
    <t>b1</t>
  </si>
  <si>
    <t>UNS Energy Corporation</t>
  </si>
  <si>
    <t>2013 Q1</t>
  </si>
  <si>
    <t>2013 Q2</t>
  </si>
  <si>
    <t>2013 Q3</t>
  </si>
  <si>
    <t>2013 Q4</t>
  </si>
  <si>
    <t xml:space="preserve"> </t>
  </si>
  <si>
    <t>Ticker</t>
  </si>
  <si>
    <t>Regulated Percentage</t>
  </si>
  <si>
    <t>Category</t>
  </si>
  <si>
    <t>Reg_Percent_2011</t>
  </si>
  <si>
    <t>d:d</t>
  </si>
  <si>
    <t>e1</t>
  </si>
  <si>
    <t>*MGEE</t>
  </si>
  <si>
    <t>*CHG</t>
  </si>
  <si>
    <t>*UNS</t>
  </si>
  <si>
    <t>**DPL</t>
  </si>
  <si>
    <t>**EAST</t>
  </si>
  <si>
    <t>**EFH</t>
  </si>
  <si>
    <t>**IPALCO</t>
  </si>
  <si>
    <t>**BRK</t>
  </si>
  <si>
    <t>*UTL</t>
  </si>
  <si>
    <t>**PSD</t>
  </si>
  <si>
    <t>Average Rating</t>
  </si>
  <si>
    <t>'Credit_2012Q4'!</t>
  </si>
  <si>
    <t>Iberdrola USA</t>
  </si>
  <si>
    <t>c1</t>
  </si>
  <si>
    <t>Moody's</t>
  </si>
  <si>
    <t>rating_scale_Moody</t>
  </si>
  <si>
    <t>rating_scale_SP</t>
  </si>
  <si>
    <t>rating_scale_Fitch</t>
  </si>
  <si>
    <t>RD</t>
  </si>
  <si>
    <t>D+</t>
  </si>
  <si>
    <t>rating_scale_SP_invest</t>
  </si>
  <si>
    <t>DD</t>
  </si>
  <si>
    <t>C+</t>
  </si>
  <si>
    <t>DDD</t>
  </si>
  <si>
    <t>&gt;20</t>
  </si>
  <si>
    <t>=20</t>
  </si>
  <si>
    <t>=19</t>
  </si>
  <si>
    <t>=18</t>
  </si>
  <si>
    <t>=17</t>
  </si>
  <si>
    <t>&lt;17</t>
  </si>
  <si>
    <t>UNS Energy:  Using Tucson Electric Power Co.; UniSource Energy long-term issuer credit rating not available.</t>
  </si>
  <si>
    <t>Score</t>
  </si>
  <si>
    <t>'Credit_2012Q3'!</t>
  </si>
  <si>
    <t>'Credit_2013Q1'!</t>
  </si>
  <si>
    <t>*MGE Energy, Inc.</t>
  </si>
  <si>
    <t>*CH Energy Group, Inc.</t>
  </si>
  <si>
    <t>*UNS Energy Corporation</t>
  </si>
  <si>
    <t>*Unitil Corporation</t>
  </si>
  <si>
    <t>Reg_Percent_2012</t>
  </si>
  <si>
    <t>'Credit_2012Q2'!</t>
  </si>
  <si>
    <t>'Credit_2012Q1'!</t>
  </si>
  <si>
    <t>*MidAmerican Energy Holdings Company</t>
  </si>
  <si>
    <t>*IPALCO Enterprises, Inc.</t>
  </si>
  <si>
    <t>*Energy Future Holdings Corp.</t>
  </si>
  <si>
    <t>*DPL Inc.</t>
  </si>
  <si>
    <t>*Puget Energy, Inc.</t>
  </si>
  <si>
    <t>*Iberdrola USA</t>
  </si>
  <si>
    <t>Reg_Percent_2010</t>
  </si>
  <si>
    <t>'Credit_2012Q4'</t>
  </si>
  <si>
    <t>o</t>
  </si>
  <si>
    <t>r</t>
  </si>
  <si>
    <t>u</t>
  </si>
  <si>
    <t>b6</t>
  </si>
  <si>
    <t>'Credit_2011Q4'!</t>
  </si>
  <si>
    <t>'Credit_2013Q2'!</t>
  </si>
  <si>
    <t>'Credit_2013Q4'</t>
  </si>
  <si>
    <t>'Credit_2013Q3'!</t>
  </si>
  <si>
    <t>Comparison Period</t>
  </si>
  <si>
    <t>'Credit_2013Q4'!</t>
  </si>
  <si>
    <t>2014 Q1</t>
  </si>
  <si>
    <t>'Credit_2014Q1'!</t>
  </si>
  <si>
    <t>Berkshire Energy Holdings Company</t>
  </si>
  <si>
    <t>2014 Q2</t>
  </si>
  <si>
    <t>2014 Q3</t>
  </si>
  <si>
    <t>2014 Q4</t>
  </si>
  <si>
    <t>Reg_Percent_2013</t>
  </si>
  <si>
    <t>e3</t>
  </si>
  <si>
    <t>**Companies that are not publicly traded</t>
  </si>
  <si>
    <t>'Credit_2014Q2'!</t>
  </si>
  <si>
    <t>'Credit_2014Q3'!</t>
  </si>
  <si>
    <t>'Credit_2014Q4'</t>
  </si>
  <si>
    <t>'Credit_2014Q4'!</t>
  </si>
  <si>
    <t>ES</t>
  </si>
  <si>
    <t>Eversource</t>
  </si>
  <si>
    <t>2015 Q1</t>
  </si>
  <si>
    <t>2015 Q2</t>
  </si>
  <si>
    <t>Eversource Energy</t>
  </si>
  <si>
    <t>'Credit_2015Q1'!</t>
  </si>
  <si>
    <t>2015 Q3</t>
  </si>
  <si>
    <t>2015 Q4</t>
  </si>
  <si>
    <t>'Credit_2015Q2'!</t>
  </si>
  <si>
    <t>DPL Inc. *</t>
  </si>
  <si>
    <t>Energy Future Holdings Corp. *</t>
  </si>
  <si>
    <t>IPALCO Enterprises, Inc. *</t>
  </si>
  <si>
    <t>Berkshire Hathaway Energy *</t>
  </si>
  <si>
    <t>Puget Energy, Inc. *</t>
  </si>
  <si>
    <t>Reg_Percent_2014</t>
  </si>
  <si>
    <t>WEC Energy Group, Inc.</t>
  </si>
  <si>
    <t>'Credit_2015Q3'!</t>
  </si>
  <si>
    <t>'Credit_2015Q4'</t>
  </si>
  <si>
    <t>AGR</t>
  </si>
  <si>
    <t xml:space="preserve">AVANGRID, Inc. </t>
  </si>
  <si>
    <t>AVANGRID, Inc.</t>
  </si>
  <si>
    <t>'Credit_2015Q4'!</t>
  </si>
  <si>
    <t>2016 Q1</t>
  </si>
  <si>
    <t>2016 Q2</t>
  </si>
  <si>
    <t>2016 Q3</t>
  </si>
  <si>
    <t>2016 Q4</t>
  </si>
  <si>
    <t xml:space="preserve">WEC Energy Group, Inc. </t>
  </si>
  <si>
    <t>Reg_Percent_2015</t>
  </si>
  <si>
    <t>'Credit_2016Q1'!</t>
  </si>
  <si>
    <t>**CNL</t>
  </si>
  <si>
    <t>.</t>
  </si>
  <si>
    <t>'Credit_2016Q2'!</t>
  </si>
  <si>
    <t>**TE</t>
  </si>
  <si>
    <t>'Credit_2016Q3'!</t>
  </si>
  <si>
    <t>'Credit_2016Q4'</t>
  </si>
  <si>
    <t>Source:  Standard &amp; Poor's, S&amp;P Global Market Intelligence, and EEI Finance Dept.</t>
  </si>
  <si>
    <t>Sources:  Standard &amp; Poor's, S&amp;P Global Market Intelligence, and EEI Finance Dept.</t>
  </si>
  <si>
    <t>Source:  S&amp;P Global Market Intelligence and EEI Finance Dept.</t>
  </si>
  <si>
    <t>'Credit_2016Q4'!</t>
  </si>
  <si>
    <t>2017 Q1</t>
  </si>
  <si>
    <t>Cleco Corporation *</t>
  </si>
  <si>
    <t>Reg_Percent_2016</t>
  </si>
  <si>
    <t>2017 Q2</t>
  </si>
  <si>
    <t>2017 Q3</t>
  </si>
  <si>
    <t>2017 Q4</t>
  </si>
  <si>
    <t>Oncor Electric Delivery Company LLC</t>
  </si>
  <si>
    <t>U.S. Investor-Owned Electric Utility Industry</t>
  </si>
  <si>
    <t>**ONC</t>
  </si>
  <si>
    <t>'Credit_2017Q1'!</t>
  </si>
  <si>
    <t>'Credit_2017Q2'!</t>
  </si>
  <si>
    <t>Dominion Energy, Inc.</t>
  </si>
  <si>
    <t>'Credit_2017Q3'!</t>
  </si>
  <si>
    <t>'Credit_2017Q4'</t>
  </si>
  <si>
    <t>'Credit_2017Q4'!</t>
  </si>
  <si>
    <t>Evergy, Inc.</t>
  </si>
  <si>
    <t>EVRG</t>
  </si>
  <si>
    <t>Reg_Percent_2017</t>
  </si>
  <si>
    <t>2018 Q1</t>
  </si>
  <si>
    <t>'Credit_2018Q1'!</t>
  </si>
  <si>
    <t>2018 Q2</t>
  </si>
  <si>
    <t>2018 Q3</t>
  </si>
  <si>
    <t>2018 Q4</t>
  </si>
  <si>
    <t>'Credit_2018Q2'!</t>
  </si>
  <si>
    <t>'Credit_2018Q3'!</t>
  </si>
  <si>
    <t>'Credit_2018Q4'</t>
  </si>
  <si>
    <t>'Credit_2018Q4'!</t>
  </si>
  <si>
    <t>Reg_Percent_2018</t>
  </si>
  <si>
    <t>2019 Q1</t>
  </si>
  <si>
    <t>2019Q1</t>
  </si>
  <si>
    <t>2019Q2</t>
  </si>
  <si>
    <t>2019Q3</t>
  </si>
  <si>
    <t>2019Q4</t>
  </si>
  <si>
    <t>'Credit_2019Q1'!</t>
  </si>
  <si>
    <t>2019 Q2</t>
  </si>
  <si>
    <t>'Credit_2019Q2'!</t>
  </si>
  <si>
    <t>2019 Q3</t>
  </si>
  <si>
    <t>'Credit_2019Q3'!</t>
  </si>
  <si>
    <t>2019 Q4</t>
  </si>
  <si>
    <t>Reg_Percent_2019</t>
  </si>
  <si>
    <t>'Credit_2019Q4'!</t>
  </si>
  <si>
    <t>2020 Q1</t>
  </si>
  <si>
    <t>2020Q1</t>
  </si>
  <si>
    <t>2020Q2</t>
  </si>
  <si>
    <t>2020Q3</t>
  </si>
  <si>
    <t>2020Q4</t>
  </si>
  <si>
    <t>'Credit_2019Q4'</t>
  </si>
  <si>
    <t>'Credit_2020Q1'!</t>
  </si>
  <si>
    <t>2020 Q2</t>
  </si>
  <si>
    <t>'Credit_2020Q2'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</si>
</sst>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5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11">
    <xf numFmtId="0" fontId="0" fillId="0" borderId="0" xfId="0"/>
    <xf numFmtId="0" fontId="0" fillId="0" borderId="0" xfId="0" applyBorder="1"/>
    <xf numFmtId="0" fontId="3" fillId="0" borderId="0" xfId="0" applyNumberFormat="1" applyFont="1" applyFill="1" applyBorder="1" applyAlignment="1">
      <alignment horizontal="left"/>
    </xf>
    <xf numFmtId="0" fontId="3" fillId="0" borderId="0" xfId="0" applyFont="1"/>
    <xf numFmtId="0" fontId="0" fillId="0" borderId="0" xfId="0" applyFill="1" applyBorder="1"/>
    <xf numFmtId="0" fontId="3" fillId="0" borderId="0" xfId="0" quotePrefix="1" applyNumberFormat="1" applyFont="1" applyBorder="1" applyAlignment="1">
      <alignment horizontal="left"/>
    </xf>
    <xf numFmtId="0" fontId="0" fillId="0" borderId="0" xfId="0" applyFill="1"/>
    <xf numFmtId="0" fontId="5" fillId="0" borderId="0" xfId="0" quotePrefix="1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9" fontId="0" fillId="0" borderId="0" xfId="4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9" fontId="0" fillId="0" borderId="0" xfId="4" applyFont="1" applyFill="1" applyBorder="1"/>
    <xf numFmtId="0" fontId="9" fillId="0" borderId="0" xfId="0" applyFont="1" applyFill="1" applyBorder="1"/>
    <xf numFmtId="0" fontId="0" fillId="0" borderId="0" xfId="0" applyBorder="1" applyAlignment="1"/>
    <xf numFmtId="0" fontId="3" fillId="0" borderId="0" xfId="0" applyFont="1" applyAlignment="1">
      <alignment horizontal="right"/>
    </xf>
    <xf numFmtId="0" fontId="6" fillId="0" borderId="0" xfId="0" applyFont="1" applyFill="1" applyBorder="1"/>
    <xf numFmtId="0" fontId="12" fillId="0" borderId="0" xfId="0" applyFont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Border="1"/>
    <xf numFmtId="0" fontId="5" fillId="0" borderId="0" xfId="0" quotePrefix="1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9" fontId="0" fillId="0" borderId="0" xfId="4" applyNumberFormat="1" applyFont="1" applyFill="1" applyBorder="1"/>
    <xf numFmtId="0" fontId="5" fillId="2" borderId="0" xfId="0" quotePrefix="1" applyNumberFormat="1" applyFont="1" applyFill="1" applyBorder="1" applyAlignment="1">
      <alignment horizontal="left"/>
    </xf>
    <xf numFmtId="0" fontId="3" fillId="2" borderId="0" xfId="0" quotePrefix="1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" fillId="2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center"/>
    </xf>
    <xf numFmtId="0" fontId="2" fillId="2" borderId="0" xfId="0" quotePrefix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3" fillId="0" borderId="0" xfId="0" applyFont="1" applyFill="1" applyBorder="1"/>
    <xf numFmtId="0" fontId="9" fillId="2" borderId="0" xfId="0" applyFont="1" applyFill="1" applyBorder="1"/>
    <xf numFmtId="0" fontId="3" fillId="2" borderId="0" xfId="0" applyFont="1" applyFill="1" applyBorder="1"/>
    <xf numFmtId="0" fontId="9" fillId="0" borderId="0" xfId="0" quotePrefix="1" applyNumberFormat="1" applyFont="1" applyFill="1" applyBorder="1" applyAlignment="1">
      <alignment horizontal="left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10" fillId="0" borderId="0" xfId="0" applyFont="1" applyBorder="1"/>
    <xf numFmtId="0" fontId="13" fillId="0" borderId="0" xfId="0" applyFont="1" applyBorder="1"/>
    <xf numFmtId="0" fontId="14" fillId="0" borderId="0" xfId="0" applyFont="1" applyBorder="1" applyAlignment="1">
      <alignment horizontal="center"/>
    </xf>
    <xf numFmtId="0" fontId="13" fillId="0" borderId="0" xfId="0" applyFont="1" applyFill="1" applyBorder="1"/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15" fillId="0" borderId="0" xfId="0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Fill="1" applyBorder="1"/>
    <xf numFmtId="164" fontId="13" fillId="0" borderId="0" xfId="4" applyNumberFormat="1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Border="1"/>
    <xf numFmtId="0" fontId="16" fillId="0" borderId="0" xfId="0" applyFont="1"/>
    <xf numFmtId="0" fontId="25" fillId="0" borderId="0" xfId="0" applyFont="1" applyBorder="1" applyAlignment="1">
      <alignment horizontal="left"/>
    </xf>
    <xf numFmtId="0" fontId="26" fillId="2" borderId="0" xfId="0" quotePrefix="1" applyFont="1" applyFill="1" applyBorder="1" applyAlignment="1">
      <alignment horizontal="left"/>
    </xf>
    <xf numFmtId="0" fontId="27" fillId="2" borderId="0" xfId="0" applyFont="1" applyFill="1" applyBorder="1" applyAlignment="1">
      <alignment horizontal="center"/>
    </xf>
    <xf numFmtId="0" fontId="28" fillId="0" borderId="0" xfId="0" applyFont="1" applyBorder="1"/>
    <xf numFmtId="0" fontId="26" fillId="0" borderId="0" xfId="0" applyNumberFormat="1" applyFont="1" applyBorder="1" applyAlignment="1">
      <alignment horizontal="left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left"/>
    </xf>
    <xf numFmtId="0" fontId="25" fillId="0" borderId="0" xfId="0" applyNumberFormat="1" applyFont="1" applyBorder="1" applyAlignment="1">
      <alignment horizontal="center"/>
    </xf>
    <xf numFmtId="0" fontId="25" fillId="5" borderId="0" xfId="0" applyNumberFormat="1" applyFont="1" applyFill="1" applyBorder="1" applyAlignment="1">
      <alignment horizontal="left"/>
    </xf>
    <xf numFmtId="0" fontId="25" fillId="5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centerContinuous"/>
    </xf>
    <xf numFmtId="0" fontId="29" fillId="0" borderId="0" xfId="0" applyFont="1" applyBorder="1"/>
    <xf numFmtId="0" fontId="25" fillId="0" borderId="0" xfId="0" applyFont="1" applyBorder="1"/>
    <xf numFmtId="9" fontId="25" fillId="0" borderId="0" xfId="4" applyNumberFormat="1" applyFont="1" applyBorder="1"/>
    <xf numFmtId="0" fontId="26" fillId="0" borderId="0" xfId="0" applyFont="1" applyBorder="1" applyAlignment="1">
      <alignment horizontal="left"/>
    </xf>
    <xf numFmtId="0" fontId="26" fillId="0" borderId="0" xfId="0" applyFont="1" applyBorder="1"/>
    <xf numFmtId="9" fontId="26" fillId="0" borderId="0" xfId="4" applyFont="1" applyBorder="1"/>
    <xf numFmtId="0" fontId="25" fillId="0" borderId="1" xfId="0" applyNumberFormat="1" applyFont="1" applyBorder="1" applyAlignment="1">
      <alignment horizontal="left"/>
    </xf>
    <xf numFmtId="0" fontId="25" fillId="0" borderId="1" xfId="0" applyNumberFormat="1" applyFont="1" applyFill="1" applyBorder="1" applyAlignment="1">
      <alignment horizontal="centerContinuous"/>
    </xf>
    <xf numFmtId="0" fontId="25" fillId="0" borderId="1" xfId="0" applyFont="1" applyBorder="1" applyAlignment="1">
      <alignment horizontal="left"/>
    </xf>
    <xf numFmtId="0" fontId="25" fillId="0" borderId="1" xfId="0" applyFont="1" applyBorder="1"/>
    <xf numFmtId="9" fontId="25" fillId="0" borderId="1" xfId="4" applyNumberFormat="1" applyFont="1" applyBorder="1"/>
    <xf numFmtId="0" fontId="25" fillId="0" borderId="1" xfId="0" applyFont="1" applyBorder="1" applyAlignment="1">
      <alignment horizontal="center"/>
    </xf>
    <xf numFmtId="0" fontId="25" fillId="0" borderId="0" xfId="0" applyFont="1"/>
    <xf numFmtId="9" fontId="25" fillId="0" borderId="0" xfId="4" applyFont="1"/>
    <xf numFmtId="0" fontId="25" fillId="0" borderId="0" xfId="0" applyFont="1" applyFill="1"/>
    <xf numFmtId="9" fontId="25" fillId="0" borderId="0" xfId="4" applyFont="1" applyFill="1"/>
    <xf numFmtId="9" fontId="25" fillId="0" borderId="0" xfId="4" applyFont="1" applyBorder="1" applyAlignment="1">
      <alignment horizontal="center"/>
    </xf>
    <xf numFmtId="9" fontId="25" fillId="5" borderId="0" xfId="4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Continuous"/>
    </xf>
    <xf numFmtId="9" fontId="25" fillId="0" borderId="1" xfId="4" applyFont="1" applyFill="1" applyBorder="1" applyAlignment="1">
      <alignment horizontal="centerContinuous"/>
    </xf>
    <xf numFmtId="14" fontId="27" fillId="2" borderId="0" xfId="0" applyNumberFormat="1" applyFon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64" fontId="0" fillId="0" borderId="0" xfId="0" applyNumberFormat="1" applyBorder="1"/>
    <xf numFmtId="0" fontId="26" fillId="6" borderId="0" xfId="0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10" fontId="25" fillId="0" borderId="0" xfId="4" applyNumberFormat="1" applyFont="1" applyFill="1" applyBorder="1" applyAlignment="1">
      <alignment horizontal="center"/>
    </xf>
    <xf numFmtId="10" fontId="25" fillId="0" borderId="0" xfId="4" applyNumberFormat="1" applyFont="1" applyFill="1" applyBorder="1" applyAlignment="1">
      <alignment horizontal="centerContinuous"/>
    </xf>
    <xf numFmtId="10" fontId="25" fillId="0" borderId="1" xfId="4" applyNumberFormat="1" applyFont="1" applyFill="1" applyBorder="1" applyAlignment="1">
      <alignment horizontal="centerContinuous"/>
    </xf>
    <xf numFmtId="0" fontId="25" fillId="0" borderId="0" xfId="0" applyFont="1" applyFill="1" applyBorder="1"/>
    <xf numFmtId="0" fontId="25" fillId="0" borderId="0" xfId="0" applyFont="1" applyBorder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165" fontId="0" fillId="0" borderId="0" xfId="0" applyNumberFormat="1" applyFill="1" applyBorder="1"/>
    <xf numFmtId="0" fontId="31" fillId="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3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20" fillId="0" borderId="0" xfId="0" applyFont="1" applyBorder="1"/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6" fillId="0" borderId="0" xfId="0" applyNumberFormat="1" applyFont="1" applyFill="1" applyBorder="1" applyAlignment="1">
      <alignment horizontal="left"/>
    </xf>
    <xf numFmtId="0" fontId="36" fillId="5" borderId="0" xfId="0" applyNumberFormat="1" applyFont="1" applyFill="1" applyBorder="1" applyAlignment="1">
      <alignment horizontal="left"/>
    </xf>
    <xf numFmtId="0" fontId="29" fillId="0" borderId="0" xfId="0" applyFont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0" fontId="25" fillId="0" borderId="2" xfId="0" applyNumberFormat="1" applyFont="1" applyBorder="1" applyAlignment="1">
      <alignment horizontal="left"/>
    </xf>
    <xf numFmtId="0" fontId="25" fillId="0" borderId="2" xfId="0" applyNumberFormat="1" applyFont="1" applyBorder="1" applyAlignment="1">
      <alignment horizontal="center"/>
    </xf>
    <xf numFmtId="9" fontId="25" fillId="0" borderId="2" xfId="4" applyFont="1" applyBorder="1" applyAlignment="1">
      <alignment horizontal="center"/>
    </xf>
    <xf numFmtId="0" fontId="37" fillId="0" borderId="0" xfId="1" applyFont="1" applyBorder="1" applyAlignment="1" applyProtection="1"/>
    <xf numFmtId="166" fontId="25" fillId="0" borderId="0" xfId="0" applyNumberFormat="1" applyFont="1" applyFill="1"/>
    <xf numFmtId="10" fontId="25" fillId="0" borderId="0" xfId="4" applyNumberFormat="1" applyFont="1"/>
    <xf numFmtId="166" fontId="25" fillId="0" borderId="0" xfId="0" applyNumberFormat="1" applyFont="1" applyFill="1" applyBorder="1"/>
    <xf numFmtId="0" fontId="25" fillId="8" borderId="0" xfId="0" applyNumberFormat="1" applyFont="1" applyFill="1" applyBorder="1" applyAlignment="1">
      <alignment horizontal="left"/>
    </xf>
    <xf numFmtId="0" fontId="25" fillId="8" borderId="0" xfId="0" applyNumberFormat="1" applyFont="1" applyFill="1" applyBorder="1" applyAlignment="1">
      <alignment horizontal="center"/>
    </xf>
    <xf numFmtId="9" fontId="25" fillId="8" borderId="0" xfId="4" applyFont="1" applyFill="1" applyBorder="1" applyAlignment="1">
      <alignment horizontal="center"/>
    </xf>
    <xf numFmtId="0" fontId="25" fillId="9" borderId="2" xfId="0" applyNumberFormat="1" applyFont="1" applyFill="1" applyBorder="1" applyAlignment="1">
      <alignment horizontal="left"/>
    </xf>
    <xf numFmtId="0" fontId="25" fillId="9" borderId="2" xfId="0" applyNumberFormat="1" applyFont="1" applyFill="1" applyBorder="1" applyAlignment="1">
      <alignment horizontal="center"/>
    </xf>
    <xf numFmtId="9" fontId="25" fillId="9" borderId="2" xfId="4" applyFont="1" applyFill="1" applyBorder="1" applyAlignment="1">
      <alignment horizontal="center"/>
    </xf>
    <xf numFmtId="0" fontId="26" fillId="0" borderId="9" xfId="0" quotePrefix="1" applyFont="1" applyFill="1" applyBorder="1" applyAlignment="1">
      <alignment horizontal="left"/>
    </xf>
    <xf numFmtId="0" fontId="27" fillId="0" borderId="10" xfId="0" applyFont="1" applyFill="1" applyBorder="1" applyAlignment="1">
      <alignment horizontal="center"/>
    </xf>
    <xf numFmtId="0" fontId="0" fillId="0" borderId="10" xfId="0" applyFill="1" applyBorder="1"/>
    <xf numFmtId="14" fontId="27" fillId="0" borderId="11" xfId="0" applyNumberFormat="1" applyFont="1" applyFill="1" applyBorder="1" applyAlignment="1">
      <alignment horizontal="center"/>
    </xf>
    <xf numFmtId="0" fontId="25" fillId="5" borderId="2" xfId="0" applyNumberFormat="1" applyFont="1" applyFill="1" applyBorder="1" applyAlignment="1">
      <alignment horizontal="left"/>
    </xf>
    <xf numFmtId="0" fontId="25" fillId="9" borderId="0" xfId="0" applyNumberFormat="1" applyFont="1" applyFill="1" applyBorder="1" applyAlignment="1">
      <alignment horizontal="left"/>
    </xf>
    <xf numFmtId="0" fontId="25" fillId="5" borderId="2" xfId="0" applyNumberFormat="1" applyFont="1" applyFill="1" applyBorder="1" applyAlignment="1">
      <alignment horizontal="center"/>
    </xf>
    <xf numFmtId="0" fontId="25" fillId="9" borderId="0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/>
    </xf>
    <xf numFmtId="9" fontId="25" fillId="5" borderId="2" xfId="4" applyFont="1" applyFill="1" applyBorder="1" applyAlignment="1">
      <alignment horizontal="center"/>
    </xf>
    <xf numFmtId="9" fontId="25" fillId="9" borderId="0" xfId="4" applyFont="1" applyFill="1" applyBorder="1" applyAlignment="1">
      <alignment horizontal="center"/>
    </xf>
    <xf numFmtId="9" fontId="25" fillId="0" borderId="1" xfId="4" applyFont="1" applyFill="1" applyBorder="1" applyAlignment="1">
      <alignment horizontal="center"/>
    </xf>
    <xf numFmtId="0" fontId="25" fillId="0" borderId="2" xfId="0" applyNumberFormat="1" applyFont="1" applyFill="1" applyBorder="1" applyAlignment="1">
      <alignment horizontal="left"/>
    </xf>
    <xf numFmtId="0" fontId="25" fillId="0" borderId="2" xfId="0" applyNumberFormat="1" applyFont="1" applyFill="1" applyBorder="1" applyAlignment="1">
      <alignment horizontal="center"/>
    </xf>
    <xf numFmtId="9" fontId="25" fillId="0" borderId="2" xfId="4" applyFont="1" applyFill="1" applyBorder="1" applyAlignment="1">
      <alignment horizontal="center"/>
    </xf>
    <xf numFmtId="0" fontId="25" fillId="0" borderId="12" xfId="0" applyNumberFormat="1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center"/>
    </xf>
    <xf numFmtId="9" fontId="25" fillId="0" borderId="12" xfId="4" applyFont="1" applyFill="1" applyBorder="1" applyAlignment="1">
      <alignment horizontal="center"/>
    </xf>
    <xf numFmtId="0" fontId="38" fillId="10" borderId="0" xfId="0" applyNumberFormat="1" applyFont="1" applyFill="1" applyBorder="1" applyAlignment="1">
      <alignment horizontal="left"/>
    </xf>
    <xf numFmtId="0" fontId="38" fillId="10" borderId="0" xfId="0" applyNumberFormat="1" applyFont="1" applyFill="1" applyBorder="1" applyAlignment="1">
      <alignment horizontal="center"/>
    </xf>
    <xf numFmtId="9" fontId="38" fillId="10" borderId="0" xfId="4" applyFont="1" applyFill="1" applyBorder="1" applyAlignment="1">
      <alignment horizontal="center"/>
    </xf>
    <xf numFmtId="0" fontId="38" fillId="11" borderId="0" xfId="0" applyNumberFormat="1" applyFont="1" applyFill="1" applyBorder="1" applyAlignment="1">
      <alignment horizontal="left"/>
    </xf>
    <xf numFmtId="0" fontId="38" fillId="11" borderId="0" xfId="0" applyNumberFormat="1" applyFont="1" applyFill="1" applyBorder="1" applyAlignment="1">
      <alignment horizontal="center"/>
    </xf>
    <xf numFmtId="9" fontId="38" fillId="11" borderId="0" xfId="4" applyFont="1" applyFill="1" applyBorder="1" applyAlignment="1">
      <alignment horizontal="center"/>
    </xf>
    <xf numFmtId="0" fontId="1" fillId="0" borderId="0" xfId="0" applyFont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4" xfId="0" applyFont="1" applyBorder="1"/>
    <xf numFmtId="0" fontId="39" fillId="0" borderId="5" xfId="0" applyFont="1" applyBorder="1" applyAlignment="1">
      <alignment horizontal="right"/>
    </xf>
    <xf numFmtId="0" fontId="39" fillId="0" borderId="5" xfId="0" applyFont="1" applyFill="1" applyBorder="1" applyAlignment="1">
      <alignment horizontal="right"/>
    </xf>
    <xf numFmtId="0" fontId="39" fillId="0" borderId="5" xfId="0" applyFont="1" applyBorder="1"/>
    <xf numFmtId="0" fontId="0" fillId="0" borderId="5" xfId="0" applyBorder="1"/>
    <xf numFmtId="0" fontId="6" fillId="0" borderId="6" xfId="0" applyFont="1" applyBorder="1"/>
    <xf numFmtId="0" fontId="39" fillId="0" borderId="3" xfId="0" applyFont="1" applyBorder="1" applyAlignment="1">
      <alignment horizontal="right"/>
    </xf>
    <xf numFmtId="0" fontId="39" fillId="0" borderId="3" xfId="0" applyFont="1" applyFill="1" applyBorder="1" applyAlignment="1">
      <alignment horizontal="right"/>
    </xf>
    <xf numFmtId="0" fontId="39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5" xfId="0" applyFont="1" applyBorder="1"/>
    <xf numFmtId="0" fontId="6" fillId="0" borderId="7" xfId="0" applyFont="1" applyBorder="1"/>
    <xf numFmtId="0" fontId="6" fillId="0" borderId="8" xfId="0" applyFont="1" applyFill="1" applyBorder="1" applyAlignment="1">
      <alignment horizontal="right"/>
    </xf>
    <xf numFmtId="0" fontId="6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6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32" fillId="4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40" fillId="0" borderId="0" xfId="0" applyFont="1"/>
    <xf numFmtId="9" fontId="13" fillId="0" borderId="0" xfId="0" applyNumberFormat="1" applyFont="1" applyFill="1" applyBorder="1"/>
    <xf numFmtId="9" fontId="41" fillId="0" borderId="0" xfId="0" applyNumberFormat="1" applyFont="1" applyFill="1" applyBorder="1"/>
    <xf numFmtId="0" fontId="44" fillId="0" borderId="0" xfId="0" quotePrefix="1" applyFont="1" applyBorder="1" applyAlignment="1">
      <alignment horizontal="left" vertical="center"/>
    </xf>
    <xf numFmtId="0" fontId="38" fillId="10" borderId="2" xfId="0" applyNumberFormat="1" applyFont="1" applyFill="1" applyBorder="1" applyAlignment="1">
      <alignment horizontal="left"/>
    </xf>
    <xf numFmtId="0" fontId="38" fillId="10" borderId="2" xfId="0" applyNumberFormat="1" applyFont="1" applyFill="1" applyBorder="1" applyAlignment="1">
      <alignment horizontal="center"/>
    </xf>
    <xf numFmtId="9" fontId="38" fillId="10" borderId="2" xfId="4" applyFont="1" applyFill="1" applyBorder="1" applyAlignment="1">
      <alignment horizontal="center"/>
    </xf>
    <xf numFmtId="0" fontId="25" fillId="0" borderId="0" xfId="6" applyFont="1" applyAlignment="1">
      <alignment vertical="center"/>
    </xf>
    <xf numFmtId="0" fontId="28" fillId="0" borderId="0" xfId="6" applyFont="1" applyBorder="1" applyAlignme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 applyBorder="1" applyAlignment="1">
      <alignment horizontal="center" vertical="center"/>
    </xf>
    <xf numFmtId="0" fontId="25" fillId="0" borderId="0" xfId="6" applyFont="1" applyBorder="1" applyAlignment="1">
      <alignment vertical="center"/>
    </xf>
    <xf numFmtId="0" fontId="25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horizontal="center" vertical="center"/>
    </xf>
    <xf numFmtId="0" fontId="26" fillId="14" borderId="14" xfId="6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5" fillId="0" borderId="0" xfId="6" applyFont="1" applyFill="1" applyBorder="1" applyAlignment="1">
      <alignment horizontal="center" vertical="center"/>
    </xf>
    <xf numFmtId="4" fontId="25" fillId="0" borderId="15" xfId="6" applyNumberFormat="1" applyFont="1" applyBorder="1" applyAlignment="1">
      <alignment horizontal="center" vertical="center"/>
    </xf>
    <xf numFmtId="0" fontId="25" fillId="0" borderId="13" xfId="6" applyFont="1" applyBorder="1" applyAlignment="1">
      <alignment vertical="center"/>
    </xf>
    <xf numFmtId="0" fontId="25" fillId="0" borderId="13" xfId="6" applyFont="1" applyBorder="1" applyAlignment="1">
      <alignment horizontal="center" vertical="center"/>
    </xf>
    <xf numFmtId="0" fontId="25" fillId="0" borderId="13" xfId="6" applyFont="1" applyFill="1" applyBorder="1" applyAlignment="1">
      <alignment vertical="center"/>
    </xf>
    <xf numFmtId="0" fontId="46" fillId="0" borderId="13" xfId="6" applyFont="1" applyFill="1" applyBorder="1" applyAlignment="1">
      <alignment horizontal="center" vertical="center"/>
    </xf>
    <xf numFmtId="4" fontId="25" fillId="0" borderId="16" xfId="6" applyNumberFormat="1" applyFont="1" applyBorder="1" applyAlignment="1">
      <alignment horizontal="center" vertical="center"/>
    </xf>
    <xf numFmtId="14" fontId="45" fillId="0" borderId="0" xfId="6" applyNumberFormat="1" applyFont="1" applyBorder="1" applyAlignment="1">
      <alignment horizontal="center" vertical="center"/>
    </xf>
    <xf numFmtId="0" fontId="44" fillId="0" borderId="0" xfId="0" quotePrefix="1" applyFont="1" applyBorder="1" applyAlignment="1">
      <alignment horizontal="right" vertical="center"/>
    </xf>
    <xf numFmtId="0" fontId="2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43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43" fillId="0" borderId="0" xfId="0" applyFont="1" applyBorder="1" applyAlignment="1">
      <alignment horizontal="center" vertical="center"/>
    </xf>
    <xf numFmtId="14" fontId="27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0" fontId="44" fillId="0" borderId="0" xfId="0" quotePrefix="1" applyFont="1" applyBorder="1" applyAlignment="1">
      <alignment horizontal="center" vertical="center"/>
    </xf>
    <xf numFmtId="0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center" vertical="center"/>
    </xf>
    <xf numFmtId="9" fontId="25" fillId="0" borderId="0" xfId="4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48" fillId="0" borderId="0" xfId="0" quotePrefix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center" vertical="center"/>
    </xf>
    <xf numFmtId="9" fontId="25" fillId="0" borderId="2" xfId="4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Continuous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Continuous" vertical="center"/>
    </xf>
    <xf numFmtId="9" fontId="25" fillId="0" borderId="1" xfId="4" applyFont="1" applyFill="1" applyBorder="1" applyAlignment="1">
      <alignment horizontal="centerContinuous" vertical="center"/>
    </xf>
    <xf numFmtId="0" fontId="26" fillId="0" borderId="0" xfId="0" applyNumberFormat="1" applyFont="1" applyBorder="1" applyAlignment="1">
      <alignment horizontal="left" vertical="center"/>
    </xf>
    <xf numFmtId="0" fontId="26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Border="1" applyAlignment="1">
      <alignment horizontal="left" vertical="center"/>
    </xf>
    <xf numFmtId="0" fontId="3" fillId="0" borderId="0" xfId="0" quotePrefix="1" applyNumberFormat="1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9" fontId="0" fillId="0" borderId="0" xfId="0" applyNumberFormat="1" applyFill="1" applyBorder="1" applyAlignment="1">
      <alignment vertical="center"/>
    </xf>
    <xf numFmtId="0" fontId="25" fillId="0" borderId="0" xfId="0" applyNumberFormat="1" applyFont="1" applyBorder="1" applyAlignment="1">
      <alignment horizontal="left" vertical="center"/>
    </xf>
    <xf numFmtId="0" fontId="25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167" fontId="0" fillId="0" borderId="0" xfId="0" applyNumberForma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9" fontId="26" fillId="0" borderId="8" xfId="4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9" fontId="25" fillId="0" borderId="17" xfId="4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9" fontId="25" fillId="0" borderId="13" xfId="4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9" fontId="25" fillId="0" borderId="18" xfId="4" applyFont="1" applyBorder="1" applyAlignment="1">
      <alignment horizontal="center" vertical="center"/>
    </xf>
    <xf numFmtId="0" fontId="26" fillId="0" borderId="19" xfId="0" quotePrefix="1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14" fontId="27" fillId="0" borderId="20" xfId="0" applyNumberFormat="1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left" vertical="center"/>
    </xf>
    <xf numFmtId="0" fontId="51" fillId="0" borderId="13" xfId="0" applyNumberFormat="1" applyFont="1" applyFill="1" applyBorder="1" applyAlignment="1">
      <alignment horizontal="center" vertical="center"/>
    </xf>
    <xf numFmtId="9" fontId="25" fillId="0" borderId="13" xfId="4" applyFont="1" applyFill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/>
    </xf>
    <xf numFmtId="0" fontId="51" fillId="0" borderId="21" xfId="0" applyNumberFormat="1" applyFont="1" applyFill="1" applyBorder="1" applyAlignment="1">
      <alignment horizontal="left" vertical="center"/>
    </xf>
    <xf numFmtId="0" fontId="51" fillId="0" borderId="21" xfId="0" applyNumberFormat="1" applyFont="1" applyFill="1" applyBorder="1" applyAlignment="1">
      <alignment horizontal="center" vertical="center"/>
    </xf>
    <xf numFmtId="9" fontId="25" fillId="0" borderId="21" xfId="4" applyFont="1" applyFill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5" fillId="15" borderId="17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18" xfId="0" applyFont="1" applyFill="1" applyBorder="1" applyAlignment="1">
      <alignment horizontal="center" vertical="center"/>
    </xf>
    <xf numFmtId="0" fontId="26" fillId="15" borderId="8" xfId="0" applyFont="1" applyFill="1" applyBorder="1" applyAlignment="1">
      <alignment horizontal="center" vertical="center"/>
    </xf>
    <xf numFmtId="0" fontId="0" fillId="15" borderId="0" xfId="0" applyFill="1" applyBorder="1" applyAlignment="1">
      <alignment vertical="center"/>
    </xf>
    <xf numFmtId="0" fontId="7" fillId="15" borderId="0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22" xfId="6" applyFont="1" applyBorder="1" applyAlignment="1">
      <alignment horizontal="center"/>
    </xf>
    <xf numFmtId="0" fontId="1" fillId="0" borderId="0" xfId="6" applyFont="1" applyAlignment="1">
      <alignment horizontal="left"/>
    </xf>
    <xf numFmtId="0" fontId="1" fillId="0" borderId="23" xfId="6" applyBorder="1" applyAlignment="1">
      <alignment horizontal="center"/>
    </xf>
    <xf numFmtId="0" fontId="1" fillId="0" borderId="23" xfId="6" applyFont="1" applyBorder="1" applyAlignment="1">
      <alignment horizontal="center"/>
    </xf>
    <xf numFmtId="0" fontId="1" fillId="0" borderId="0" xfId="6" applyFont="1" applyAlignment="1">
      <alignment horizontal="center"/>
    </xf>
    <xf numFmtId="0" fontId="1" fillId="0" borderId="24" xfId="6" applyBorder="1" applyAlignment="1">
      <alignment horizontal="center"/>
    </xf>
    <xf numFmtId="0" fontId="1" fillId="0" borderId="24" xfId="6" applyFont="1" applyBorder="1" applyAlignment="1">
      <alignment horizontal="center"/>
    </xf>
    <xf numFmtId="0" fontId="53" fillId="0" borderId="0" xfId="6" applyFont="1" applyAlignment="1">
      <alignment horizontal="left"/>
    </xf>
    <xf numFmtId="0" fontId="53" fillId="0" borderId="0" xfId="6" applyFont="1" applyAlignment="1">
      <alignment horizontal="center"/>
    </xf>
    <xf numFmtId="0" fontId="43" fillId="0" borderId="0" xfId="6" applyFont="1" applyAlignment="1">
      <alignment horizontal="left"/>
    </xf>
    <xf numFmtId="0" fontId="25" fillId="0" borderId="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42" fillId="0" borderId="0" xfId="0" quotePrefix="1" applyFont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5" fillId="0" borderId="17" xfId="0" applyFont="1" applyBorder="1" applyAlignment="1">
      <alignment horizontal="left" vertical="center"/>
    </xf>
    <xf numFmtId="9" fontId="25" fillId="0" borderId="17" xfId="0" applyNumberFormat="1" applyFont="1" applyFill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25" fillId="0" borderId="13" xfId="0" applyFont="1" applyBorder="1" applyAlignment="1">
      <alignment horizontal="left" vertical="center"/>
    </xf>
    <xf numFmtId="9" fontId="25" fillId="0" borderId="13" xfId="0" applyNumberFormat="1" applyFont="1" applyFill="1" applyBorder="1" applyAlignment="1">
      <alignment vertical="center"/>
    </xf>
    <xf numFmtId="0" fontId="25" fillId="0" borderId="18" xfId="0" applyFont="1" applyBorder="1" applyAlignment="1">
      <alignment horizontal="left" vertical="center"/>
    </xf>
    <xf numFmtId="9" fontId="25" fillId="0" borderId="18" xfId="0" applyNumberFormat="1" applyFont="1" applyBorder="1" applyAlignment="1">
      <alignment vertical="center"/>
    </xf>
    <xf numFmtId="9" fontId="25" fillId="0" borderId="18" xfId="4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9" fontId="26" fillId="0" borderId="8" xfId="0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9" fontId="25" fillId="0" borderId="0" xfId="0" applyNumberFormat="1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9" fontId="25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9" fontId="26" fillId="0" borderId="8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9" fontId="54" fillId="0" borderId="17" xfId="0" applyNumberFormat="1" applyFont="1" applyFill="1" applyBorder="1" applyAlignment="1">
      <alignment horizontal="center" vertical="center"/>
    </xf>
    <xf numFmtId="9" fontId="54" fillId="0" borderId="13" xfId="0" applyNumberFormat="1" applyFont="1" applyFill="1" applyBorder="1" applyAlignment="1">
      <alignment horizontal="center" vertical="center"/>
    </xf>
    <xf numFmtId="9" fontId="54" fillId="0" borderId="18" xfId="0" applyNumberFormat="1" applyFont="1" applyBorder="1" applyAlignment="1">
      <alignment horizontal="center" vertical="center"/>
    </xf>
    <xf numFmtId="9" fontId="56" fillId="0" borderId="8" xfId="0" applyNumberFormat="1" applyFont="1" applyFill="1" applyBorder="1" applyAlignment="1">
      <alignment horizontal="center" vertical="center"/>
    </xf>
    <xf numFmtId="9" fontId="54" fillId="0" borderId="0" xfId="0" applyNumberFormat="1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/>
    </xf>
    <xf numFmtId="9" fontId="54" fillId="0" borderId="0" xfId="0" applyNumberFormat="1" applyFont="1" applyBorder="1" applyAlignment="1">
      <alignment horizontal="center" vertical="center"/>
    </xf>
    <xf numFmtId="9" fontId="56" fillId="0" borderId="8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7" borderId="13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9" fontId="54" fillId="0" borderId="18" xfId="0" applyNumberFormat="1" applyFont="1" applyFill="1" applyBorder="1" applyAlignment="1">
      <alignment horizontal="center" vertical="center"/>
    </xf>
    <xf numFmtId="9" fontId="54" fillId="0" borderId="17" xfId="0" applyNumberFormat="1" applyFont="1" applyBorder="1" applyAlignment="1">
      <alignment horizontal="center" vertical="center"/>
    </xf>
    <xf numFmtId="9" fontId="54" fillId="0" borderId="13" xfId="0" applyNumberFormat="1" applyFont="1" applyBorder="1" applyAlignment="1">
      <alignment horizontal="center" vertical="center"/>
    </xf>
    <xf numFmtId="9" fontId="54" fillId="5" borderId="8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9" fontId="54" fillId="7" borderId="17" xfId="0" applyNumberFormat="1" applyFont="1" applyFill="1" applyBorder="1" applyAlignment="1">
      <alignment horizontal="center" vertical="center"/>
    </xf>
    <xf numFmtId="9" fontId="54" fillId="7" borderId="13" xfId="0" applyNumberFormat="1" applyFont="1" applyFill="1" applyBorder="1" applyAlignment="1">
      <alignment horizontal="center" vertical="center"/>
    </xf>
    <xf numFmtId="9" fontId="54" fillId="7" borderId="18" xfId="0" applyNumberFormat="1" applyFont="1" applyFill="1" applyBorder="1" applyAlignment="1">
      <alignment horizontal="center" vertical="center"/>
    </xf>
    <xf numFmtId="9" fontId="56" fillId="7" borderId="8" xfId="0" applyNumberFormat="1" applyFont="1" applyFill="1" applyBorder="1" applyAlignment="1">
      <alignment horizontal="center" vertical="center"/>
    </xf>
    <xf numFmtId="9" fontId="54" fillId="7" borderId="0" xfId="0" applyNumberFormat="1" applyFont="1" applyFill="1" applyBorder="1" applyAlignment="1">
      <alignment horizontal="center" vertical="center"/>
    </xf>
    <xf numFmtId="9" fontId="54" fillId="3" borderId="8" xfId="0" applyNumberFormat="1" applyFont="1" applyFill="1" applyBorder="1" applyAlignment="1">
      <alignment horizontal="center" vertical="center"/>
    </xf>
    <xf numFmtId="14" fontId="26" fillId="0" borderId="0" xfId="0" applyNumberFormat="1" applyFont="1" applyBorder="1" applyAlignment="1">
      <alignment horizontal="center" vertical="center"/>
    </xf>
    <xf numFmtId="0" fontId="13" fillId="0" borderId="13" xfId="0" applyFont="1" applyBorder="1"/>
    <xf numFmtId="0" fontId="13" fillId="0" borderId="13" xfId="0" applyFont="1" applyFill="1" applyBorder="1"/>
    <xf numFmtId="0" fontId="10" fillId="0" borderId="8" xfId="0" applyFont="1" applyBorder="1"/>
    <xf numFmtId="0" fontId="10" fillId="0" borderId="8" xfId="0" applyFont="1" applyFill="1" applyBorder="1"/>
    <xf numFmtId="0" fontId="15" fillId="0" borderId="17" xfId="0" applyFont="1" applyBorder="1"/>
    <xf numFmtId="0" fontId="13" fillId="0" borderId="17" xfId="0" applyFont="1" applyFill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3" fillId="0" borderId="17" xfId="0" applyFont="1" applyBorder="1"/>
    <xf numFmtId="0" fontId="13" fillId="0" borderId="17" xfId="0" applyFont="1" applyFill="1" applyBorder="1"/>
    <xf numFmtId="0" fontId="15" fillId="0" borderId="18" xfId="0" applyFont="1" applyBorder="1"/>
    <xf numFmtId="0" fontId="13" fillId="0" borderId="18" xfId="0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13" fillId="0" borderId="18" xfId="0" applyFont="1" applyBorder="1"/>
    <xf numFmtId="0" fontId="13" fillId="0" borderId="18" xfId="0" applyFont="1" applyFill="1" applyBorder="1"/>
    <xf numFmtId="0" fontId="10" fillId="0" borderId="13" xfId="0" applyFont="1" applyBorder="1" applyAlignment="1">
      <alignment horizontal="left" indent="1"/>
    </xf>
    <xf numFmtId="0" fontId="10" fillId="0" borderId="17" xfId="0" applyFont="1" applyBorder="1" applyAlignment="1">
      <alignment horizontal="left" indent="1"/>
    </xf>
    <xf numFmtId="0" fontId="10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4" fillId="0" borderId="29" xfId="0" quotePrefix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0" applyNumberFormat="1" applyFont="1" applyBorder="1" applyAlignment="1">
      <alignment vertical="center"/>
    </xf>
    <xf numFmtId="9" fontId="25" fillId="0" borderId="17" xfId="0" applyNumberFormat="1" applyFont="1" applyBorder="1" applyAlignment="1">
      <alignment vertical="center"/>
    </xf>
    <xf numFmtId="9" fontId="25" fillId="0" borderId="17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51" fillId="13" borderId="13" xfId="0" applyNumberFormat="1" applyFont="1" applyFill="1" applyBorder="1" applyAlignment="1">
      <alignment horizontal="center" vertical="center"/>
    </xf>
    <xf numFmtId="0" fontId="25" fillId="13" borderId="13" xfId="6" applyFont="1" applyFill="1" applyBorder="1" applyAlignment="1">
      <alignment vertical="center"/>
    </xf>
    <xf numFmtId="0" fontId="46" fillId="13" borderId="13" xfId="6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13" xfId="19" applyFont="1" applyBorder="1" applyAlignment="1">
      <alignment horizontal="center" vertical="center"/>
    </xf>
    <xf numFmtId="0" fontId="25" fillId="0" borderId="13" xfId="19" applyFont="1" applyFill="1" applyBorder="1" applyAlignment="1">
      <alignment vertical="center"/>
    </xf>
    <xf numFmtId="0" fontId="46" fillId="0" borderId="13" xfId="19" applyFont="1" applyFill="1" applyBorder="1" applyAlignment="1">
      <alignment horizontal="center" vertical="center"/>
    </xf>
    <xf numFmtId="4" fontId="25" fillId="0" borderId="16" xfId="19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54" fillId="7" borderId="17" xfId="0" quotePrefix="1" applyNumberFormat="1" applyFont="1" applyFill="1" applyBorder="1" applyAlignment="1">
      <alignment horizontal="center" vertical="center"/>
    </xf>
    <xf numFmtId="9" fontId="54" fillId="7" borderId="13" xfId="0" quotePrefix="1" applyNumberFormat="1" applyFont="1" applyFill="1" applyBorder="1" applyAlignment="1">
      <alignment horizontal="center" vertical="center"/>
    </xf>
    <xf numFmtId="9" fontId="54" fillId="7" borderId="18" xfId="0" quotePrefix="1" applyNumberFormat="1" applyFont="1" applyFill="1" applyBorder="1" applyAlignment="1">
      <alignment horizontal="center" vertical="center"/>
    </xf>
    <xf numFmtId="9" fontId="56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horizontal="center" vertical="center"/>
    </xf>
    <xf numFmtId="4" fontId="25" fillId="0" borderId="32" xfId="19" applyNumberFormat="1" applyFont="1" applyBorder="1" applyAlignment="1">
      <alignment horizontal="center" vertical="center"/>
    </xf>
    <xf numFmtId="9" fontId="25" fillId="0" borderId="0" xfId="4" applyFont="1" applyBorder="1" applyAlignment="1">
      <alignment vertical="center"/>
    </xf>
    <xf numFmtId="0" fontId="63" fillId="13" borderId="30" xfId="19" applyFont="1" applyFill="1" applyBorder="1" applyAlignment="1">
      <alignment vertical="center"/>
    </xf>
    <xf numFmtId="0" fontId="64" fillId="13" borderId="30" xfId="19" applyFont="1" applyFill="1" applyBorder="1" applyAlignment="1">
      <alignment horizontal="center" vertical="center"/>
    </xf>
    <xf numFmtId="4" fontId="63" fillId="13" borderId="31" xfId="19" applyNumberFormat="1" applyFont="1" applyFill="1" applyBorder="1" applyAlignment="1">
      <alignment horizontal="center" vertical="center"/>
    </xf>
    <xf numFmtId="9" fontId="63" fillId="13" borderId="30" xfId="4" applyFont="1" applyFill="1" applyBorder="1" applyAlignment="1">
      <alignment vertical="center"/>
    </xf>
    <xf numFmtId="0" fontId="25" fillId="13" borderId="13" xfId="19" applyFont="1" applyFill="1" applyBorder="1" applyAlignment="1">
      <alignment vertical="center"/>
    </xf>
    <xf numFmtId="0" fontId="46" fillId="13" borderId="13" xfId="19" applyFont="1" applyFill="1" applyBorder="1" applyAlignment="1">
      <alignment horizontal="center" vertical="center"/>
    </xf>
    <xf numFmtId="4" fontId="25" fillId="13" borderId="16" xfId="19" applyNumberFormat="1" applyFont="1" applyFill="1" applyBorder="1" applyAlignment="1">
      <alignment horizontal="center" vertical="center"/>
    </xf>
    <xf numFmtId="9" fontId="25" fillId="13" borderId="13" xfId="4" applyFont="1" applyFill="1" applyBorder="1" applyAlignment="1">
      <alignment vertical="center"/>
    </xf>
    <xf numFmtId="0" fontId="51" fillId="16" borderId="13" xfId="0" applyNumberFormat="1" applyFont="1" applyFill="1" applyBorder="1" applyAlignment="1">
      <alignment horizontal="left" vertical="center"/>
    </xf>
    <xf numFmtId="0" fontId="51" fillId="16" borderId="13" xfId="0" applyNumberFormat="1" applyFont="1" applyFill="1" applyBorder="1" applyAlignment="1">
      <alignment horizontal="center" vertical="center"/>
    </xf>
    <xf numFmtId="9" fontId="25" fillId="16" borderId="13" xfId="4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/>
    <xf numFmtId="0" fontId="26" fillId="2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4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4" fontId="26" fillId="7" borderId="0" xfId="0" applyNumberFormat="1" applyFont="1" applyFill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6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6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 xr:uid="{00000000-0005-0000-0000-000000000000}"/>
    <cellStyle name="Comma 2 2" xfId="8" xr:uid="{00000000-0005-0000-0000-000001000000}"/>
    <cellStyle name="Currency 2" xfId="9" xr:uid="{00000000-0005-0000-0000-000002000000}"/>
    <cellStyle name="Currency 2 2" xfId="10" xr:uid="{00000000-0005-0000-0000-000003000000}"/>
    <cellStyle name="Currency 3" xfId="11" xr:uid="{00000000-0005-0000-0000-000004000000}"/>
    <cellStyle name="Hyperlink" xfId="1" builtinId="8"/>
    <cellStyle name="Hyperlink 2" xfId="12" xr:uid="{00000000-0005-0000-0000-000006000000}"/>
    <cellStyle name="Normal" xfId="0" builtinId="0"/>
    <cellStyle name="Normal 2" xfId="2" xr:uid="{00000000-0005-0000-0000-000008000000}"/>
    <cellStyle name="Normal 2 2" xfId="6" xr:uid="{00000000-0005-0000-0000-000009000000}"/>
    <cellStyle name="Normal 2 2 2" xfId="19" xr:uid="{00000000-0005-0000-0000-00000A000000}"/>
    <cellStyle name="Normal 2 3" xfId="13" xr:uid="{00000000-0005-0000-0000-00000B000000}"/>
    <cellStyle name="Normal 3" xfId="3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ercent" xfId="4" builtinId="5"/>
    <cellStyle name="Percent 2" xfId="5" xr:uid="{00000000-0005-0000-0000-000011000000}"/>
    <cellStyle name="Percent 2 2" xfId="17" xr:uid="{00000000-0005-0000-0000-000012000000}"/>
    <cellStyle name="Percent 3" xfId="18" xr:uid="{00000000-0005-0000-0000-000013000000}"/>
  </cellStyles>
  <dxfs count="1308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{62029BA2-260D-054F-B815-1DDB2CA9C130}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{13A6720B-AE06-0F4F-90EC-46A07D91D752}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{25E38EBE-23A1-EB43-8F85-4D13D27825BB}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{7E8B09FB-D604-6F44-9490-C7434208D49E}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{0B9875F8-E262-DC43-818D-F68C9E830E1F}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{E4A44A47-5CC4-0C47-8CAD-5019DFADED19}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{4BF508F4-9209-5A4C-B005-1AD7FE26AE65}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{E24C76DA-350D-8242-B61E-23AB9F780F2D}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{7C4B2154-55F6-2343-829C-EB19BE1DE9B0}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{48EF39EE-1D9E-7144-B4DD-A688D3A374F6}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{C5C85607-2DC7-FA4E-9330-542BF3AC9FC9}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{F6B6F783-67DC-BA45-B103-FE36E067A6D1}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{F37D093D-C8F8-6842-BAF5-C7226ADECA9D}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{4D6C2039-10D2-B14C-B545-3C63CC483B26}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{0ADDE9BC-165F-8B47-81EC-55E6D36BDA9E}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{215D878B-1EF0-FA43-8F35-933A123F0EE0}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{18F47E93-5CD6-F040-8A13-204831AFE90F}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{315BF440-C218-3344-9A14-68908F15EC5C}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{CEA3022D-D16E-1A40-AE89-5CFE384C432C}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{9D9964ED-6BAF-3946-A2AA-55EEBA03533F}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{8986D7EB-6318-AC42-9B67-60E68DEAA5FB}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{831229FF-BFAA-CD48-907C-9C761F901345}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{DF1677B7-2CE7-C444-B22B-43E386FE443A}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{170D4496-A92F-7143-96E1-715683765482}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{86A8A002-1686-2E49-A365-8E903882E3B1}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{2F5E642E-CD0C-614C-A3AA-C47A8E0BAF2E}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{8738F08E-AFD9-6341-A9AD-BB735F87FCAD}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{857D186A-F758-5643-BD06-EA7451DED782}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{4C440BDC-71BC-FD47-9CF1-E31730CCE5C2}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{EA4510D6-681C-B548-B26B-529680010556}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{0B6B0A65-1E61-8C4D-992B-F91B2F631D2A}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{434772D2-188E-5C47-9F20-EAA062155893}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{11B6FB38-BB65-6E46-BA7B-1B05137F720C}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{269A1E95-A348-1A4C-BD61-82EAA4826A5D}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{0D37BAE7-A38C-8741-B470-F02236C9BF17}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{F66B7AEF-6D0C-2248-8160-A4BAF5B8120D}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{339DF869-713D-C84E-94B5-9225F8859289}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{BA1CC3BA-4071-FA47-8AE6-09F8C9642830}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{7EC0709E-9257-C44B-832B-0288A37DAB1D}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{7017EED5-29AA-9D44-AA7D-F6924196721B}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{17280CD1-5F54-D047-92AC-E1B00436EB26}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{260EAEF3-FFEE-1247-8460-0D34BF4582D5}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{AB6385B1-14AA-DC48-AE04-15B6D4D675CA}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{6E3876B4-9CEB-3F42-8B7A-5636DD0967C5}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{4CA65B6C-E547-2C4F-9E5F-2DA2BD94A7CD}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{EE3A6F19-F2F7-654A-B76E-8168356E2614}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{BDB6F6FE-11A3-A34C-8C0A-AC691BF0BC76}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{C81A800D-A615-7642-BE26-3C205F03AE42}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{F4F3CBEF-213F-944B-A9F4-0FDB2BC32340}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{A55F50F6-3B76-B649-A8EB-EDFF84C23800}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{12961F90-6597-284E-90FC-59C463951022}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{49C381F0-07D4-1649-8D22-1E520088349E}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{0C9D6CB1-8EB4-5940-BFB6-A38F0FAE9F8B}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{1B4EA159-D925-7A45-BE56-0F26578E1A29}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{76FA931B-92B3-6947-AE8F-97C90208151F}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{D85A2E2F-FF26-CB48-86EE-10AF3BAC69EB}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{CF31099A-13D1-2148-AF98-B012CF167DE3}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{31AD9C59-F3CF-6A4B-888F-FD959E4B3367}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{8C85B95C-48D9-9C44-8396-A48FD5F0BE38}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{CE8C012E-0CCA-7A4B-9F71-9FF202A96573}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{8658BC72-F4FD-1446-8A33-6F39DD9FC26D}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{81D36F0F-63D1-7743-A470-6317E24C5ED1}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{7B6448B8-3E17-E14E-A74D-FAC8BF47A425}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{A9B37DE0-5B86-094D-993B-68F1168E9736}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{550A2D0D-7A12-5842-A3E7-B6F4FEA8DE4C}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{00EC90BF-B480-F24E-A798-90066016A006}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{07401BA7-35F9-EF44-A386-DB0FFE344B98}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{1DF265A6-E745-454E-A256-EACF6736A11A}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{DCB11333-E927-2849-88EE-6CA5A8C696F0}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{70096107-C57D-B74D-BE32-EF036A1E4CB5}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{42869C35-1B30-AF47-AB7F-0BD7643382DF}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{BFB326BB-D510-D641-BE88-F21A2418FEA0}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{EE7429C1-B484-2D4D-B250-191C3B508022}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{AF1D0A7B-4521-314F-85A3-131EC885DE30}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{8249FBAA-A402-7A42-8190-D7DE589690A1}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{CFFA8733-273B-9742-8080-9F5C27201937}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{BA36D553-88B5-DE4F-9F3F-CE0C8ED0E65F}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{7C4C4EC7-AC6A-8A43-98D8-F02549EEC8F4}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{DA590EEC-D078-F147-93EE-FA858123C596}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{3D6A14D6-5D98-1A4D-866C-BE8BAD3DF27D}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{2934F76F-FC38-3848-BF0B-966E157B0DD1}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{61955055-D52A-C14D-AA10-B0EA7AC6FD1A}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{B2DAE574-55A1-DA42-95EF-C08361FF903A}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{78B76768-1C3D-724E-A736-4E3263B93E1B}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{45A46B0A-A0C0-8C46-ACD5-6DFD01D9FEB6}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{5AA767A0-71BA-AC47-9196-634CC4F3F335}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{93A2C304-4D68-4E4C-9E33-C08EA2FDFAE0}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{1F17F10E-BF0F-5748-9E0A-60261AD8FE13}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{E2FBCFB3-399C-CE4D-9999-EE690AD79BD6}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{7471D5FE-7DE4-2342-972B-D64E3BEDD620}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{7708BEF0-A0CF-9549-8794-485CE6E91206}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{F05BD31D-23ED-8A4B-BA8F-CCA4820785A9}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{DADD601A-7A5D-9A41-B546-DA49FB7FAFFF}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{F457187F-1339-9C48-8E74-D4D504613320}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{318FD0F1-FE92-EB4C-A2CB-C98C7BF51F63}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{EA208290-D455-F848-95F3-042BBFF02906}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{CEF05EBF-23C4-C145-8052-2C34B302D1D4}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{C6FCC3CE-D9AE-D647-8494-E81B28BD3A5F}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{CE1D4DD5-9A09-FC43-AC86-F78E3DAE91F7}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{F08A1BD6-AB01-6C4B-B2CE-20100B0E12CB}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{27838BD7-8120-D94F-8FC7-5CE615AA2EE3}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{B7F64E4D-D505-F643-8554-E7954BFDBC24}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{A83B1BFF-92CD-814B-A44C-9D4570E1EE12}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{2E0304FF-7F46-4A46-A2C9-90DF1F4183F0}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{4C11EAEB-1470-FD4F-A541-EE683FDA2E80}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{33394E12-8DD6-DC45-9787-5B5B0C1F642F}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{652268FF-AC0A-E54F-B078-8422913A2B25}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{C180C0F0-B4C5-4145-B035-639A49FB9F10}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{7D7E0C24-1FDF-5747-9380-F28DB8FAB980}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{48DCB2FF-ABBE-AB49-B085-FD68066F47A4}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{5FD626A3-9C59-4A43-9677-444FB37FF0A5}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{F16568A7-95D3-B245-A358-B3347EA9A7AE}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{575EDFDB-2A02-AA44-8352-981A45F6837C}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{F88ABC89-9AA7-1B40-9E9C-521DBA72CF02}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{9C23F435-5773-724B-BB3D-4BD51DEA1B1B}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{9D2F163E-E381-714C-9131-D5FBF5D39AAD}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{B05A04F1-52C5-D14F-B9EE-14E1435A8409}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{D6DDA299-985D-FB4E-8ACC-43E95F7FF60E}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{A1C82D46-E22D-2745-BC6A-CD6CB61B514B}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{8338835B-E245-134D-B7B7-ACB5DA0D2017}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{5B3B37C5-5564-D14C-BF7C-30A65D1F8F00}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{049AD903-49BB-D248-8ECD-26A26BCFB911}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{7972615F-50C3-DE43-80B4-199A02A8FE52}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{F9447B98-83F9-4D44-9155-59B3BA179323}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{2C3BC518-33AD-1E4E-A217-BB475818D083}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{EAB61D08-C91C-DC4C-8C97-EDC7DB2AEE76}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{E9F37FDC-C64F-524E-B464-BBC6E140EA53}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{5595F7A6-7CFE-F443-80C8-C15A87CE76F4}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{7800176C-2A88-D54B-BC57-4D5916D7EA55}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{19EFBCAE-325E-1842-A4EF-6BB6EEEE1F27}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{FFF76802-C51A-B34D-8AF7-63AC4173212F}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{680ECDF6-6F0E-CA42-9FDB-67A123792A1D}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{8DCABA5E-75CF-BB49-BE85-FA30E75BBA23}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{F7477281-F8D3-B440-BEDA-9095D035F6DB}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{1B1FECF8-E6D4-194D-B7D0-731280F157CC}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{8DFAA123-3AF5-4D48-9A38-B1E91FD2E93E}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{69C6F8CA-80AA-D449-9911-DF09D14E9D50}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{FCB8CE9B-9885-3645-9272-3D357F8BAF85}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{37C284B9-A01F-C443-8B1D-2AFD11FB4FBB}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{749D13C8-1500-0C4E-82BB-4E0BCCF80E89}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{05C3544F-E802-CA43-B6D1-2433E19D8C09}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{5E8A6FFE-8DD9-2744-B74F-2CCAD23F75C7}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{9DBD2C0C-975A-344E-9AD8-553C9842A9F3}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{A75A4D40-3795-8941-BDB3-70C03C7BF713}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{CE24947E-9A25-D34E-ACF0-AAB5D8BDCB27}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{3AD4C083-E3F5-F848-AAE5-9E8F2018C9A8}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{878909DF-BD05-DC4B-B901-48461972B7B5}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{27D8F28D-877E-1D49-B1AA-C3E1BCD1D04A}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{226FC5B3-685F-3541-9D1C-3C6673404789}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{8C29541A-33FC-1247-9143-D913FB9E8B26}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Downgrades'!$B$29:$BZ$29</c:f>
              <c:numCache>
                <c:formatCode>General</c:formatCode>
                <c:ptCount val="7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Downgrades'!$B$30:$BZ$30</c:f>
              <c:numCache>
                <c:formatCode>General</c:formatCode>
                <c:ptCount val="77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Downgrades'!$B$31:$BZ$31</c:f>
              <c:numCache>
                <c:formatCode>General</c:formatCode>
                <c:ptCount val="7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Downgrades'!$B$32:$BZ$32</c:f>
              <c:numCache>
                <c:formatCode>General</c:formatCode>
                <c:ptCount val="77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Downgrades'!$B$33:$BZ$33</c:f>
              <c:numCache>
                <c:formatCode>General</c:formatCode>
                <c:ptCount val="77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Downgrades'!$B$34:$BZ$34</c:f>
              <c:numCache>
                <c:formatCode>General</c:formatCode>
                <c:ptCount val="77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{3101AB56-3703-AE41-8E0E-ED559A23B8A6}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{321B1278-BB7E-3140-843D-622C67AEE7BF}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{665607F7-BD7F-6142-97C4-5D16FB581AF7}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{B49A1E14-0566-E84E-A0E9-AF3B480ECD79}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{94979C6A-76D1-1746-A026-EAF0D491E8FC}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{C55AE16C-CDA9-6845-AEEB-75A8B3C95A9C}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{B0D75462-CD9C-6E4C-B1F6-E4EB54EB66BB}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{C1E3499D-A33B-2C45-89D0-A1D4E3CA5D7F}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{EAE382F5-3CB3-114A-A8F7-12815B2C3ED3}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{6BA02CCA-1E8A-3A46-A570-64E668A35340}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{7922BDEF-EB64-DD45-9CC5-A66E85DAACD0}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{556C707F-F57E-4E42-9601-378398904EE1}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{13BB415E-56A9-AC47-BF77-88310C8B1393}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{C60E5874-FAD1-3A4F-AE20-029A09605F37}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{7818FC06-D881-3B4B-A0D0-3578CAC0A332}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{02FFADD2-C210-574B-8994-C98FA0C15758}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{F57C2911-54ED-0D46-A1F4-945ECCA8EBC7}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{7FEEF5FA-0C48-EE4E-885C-41026626A4D3}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{4E0702FE-F523-4041-A022-3CA245E7DE5C}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{49189129-D7A6-4B4F-A899-F24A75F8507A}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{9FB88E81-CFC1-2840-B429-0AE45F09CD47}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{971E9B31-048E-7D40-AE20-4C43DECCC809}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{F164EE5F-2FE9-954D-BB3F-F9958C3C4B1E}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{0CACF925-921A-114C-89C5-7C40C5D2E1EE}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{C7D3FD3A-FF25-D24C-B223-FEA8C87F2304}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{E122BC38-4394-E04D-8548-5F8B165BCBD0}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{76157C2C-67CE-804F-83A7-6AC12F1D96AA}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{7233DE5E-651B-E74F-8F17-EDCD9202F096}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{79952296-FF07-914D-9788-262C00F78703}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{ADDFCA9A-B586-F240-B3A7-FCDF595540FF}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{159C252F-CB50-0F49-B368-FA8DDAD24C46}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{541585B2-1F94-9946-9734-3DE0A4E8F033}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{9E0DD5E0-CAE1-B247-8BAB-A5106765C8BC}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{DE5A63AF-0841-DC48-980A-4F320E2052B2}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{2194ACFA-DA98-0642-9897-91F4513C116F}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{CAC73AAA-D322-B64A-B363-05199BE0A171}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{C9FBE256-A792-8742-B0A7-2CF2D89EA106}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{8AD7EDCA-760D-ED40-9A12-EAC1B54C2EC0}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{A8F1261B-C76A-5748-9E22-86A30CB80479}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{D7423FEE-3E2A-1247-94F2-469C3AD9DE25}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{D3C14D89-4BD4-BF4D-8E4E-37A79CD14058}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{D7130A9F-1E99-9043-B79B-3AA024D77A84}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{03803B85-8DFB-E440-96B3-11D9CB06FD2D}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{C6932C87-DAF6-A248-89ED-5EEDCD021028}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{D6D87105-88EC-EB46-B716-F1CCEF45747C}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{7B979B77-FAA6-1346-BB01-752D1E5FA63F}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{39AA2D62-905E-9D48-BC16-B9CE312E0B36}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{E13FF529-C54D-2645-81EB-0845D9313F30}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{5B11E958-8608-B74D-AFFB-04A5D2DCC6B7}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{F498D402-B25F-664D-B4A9-A60CABE1B831}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{4A3EB3B4-E7F1-1448-B397-667C442854B4}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{C318B861-8824-E544-A6A9-EDEAFE6F4912}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{4FDC28D5-D9F0-7640-B2C0-EE9F736AF6B3}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{FAABF8EA-95A9-4A4F-85FD-F897F48707F7}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{76570112-0113-C443-852A-155395EF9751}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{E936053B-615F-524D-8EF7-A0781222F2B5}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{0762E574-2757-F242-9457-BF270C4BF5E2}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{2B70E0DB-8B8D-B64B-8D69-4A280AB8AEE5}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{BD4EE545-CD9F-4441-868D-95E5E24B207B}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{4D1C0700-5D0D-A14F-80EE-16D7AD328449}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{BBFDC75F-78B3-4042-B8EA-1CD578966318}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{B98C35AE-6B6E-1740-872F-7970059FCF15}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{BB736478-A30C-1B4C-834D-BBC9BEA135E2}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{9261CC74-D827-1B4D-972A-FCE3347379D7}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{55244C16-BA62-1A41-89FC-5A3014FDD4D3}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{E5A86D7E-7660-8C4B-AAE6-5468AFDD1D3A}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{3E739D45-BDAC-F344-B02D-7AAB4B49B6D1}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{B74B9974-117A-EA4A-8AE3-257F410CB374}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{6F4755A5-B4EE-384D-9A85-D84B86645B84}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{920D5414-6949-5043-A341-75818089956C}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{1C5297CF-2E55-6247-A51A-633A48CE4FDD}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{D1735564-C673-974D-87C9-15F9980FC9BE}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{866AFB7A-1C62-A448-8E42-E4B3CDA5A162}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{CD43F4BF-1A71-C64F-BEDC-4BA4DFAAAD25}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{B63AB3E9-44D1-8E4E-B2EF-4F1990CC7F6C}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{1529492F-EF6A-5241-A340-E27C37AF539C}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{E17CD155-E041-3949-BBEF-1CC8FE908D1D}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{B14C35B0-6016-6042-B97E-0B2304811C71}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{B45588C0-9D03-4241-A079-7923649BE508}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{BE5C17D1-0060-5447-BB64-7ECBC19A3E9C}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{C5901A02-DC61-504F-8172-3520C45B09DF}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{C62702D4-C654-FB41-B341-93B1E8CB413E}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{0BE83CCC-4587-0D4A-AEE1-276D35842A53}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{B1C0D529-BC13-084D-AB28-7B53C0914417}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{1A6A55D6-B27D-4E45-AD6A-690C839C18CB}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{82F69900-E2D8-754D-A299-3A96566BBA32}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{257CFB05-9304-B448-B41C-C403560D3C08}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{83F873EC-4E30-D44F-ACE1-481BEC73F175}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{EE9B9505-360A-B743-8191-15EA61373CB7}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{B7792393-0A3E-014A-B4BF-17593EC1EA0E}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{A4B01C08-2750-894D-B607-45747EB85272}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{045D5B02-8770-344E-89FC-A7372BAC85B9}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{3D51E6EF-27D2-284F-8609-A2E3A08E9A6A}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{1A549A2C-7283-C94E-A850-4EA6B3FB79F3}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{955EEF5C-72AA-0C4C-8CCF-09839EAD22C2}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{DE50278E-A914-8D41-82B4-F250D17EF555}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{39EFAB02-6CBA-3E42-8B1B-1EA745FA5B46}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{72A9ADEC-1E85-C042-AC82-A9C6E26CFD60}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{B71191C0-1A11-0B4A-A83A-3721B9621F55}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{901B13A4-F724-AD41-AA21-1EEBC609871D}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{23996E14-EA83-0E46-916F-80F63F31AEF7}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{9D44161E-82E4-F744-9102-139AD52BAF81}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{21451CAF-ED41-3A42-9C1D-DC4AB96768FA}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{9595A147-4450-2C49-8FD7-AE87124FFE4A}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{9F723731-A836-9441-BC46-3132AB3A5F5F}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{5FABD464-E3F2-E04B-B066-D1D8B3E38C5F}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{55965479-6EBB-C14F-A038-746F5FF97C48}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{D22E1200-5BD8-0648-8003-2E6DB793CDD7}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{BDDCCFE2-5A43-C44F-BB16-C67C14F881C5}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{EA95455E-CCF7-E042-8681-57B1462EBC9C}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{534D8422-EDD5-F241-A35F-0396C51CB9CF}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{AED92105-184A-BE4E-9AF9-B040B97E5B50}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{A4C99394-03AA-1243-81D5-AEBDCE41223C}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{53221E10-8BE9-784C-ADFE-2AC021F1E2B4}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{86B97603-9F5D-DC4C-9C44-05B9FE0C4DAE}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{D7F09224-A1E3-2546-A1A3-244D6A1A080B}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{0737CC7B-E24D-A34E-9061-D11C54357D23}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{2A8DE04B-3449-5349-BC04-971AC15BABF1}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{C47E7DB9-7FE4-444B-B660-81A824D883EC}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{B16AAFB3-D4B6-C94F-9CF5-F0DF73A84756}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{986DA862-A19A-7347-918D-6369E7B6AD54}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{16EE606F-CA5D-084D-B5DD-4B1388DD2D0C}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{5B5E0525-09C2-324C-AAD0-99E2C5085CEF}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{8EBA0616-91EE-FE4B-A962-CBABACD859B3}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{25CE6786-CFDC-7F4C-BB41-F1F3C39795B6}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{EB52B875-D088-3F43-B71C-D476D80628FC}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{51C48F5E-5476-1149-9ADB-A8B8307599D8}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{EDF8F940-B699-6D43-B962-4F64CF742259}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{9283ECA2-674B-8841-84BD-C4CCB2776187}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{D5F72182-D9FA-0846-B887-6192BC8C1B29}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{79AD17D2-DEFF-B84B-9D65-E8ED062EF9D2}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{76891BC2-1BA4-274A-B221-1F2FF3EA5A5D}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{D070FDE5-D9A5-7448-9F82-F66F4F034580}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{40AC71CE-DE24-4045-8790-CDDB1EA87C30}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{5EDEC82A-46BC-1C43-B7F9-75EB1FD9EB3F}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{76C0C1A5-CB16-2C42-B7CC-4D3411A4170E}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{1205E24F-65D7-574F-A52B-1F5DD2D5026E}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{0B2515D4-E006-8F46-A090-248084DB0E2C}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{D534ECFA-050F-DB49-A860-906CB57D92B6}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{BCC59F37-6120-8440-8B80-1E70BCF7596F}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{B04BAA9D-55D1-9B4A-8600-0B8EB4E98799}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{C718FA26-C455-EE41-AC32-171253796FCA}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{A0F376F5-3F30-744C-BD00-2208CBA63EF6}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{E664F83A-21FA-0549-B9FC-113A523658AB}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{A1D898C9-D160-AE4F-8162-49227BBC94B9}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{FAF0A3B7-BC26-E84C-B4D0-BB967F316EB5}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{3E692F2B-0A5B-9946-ABC1-52F891A2B647}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{FCD40CA5-47ED-9F40-A52A-0FB4220D945A}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{F21144BC-9103-084E-982F-41512A882687}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{9F96B125-49EC-D749-916F-161CA215087E}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Action'!$E$13:$V$13</c:f>
              <c:numCache>
                <c:formatCode>0.0%</c:formatCode>
                <c:ptCount val="18"/>
                <c:pt idx="0">
                  <c:v>0.13833992094861661</c:v>
                </c:pt>
                <c:pt idx="1">
                  <c:v>0.46363636363636362</c:v>
                </c:pt>
                <c:pt idx="2">
                  <c:v>0.60330578512396693</c:v>
                </c:pt>
                <c:pt idx="3">
                  <c:v>0.60909090909090913</c:v>
                </c:pt>
                <c:pt idx="4">
                  <c:v>0.60330578512396693</c:v>
                </c:pt>
                <c:pt idx="5">
                  <c:v>0.48</c:v>
                </c:pt>
                <c:pt idx="6">
                  <c:v>0.40350877192982454</c:v>
                </c:pt>
                <c:pt idx="7">
                  <c:v>0.36249999999999999</c:v>
                </c:pt>
                <c:pt idx="8">
                  <c:v>0.65</c:v>
                </c:pt>
                <c:pt idx="9">
                  <c:v>0.48684210526315791</c:v>
                </c:pt>
                <c:pt idx="10">
                  <c:v>0.75</c:v>
                </c:pt>
                <c:pt idx="11">
                  <c:v>0.97169811320754718</c:v>
                </c:pt>
                <c:pt idx="12">
                  <c:v>0.7</c:v>
                </c:pt>
                <c:pt idx="13">
                  <c:v>0.73134328358208955</c:v>
                </c:pt>
                <c:pt idx="14">
                  <c:v>0.73076923076923073</c:v>
                </c:pt>
                <c:pt idx="15">
                  <c:v>0.44086021505376344</c:v>
                </c:pt>
                <c:pt idx="16">
                  <c:v>0.61111111111111116</c:v>
                </c:pt>
                <c:pt idx="17">
                  <c:v>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Action'!$E$16:$V$16</c:f>
              <c:numCache>
                <c:formatCode>0%</c:formatCode>
                <c:ptCount val="1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7.6219077030742098E-3"/>
                  <c:y val="-3.177705482459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Action'!$E$14:$V$14</c:f>
              <c:numCache>
                <c:formatCode>General</c:formatCode>
                <c:ptCount val="18"/>
                <c:pt idx="0">
                  <c:v>253</c:v>
                </c:pt>
                <c:pt idx="1">
                  <c:v>110</c:v>
                </c:pt>
                <c:pt idx="2">
                  <c:v>121</c:v>
                </c:pt>
                <c:pt idx="3">
                  <c:v>110</c:v>
                </c:pt>
                <c:pt idx="4">
                  <c:v>121</c:v>
                </c:pt>
                <c:pt idx="5">
                  <c:v>50</c:v>
                </c:pt>
                <c:pt idx="6">
                  <c:v>57</c:v>
                </c:pt>
                <c:pt idx="7">
                  <c:v>80</c:v>
                </c:pt>
                <c:pt idx="8">
                  <c:v>60</c:v>
                </c:pt>
                <c:pt idx="9">
                  <c:v>76</c:v>
                </c:pt>
                <c:pt idx="10">
                  <c:v>80</c:v>
                </c:pt>
                <c:pt idx="11">
                  <c:v>106</c:v>
                </c:pt>
                <c:pt idx="12">
                  <c:v>50</c:v>
                </c:pt>
                <c:pt idx="13">
                  <c:v>67</c:v>
                </c:pt>
                <c:pt idx="14">
                  <c:v>52</c:v>
                </c:pt>
                <c:pt idx="15">
                  <c:v>93</c:v>
                </c:pt>
                <c:pt idx="16">
                  <c:v>90</c:v>
                </c:pt>
                <c:pt idx="1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{8579524A-5C7E-9D4A-9265-9325CF1BF535}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{50A02EE9-93BE-0047-84AF-8D6CCB8EA9C4}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{8F39F4FE-B138-9A49-9453-BEB6D1F5DE8E}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{B19E0B2F-DC94-0B4B-8609-57727FF0AA76}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{41C3D10B-8A0D-A349-960F-1D6DD14DE060}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{3A440245-B251-3347-BF73-E6300D0E2563}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{A01085CF-1F5B-0245-8895-26B8228930D5}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{F7F9FBEF-D6BB-AA45-A4AD-B52D049FE824}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{5E8DEA12-D7F3-D24A-9508-482F264BB5CF}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{C2A877E9-F996-7B40-B98B-35C5CC6537F0}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{3A37BFA0-D3CA-AF49-B456-AD725FDF098E}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{4A5FBF6F-2AD2-A647-A7F1-418328DD0FFE}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{73D9FFBF-1087-EE44-BA8A-77E7421BCC6F}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{1A86753E-4771-BB4D-8405-23428DA23A7A}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{03C9E1FD-A649-E44E-AC5D-B321FFD7EAC6}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{3413E71E-2CB5-4C40-9C0F-5D01B5DEA7E5}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{2BBF56EC-0A5C-734E-8E77-7CF9BC7A5F5F}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{295DF1F2-0615-3942-BB78-520F05C51D46}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{ED4FFDD1-60B7-274C-8305-6348DA4E3610}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{CA9B8F77-D074-A14D-BA6C-D4846204DB1C}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{BDAC78E6-0F46-D445-8201-3AA148A22985}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{8D15BBF7-BCC0-9645-8074-655FA029E9C8}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{61366331-7F19-7047-ADF3-F21A954A7FF9}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{68E02E0F-4FB0-4A49-A127-6BEEEF6DA160}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{18B04AD1-FCE2-DF49-8348-99D688473EE8}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{B916EF76-7CCE-7C49-A5BC-EC5272AD0518}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{6D5FC0F9-3CFA-3446-A1F2-34AEBB0FFE2B}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{79405B06-A7AD-B145-8897-D6A71696D574}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{4905A6CD-05C5-C044-8BCF-AC5136453DFC}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{0608DB00-63ED-014B-BF01-2B2A1DEB09CA}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{3F868829-D164-FB48-9CE2-0A76B514EC6D}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{2CFF06DB-AED4-A743-B610-FB3010C2DF2E}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{A1513EC4-2E52-F34A-BFF1-8B46B09B270F}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{0FFE9256-9A39-F244-8774-ECE72A270A78}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{E9F5E106-BBBB-7048-8EA6-45A8FAD412DE}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{85E99DF5-6666-8E42-917F-A387321F02BF}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{67C5DD71-FF36-1C43-BA76-D5BD68DE66AE}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{27441FF0-C23C-0448-BD74-4285C2A694A6}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{18F1AABD-FEBF-594A-A4B3-C664610CB373}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{415F7A92-B46C-2240-A6E3-CA12DD72275C}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{7473E80E-B06F-B442-9AAD-97D34299B990}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{D120B69F-F51A-7B48-B8B6-D8EAC2A2411A}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{3B3EB78B-8811-594E-A46C-F3CD08558DFE}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{1A6C7DFE-8944-3D41-8182-ABA0A9D14D38}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{4BFD4D41-780C-2843-9DAE-3C502D74E962}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{C0D80E25-1CCE-C642-9EC9-9A8B3796ECC6}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{307A3029-3C8C-204F-919C-287E84C1380C}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{C213C785-ECDA-0349-B14F-4693CFC3E74A}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{FBE9FD1B-49D5-104C-8B10-80B27B38DF46}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{84F98A67-B878-D548-BD8A-AE21CC377F1E}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{EEF0A5CD-D056-454D-B3FB-8E1C3A9A1513}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{295DFE7F-7243-844F-8C18-518DB705F056}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{4D5F92FE-8B4B-F542-B9AB-D282DF4B6C64}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{80F51369-A4D0-894F-8A72-F8D64DF940CE}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{541090CC-2AAF-9F4E-8C91-EDED5DF1E1F7}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{77CFB954-ECCF-204D-9198-90475B43B26D}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{F50285C6-F8AB-554B-8C4E-28AC0FE4F337}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{18F1B8D6-AE27-A046-A7FF-307C1CE33126}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{3DD8794B-89B1-8D4F-A4D7-079880D1F1E7}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{350A338C-6E85-BB4A-91A4-C8B2AA838253}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{7E04ABF9-7FB6-C048-99E0-82BBD29A19C7}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{4F7CB00C-1397-8140-95C7-7A52E9B94AA2}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{7F18A817-39A4-334D-B8E0-C84FD4D32637}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{40A8870B-D394-4F45-9E35-B925487B61FE}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{04796B28-7EB9-FB44-93C3-02198665BBB1}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{E1F6271B-77F8-904D-9E5B-CCFF2D4BD704}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{8A2FE830-93C1-4D46-81A6-BA7D074F56D2}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{C73090F9-D16D-6744-9B1E-528C73F4D07E}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{1121A61D-AB2F-A946-AA0A-698050709879}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{BDC3278D-A3A2-554F-81C0-FE5D8F888817}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{D7937BCF-CC9E-ED44-806A-0AB0B19B80CB}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{39BF318A-8A72-8B48-8B4F-60F7BF877431}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{E6A3697F-88A3-E44C-A551-89615027F9F8}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{ED18BECE-BA78-AC40-A717-B15E65BE1D75}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{973F8C01-4476-4744-A6F2-C5F35FC8ACDE}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{87BDA365-D080-1448-946B-5302EAD5C387}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{18839BDF-F9F1-694C-8DC3-8313084699D4}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{260AC848-73F7-B244-9165-E97AF234676A}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{64053023-1CC4-DD4F-98BC-5BD7167AC01B}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{A48E7878-AD6C-4540-BDA3-F4E9A0F9FFDB}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{FCA685A6-4BA2-B949-B76E-E8658D89A6C4}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{BB6C0BBD-0F16-4448-8881-705B1CFDF557}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{F2B98BE9-A870-184A-8DA2-D8218A1C0474}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{4305C64C-41C1-2F44-A977-A5943DCE7E53}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{62283C1C-EC4F-904E-B843-5113D0DE28BB}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{89DF5450-E695-1246-A10C-9B9138E1B16B}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{742DCE5B-D54D-FD4B-8F6E-EAA03BBB0DBB}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{51742A60-C606-C749-8BC0-222D113B45DE}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{EDC304BD-37B3-4E45-854B-D23D82C36BBD}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{06509150-DDD5-2342-9505-C16C4913CC01}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{379338F4-7999-754C-81D9-1999612299A5}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{A30BE93C-7ADB-8249-8121-E4DF627F08ED}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{F1E339C6-BA85-2D4B-9DD6-46EED57F3A9D}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{8E11267F-A30A-1347-9706-9442ACAF25B7}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{A2F4C2DD-7686-F74A-AC2B-F86846182EB7}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{53EACE1C-C0CE-674F-81AE-5A85DABB721C}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{E5E9B075-C157-4843-95A5-4432999FBB42}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{51949D25-F7E5-EB4C-ACA7-EA5D5953CE57}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{96657DE4-0A15-B842-98D4-AAEB6F1DB093}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{C2D043C8-CD1F-A948-853B-523DEFD71807}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{6DC89EE6-8F4D-CA44-911C-3C7BA00AA8CE}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{055C2899-0A45-A744-9756-0162DCE8BD5B}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{B81B9825-FEC5-1F42-B849-9632E48C5F1A}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{385750A6-DEAA-F147-A9D6-6425EA41661D}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{1F95C05B-5A85-3047-9874-86BC81B05B83}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{2D72142D-B293-E944-8714-F6077E02EA38}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{66AF3E5F-FB7E-B04E-A2CD-730AF3DD6AC2}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{D2687C94-3821-A341-BED0-258DA1CFCACC}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{6506552C-F96C-604E-AC86-50B25719E3C3}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{E3D4B73E-6FF0-1E46-A8F8-49FD49C64288}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{FB035FE6-3EB0-5B44-876C-F6E5F20E4689}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{5CAA4ADC-47F3-A04F-B9C3-67EB93C11484}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{8FEB8EEE-8D95-554B-9832-E368DBFC450D}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{35764BE1-18D8-6E41-BE42-7DA4A909ED79}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{8B7F121E-25E3-C942-8CE5-54508307C17D}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{17ADFF49-F0A7-3D4C-8DD5-5AEAB9E6BD58}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{54DB170A-6CAC-9347-B31D-3DA7CE27CEC5}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{50ACA788-5CE0-FF4F-ACE3-EA72CE1C0433}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{50D6E167-F706-AA47-B4D0-3936CFFD7656}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{8DF3B6A6-AB0B-7C45-A26E-899FE54B5663}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{210DD0C5-0003-EA44-BF51-F05BF5A11890}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{7125275D-2D27-0349-8318-6566FF472D3C}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{16BE342D-6354-A840-8D43-6D069E9E9E40}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{3535A279-4ADF-4B4B-8E67-971BE03CD664}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{D55FDB4F-82BF-BF41-AF83-8086A3358874}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{7B287C84-AA42-634F-A1CC-FC48CCEE14E0}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{9D5DA57C-0A61-2D42-873C-D2FDF2D52D96}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{272E89BA-AE3D-6145-9AB4-58DE358F0D69}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{D7935207-D209-F74F-8F5F-A0EE95914FE2}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{52670924-DF26-5543-9B68-D1C1623AAB59}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{E1F218BB-3614-B641-847B-A799F654066A}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{9CF7EBC0-D82B-0A4F-9B3E-A120B957F2E1}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{76F9CD65-23FF-B94D-B751-827819BFDC05}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{506BE86E-FDA1-AC40-83A0-DBBC7EFD81EA}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{37786646-9362-5F47-B59C-EEFC5BC51C33}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{DD43D67E-4711-1C44-81F0-2637B1F785C0}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{F5083404-8271-204F-94C1-DA9813C5C1AD}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{85355334-A528-C340-8430-25070FF2A352}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{AA58B777-EACF-274F-985A-4FCB958DFDD9}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{1E23EA22-7526-414A-B3E0-558D840A07E9}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{FF946A4A-6C30-DF43-8ECC-8A171C06F577}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{D274A052-B299-9446-88D4-8186B58B716D}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{0BDAF7B5-E508-794D-88CF-462928FD1A6D}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{59754DBA-B24F-8549-88F4-99ECDD9E3F5A}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{C6F7AF9E-605C-5B45-ABA7-03A17D029818}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{1BA2D910-3C91-6544-92A5-B9551580185B}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{BA184298-D1F8-7B4B-94A6-DFC184EB2858}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{8ACD9D85-0D35-5148-BB56-7A2B98328D41}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{106607D6-8B25-F34E-938A-9DBC8C8FD508}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{17D3413F-2692-7B4F-9F50-E49B902F6AA2}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{D8192452-BA67-774B-A3BD-518E9F737CB1}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{2DA02216-7691-CB47-9368-C4FFB2DAC3AD}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{E4CE055B-3538-A143-922E-E124DB0E2272}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{BADE733E-D3CE-074A-91AC-ADC775BB7556}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{B79C67F7-A81C-2E4C-96A8-766B512F4D10}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{CC442A8E-AF69-894D-A5D2-B7B69DC097CA}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{CF69CD89-F306-F148-BE4B-580079930A14}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{53E3FC4D-0D96-2141-848C-9412EB6D4857}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{9793F8A3-5E4B-FA4E-9EA6-AA436C6CCB4E}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{BBBCFDA1-290F-0B43-A451-636C17E8ED28}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{6DDFEC36-46AE-4A4F-A047-C66845B8B645}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{630DF956-6123-2643-88B0-8A56E4D71E9F}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{2738410B-3CE7-2B45-9DBC-2B669E1E78D3}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{54442A74-51C9-9B49-8113-886A20DC1573}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{4DC4C955-D0EE-4643-8964-85FEED4E53DA}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{EA169B11-4F1E-2F4C-92DF-E898804A883B}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{D9E42E4E-2031-6442-8226-D8FF55FD002D}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{9AC85C2E-8B22-3A4B-B9A7-CC12676BFE60}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{301451FE-8AA2-F948-801C-04A7A030CC6A}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{F3E3B8A3-3824-334F-9D9A-0E7B90531FB6}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{26E9A866-13B3-A64F-976D-7B69064B820B}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{0C119E73-BDF2-EE44-9D23-514D80601073}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{A2E6757F-AB0C-7843-8EBC-100B9920D542}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{5EE4FE02-24B0-ED4C-8903-1791272C2795}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{99B7277B-9ABF-5F49-AE23-D6ADA8ABFE77}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{D8C16CB7-C45C-2047-AAB1-95C82F151166}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{BDE751F3-C538-1744-9294-8EB68E4873EE}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{22F8F489-FF99-F249-8D4C-C767BF8EA49F}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{96BC9CF5-8872-3448-A133-B6CFADF19B2E}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{512D37D0-CF51-2E4A-858B-58B0771BB905}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{8FCE7E09-2AC1-9349-9E3B-015159103438}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{5AD36BFC-9EFE-F94D-910D-5CABC62892A7}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{ECCC5507-D29B-CC41-A13B-5DA0431874EB}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{C26D0385-00AF-8047-A65C-F8CA14244F87}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{1A5C3B1C-8719-B94F-87E2-7FCD80DF9518}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{78BD0F0E-3C14-CB40-A2F7-A090AE64157D}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{1020BD88-3579-1546-9BFC-2936F711DAA9}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{1BEAC90B-41EE-E441-A603-AF8005557D3D}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{69963329-F284-5D47-A6A8-2CF1CCB3216A}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{BB4621C1-C2C7-5F42-8BCD-058F3D988FAC}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{77FB2096-87AF-374E-B7F2-C4304C958FDE}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{7AE4B8EC-F4C9-ED46-B357-9A0B118A0216}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{2DFEEAB6-70A0-B446-A9CC-CC95A042247C}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{05668F85-78DE-9B41-B7C7-51A8BD8A19D8}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{0C0E9A75-CDEB-1B47-90AE-BEEDCB4DF99A}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{6B4428A2-B895-8B48-8F16-9B3813193AB2}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{410EC625-A08D-7547-916F-C89008A2A172}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{7E54724E-0331-404F-BA3B-FF721DDE250C}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{753F6905-6B20-4540-A519-C16B8F2F7DF9}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{64F0F958-698A-A84E-8EAF-351901F95601}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{EFD9EF85-3044-9B41-A29A-7B848057A2DC}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{0EC6F698-BEBF-2041-A431-F0DB90C438AC}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{8457EF10-0D83-AB47-B324-82ED3BE63219}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{91992C57-7DB6-2E45-87C4-D439459380BB}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{965FCBC1-C48C-CC40-8380-AE155942A4E3}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{95E2945F-DED6-1043-BA30-B4286745FC28}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{9D6FA16E-3500-7B4E-BBBE-4C4F22298C14}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{36DE52E5-F527-BE44-AD2D-BD1DB797A1D8}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{8B6A67BD-A857-794F-A10D-7CBFD92927AA}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{3B5619C9-6EF9-C346-B3EE-898786B91EED}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{C1E4ECFB-F62A-454B-8863-D8C958E888C9}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{AD0DB103-8C2D-D244-A464-47246B1DF7EF}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{EEEA2B84-7CFA-C346-BCCC-00F8742E8F5B}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{12E614E0-B647-6745-922C-1FC41076E615}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{849E0439-8F69-314F-9B53-7BD5EC9FD7D5}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{F7248A6B-6848-D848-85D4-60F33FE5CC78}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{E358342A-B3ED-3F4B-9585-E140CAC4FA98}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{D098D136-1DA9-A34C-B200-2420869C8170}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{95C8043A-0478-3B43-B809-21A1AFB11745}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{535EA940-DDB4-934C-9E9F-801F8F02D679}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{BEBBDE99-66E1-4D41-BFD6-E7B5F4214C86}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{A4BDBD93-47FD-7A46-A981-A4D873721A70}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{8E3A582A-E016-D047-95FD-9E6A3EE5D33E}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{0F634462-6F23-FA4C-BFED-1CCD8341861C}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{A86EC67D-A66E-6842-ABC9-C33538A230C5}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{F623B8D8-8DD4-A947-82F4-ABD7CAC3A5E2}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{7D2CA2AC-6EE9-EE42-AD4D-2B61BC9B2A67}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{12BD519A-807B-7049-81F3-5223FAA86EF0}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{39973D86-4D1B-9F40-8C86-4BA8186229A7}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{89D24B7F-504E-6E42-AAA2-2EBE9CC0D4FF}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{5AC40AF4-2D3D-E440-AD39-0AF09F3081E3}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{918A765D-0F71-8544-8DC9-B077AE26E778}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{D2915B1D-62C8-7A44-8AEF-42D4D61C28F0}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{2C933630-431B-0F46-975E-FA8B57E8C4F4}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{08AE2598-F159-6D48-B661-1D5F6628C862}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{152CC6E1-6817-E940-932F-440CFE257C4D}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{96FED5AA-A5B7-C54A-A500-6897CE8DD791}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{02BA7517-69A8-D74B-8E32-8E26B6D8DAF4}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{F29BB0DB-8005-194F-B886-CB8561DC51E9}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{FA41DF87-93DE-A345-A347-79DF95D2DBDA}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{D3B1541D-989A-F442-84B7-47911B2F38DE}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{00AEA77C-3431-114E-97EC-BFA44345E824}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{9E4839B8-F229-534E-9C7C-0E49515AAAFD}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{15B25948-3B73-B84F-B7D4-C01E494B0078}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{1257824E-5994-FF46-A0C5-654373C38A50}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{822C3EFE-0E1A-4D4F-916B-C5D39218898D}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{02EC82CB-0E14-B34A-A1EA-7B20DEB96D96}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{C76D798E-8830-AB4D-85C8-DAE1C4086015}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{A78D7C55-88E7-9E42-A790-5570B1D4E5C1}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{AC3D849B-B164-FF4B-B98C-B197817B53B0}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{9852D289-0D8A-6E47-9ADB-0700577FB4F8}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{871FC11B-AD5B-C041-A94A-0CE43FAE5BCD}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{6D22E221-E7F0-9943-A5A7-67159833E080}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{1FD516FD-45FD-0244-B13D-524E71A26DEE}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{47BE72C5-B329-AC4A-B475-5B0D4AEDC002}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{A23301EA-8071-804C-99E1-40448C88ABFE}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{2B2250BB-67F0-A44E-96BE-33BAD453D1E3}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{1D091C86-8ACE-DF4D-9143-36FBEE16712D}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{5CD58CF7-50CB-D14D-ACEB-58A8A6B0C94F}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{CDFBA494-DBBF-4D45-98BF-481FA1620335}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{A931EB07-284F-154D-95A0-F6F92CA8BB91}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{6A61B1A8-17D4-E541-AC62-C05013F98234}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{6EC8BDC4-617D-CD4A-85CA-425877FF0591}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{94BE1C45-BEDF-044D-ACF8-7F11B2C0A5BB}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{68C408A5-E8B1-E44F-8DAA-11CE6F3F5364}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{1476F809-783C-5E4D-8608-72BE06A1CED1}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{664CB5FD-E4EE-9242-9A19-5448F112A308}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{3282E796-88C5-C94C-92DA-2757964A624D}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{3CC2B9AF-5D45-3046-BB4E-331D08299844}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{69E780E9-B5A5-794E-A7AB-0CD8BCDA1DBC}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{E157D8C6-26AF-CE4F-90D0-138070C24A3D}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{8317CEFE-8A10-DA41-B0D9-57181168F960}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{B585AC58-6E92-6D4C-BC01-69180CC2CDFC}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{0D20C8E7-6639-CB48-B18E-1F33089E89D1}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{3A8787E0-0031-E94C-8523-C15FCA71A735}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{127577D6-ABAA-5E46-90EC-9B350CDFA441}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{1E7C55F3-466D-094D-93C2-E633287C9213}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{E5271E91-7E42-924C-AA83-AB75A38F0B70}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{4E2B90FA-5546-8240-BE49-DCFF442E7896}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{00DB4407-1F40-C747-8507-FBBC60A1CCDF}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{786E78D6-1074-D843-90D7-5004E9766EB0}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{67D330D7-5D95-4C4A-AF3A-AEBF5B647FF4}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{291C8D65-6309-D644-9BB3-4F84896E546B}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{77C25363-1EE1-3F4E-858E-6045C372D25D}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{CFF232AE-C312-DB49-AB61-CC8693B0FFF9}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{3E5E3B92-53A5-E04C-8C5B-F39895C6E744}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{AB2F3505-47AB-D34E-AD33-C4BA24BD6880}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{23DAC096-3FD2-8345-8C4A-7A4155E3DF4B}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{36A4A6E4-E721-3C4B-BF0E-A61D064F7F13}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{3EA74A09-A036-F74A-B8B1-91DE734B5317}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{B6BF1DC0-E1FB-8343-9830-665787BBCCCA}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{17BA44FF-C5F3-EE4D-92EF-1B6CC02E7A45}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{953A6F0D-AD3E-B94D-8BDE-CA70DD5B6584}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{AE57560F-1B9E-FC4C-B25A-A14C9E986831}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{798105ED-A640-EB43-835C-6D1F336F93DA}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{6F484268-F540-E543-8C62-6C63DD9811A4}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{9E825305-42E4-EC4B-A9B8-9D2D183289CC}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{3AAD65D9-C40C-1645-BE4C-B21CF75FF4DE}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{3623DF2B-0DEA-1948-89E5-E564AD8D5E81}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{AB528F46-D4A1-7943-8273-513543A7A1F9}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{918A9C81-95E7-CE46-A1FF-85947BC5D02B}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{8A555E98-E19C-564B-B433-7AA47F69730D}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{E2EAF9F4-05FA-3349-898D-85869406C38F}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{92671EA4-1B64-1341-8325-84181840F6AE}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{331F3406-AA63-0C40-9C68-846051EC6B42}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{D577313D-81BC-3C42-AF77-D94AC128C169}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{B00FBB0C-8EA4-7145-AE80-F949A77128DC}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{E2F2E672-17EC-1E4A-8A34-39521869907A}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{DE2509BB-C854-0142-8892-C207D0058CDB}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{76111932-7C21-C840-8BC9-9746F31873A3}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{B97E04B7-0071-224F-8790-5FDF64B5E2E0}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{9CDF1D9F-CFDC-B24A-9F6D-2C4CC62E6C16}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{6C95BB39-7770-4E44-AC4B-980656439523}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{07EEB28D-7BC8-C24C-8791-425078C6353F}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{D73F66DD-B904-E64E-A6A5-75F9C1CF4BB3}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{BC0C67FC-146B-7C4A-B58B-06CE8AAE4FDA}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{BEF74259-3484-7349-B9B9-E238DF5911CD}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{AF32F021-CE88-BC47-A717-21DF83BC79EF}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{8A2EC519-1A72-2647-A125-AB48221DC9E2}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{4CDFEAAD-9ED9-E143-AF67-DC7A8EDD29FA}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{465C0172-4CF5-6343-9160-4C784EC8E61D}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{DE53DA91-AC4F-A14C-A7EA-54DB55E4E7BD}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{ED0DA98C-276F-D946-AC1B-94B368DBB53E}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{A854B24E-67B2-F041-9BA7-EAFFC29B0896}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{C1910980-CA2A-BA48-9E7B-3373FAF2A6B0}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{612DBD44-7DC8-2949-B5E8-FE812250B5FE}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{68A388FB-E7D0-BA45-B868-194C16A7C9C2}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{E77B5375-FAF9-4A43-8307-194A1E1CB16E}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{2B3CF6EA-53D6-8442-906D-717A14427AF8}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{23E4AA7F-9D7C-794D-8A98-3FD9A26C1D13}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{6632A221-EEFB-164B-A7D5-8D1A01319283}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{1185C24D-E92B-FC47-9AE9-98BC0626CC2A}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{CB2F5DD0-7479-6440-AB50-E2E884C31414}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{970B5B39-D111-EA47-8102-ACEEC1491C42}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{E2823DD7-30A6-4E49-A139-C7B9CBEB3D41}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{EE623410-C407-DE46-A5E8-263A92A6FF72}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{8F986E76-C1E2-2040-95E2-BEDF14B6804D}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{CEC4EBDF-3A09-0040-BAAE-0CFC8E057DEF}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{DD762EB2-4858-3048-9F36-A9215EF600B7}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{58D6EA7B-1CF4-F440-AA45-C1FCE6347A4F}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{C5A83609-0D1F-2449-A48B-F9D21F8A9D48}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{0C028F93-3DCB-0549-9291-D650043B2E46}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{F8417627-A580-2642-A915-6D5EF70DA2CA}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{39187311-A431-ED4C-A320-51097A063D26}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{94884ADA-FECB-3C40-8D2F-6E1F2BC6B938}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{11272695-DA35-9A4F-B6A0-F866CC1D14C4}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{504EBA34-A2C7-8E4E-8808-DFE95FC669BA}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{84F903DD-7AD8-4840-8597-2AF0DFB2B48E}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{856430F8-7A38-7F4A-9938-AFE6A6777832}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{B4107C47-4E4A-884E-A1E5-7A2342405862}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{D0E9C0FF-8F29-3043-86DF-ED31987A74E7}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{A61A82AD-E8D4-E34C-B05A-FB0D3793689D}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{0DCA9364-FB4C-0245-AA3C-914CE7B25CF4}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{5C7DFC55-15F9-804D-B352-1FEAACC721B4}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{6422688F-5CBD-6C45-8637-E2EB1B3AD33D}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{B608691C-D456-A14C-B0A7-D091DB1BC0F8}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{B63959E7-D139-DB4C-A735-62D5574760A9}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{245FFF31-AA8C-0D41-A980-2BC366D0CDC2}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{E557F218-4D7B-F248-9746-42F360326877}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{C2424FF7-4E2D-DD4E-B691-649E082DEDC0}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{29B3145F-95AB-BC43-AFEB-DD92D8DB580A}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{F0DA52F0-C86A-9A49-9E80-457B5238F349}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{8F5683C4-C907-4441-815F-ECCC0A2660D9}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{77EF0F1C-353E-7746-91E9-C5648E859650}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{8176558B-FC60-744F-B1FE-6EB2ED23C98A}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{B7055CEE-8297-3141-A399-DFF07D0C7267}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{688C06A7-5342-C449-BC52-25DFF8EC03FF}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{183BE072-4CE2-0A40-A695-4D8175544D4F}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{6EE41631-ADFB-6448-8471-C74059C692A5}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{C51AE6B2-AB76-D148-BAB5-0831CCADB613}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{360A4FBC-6BB7-824A-87CA-B31006E70CA0}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{2E2A8FC4-DB6D-B548-8CC5-C88C695098B2}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{73F57B6E-B36B-1F42-A01F-D40432CFB6E6}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{E44A2BE4-4418-7849-AF8C-74390CC30107}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{066C4264-E9FE-9543-B504-382E531688A0}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{398B5358-EFC2-1447-A9CF-4B3428C00926}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{0A039C6C-2D7F-724C-9762-A2B06DB8FE22}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{B4EE02F0-FA0C-DD4A-BE3A-FE0F4F0F5263}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{899D2BD7-4C00-6440-BBD6-43DC2620BCDB}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{7FD2EBC7-7A56-9641-9F4F-01974EA87989}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{296E3B72-CDA6-4C4F-829D-121D048DD6C6}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{6EF149CC-A32A-BA4E-9E25-0EC968F58985}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{957020A0-0A33-DA42-BF96-3E289167A856}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{53FABF49-242C-F64B-A644-612A58633247}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{12ECA800-92CF-9342-9858-6DB7F9F12CA6}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{AD22C082-263C-4A43-A91E-15DB721A5C85}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{45A75B5D-13C7-5A42-AC98-F6F2FCAAD97B}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{D3B5E7B0-F1E7-C84E-81BE-DC354E9DEA73}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{FB1D8C8C-BD81-E049-BD0E-593772D49DEF}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{DE002F4B-70A5-9145-A9B4-1D787CE38BE5}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{9DCF8C7E-99E9-CB4E-81DA-EFB95F5BEBBA}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{5D48C8D1-6DD5-6240-BC69-A718D4B8FD73}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{E906EFA6-2CC9-354C-BCDD-591ADF968D67}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{368DD225-0983-834A-B35C-EDCC5CBC15FB}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{E94DE7A1-01FF-124A-B23E-E465EB878D1A}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{D777858F-4036-9B4F-90D5-F09BE35559C5}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{1B8FCBFD-8F2C-7F47-9646-F72CB84F3BCD}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{E936F941-DC61-014F-831D-2337A6672072}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{142456B2-A9F7-E445-A01F-1E625A79CB2A}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{39BC3D2B-2249-A046-A156-A395D2C22465}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{F45C5C65-611B-FA47-9CA9-E9E26E051AD8}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{ED4B1E4D-22D2-5B4C-9293-9576E1DEBB1C}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{BEB27AF8-A84A-E345-9BCC-CA7341A40972}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{78F478EF-B49A-0F4F-A626-6F3305EF07EC}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{E075AC87-E91E-DE4E-B3B9-3D90DC9EDAEB}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{9E5292C0-BC73-754F-A59A-B04706CD018F}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{E87650D4-B49C-A847-99B3-B3D79252151F}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{128E737D-9156-084C-B8E7-08D5E5AEB0FC}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{2BAFBA68-604F-D64E-AB99-B95980D57CB1}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{A8588B7A-3D9E-FE42-A45A-240E7C2FF4D0}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{1719F339-6D47-F442-96D2-7E379A207EEC}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{3A98632E-143F-DC40-AB1F-AEA17417EA2D}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{5B183FF5-2F47-5244-9F9B-4AC4491654A4}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{1036973A-18DE-4248-B348-3FA8FC60CB4B}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{E1FE268D-EA61-254A-A6B3-76068C49BD6D}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{6E233914-926D-9141-B8A5-D05194FC8901}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{3ED0CD37-3563-054B-91A1-BC2C045A02E0}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{597B6864-96D7-E64C-BDD9-AFF9509B6E44}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{20451239-55D1-2742-AB49-848FBAF4D6D6}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{82725AEC-ACA4-FD4A-8623-F417800B39B3}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{0779CF0D-9725-DD41-9568-AACC4373DEC8}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{4EA166A6-286B-EF4A-BEB9-58AE9B6ECA66}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{3063B077-D518-C748-BB3F-53185BA1C7BE}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{C79BC6A2-0AE1-FB4C-B7D6-5E2B024F1491}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{176BB588-D755-9748-9D57-E19ABF430300}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{5163F00F-263A-724D-A6F9-8D9AA5187DD1}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{F9DA4D9A-6485-8D4B-9162-EB4E93D0B38E}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{FA20BB27-25A7-E34A-9B54-59BC0F615C1E}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{79A8F066-45EF-2F4C-9043-1A95FC02833C}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{79E07386-8246-E345-96C0-5408F23CE030}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{A3D2DDC7-FBB9-9D40-A968-721A410B9EE2}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{DC17FAC8-7F57-CB47-89F2-3844CDD204C1}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{F62FC1FA-A98C-074D-85A6-6CFDB9D629D8}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{D31EAAD3-3277-FC4F-99EC-4A170D33ED4D}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{F9326BCA-D220-494A-9B56-28A085C8A0B8}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{EF4F550C-7090-8B4E-B702-BB63BA5E9BA9}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{887DA4F2-0125-6145-88F7-DA1BBCC0584D}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{7016AA44-DA8E-B740-9287-55784E9ADA60}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{81DE803F-9740-F841-BFF3-87E21A3F17C6}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{F3E7A022-FEEE-EB42-8169-0657B3C5802C}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{32250F0C-7E8B-F54F-B497-39856DBEB9F8}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{FCC4E55D-74E4-0D40-B209-091AA55981D3}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{4FD8E839-E6F9-434D-996A-F48E31A9B2BC}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{01B158BE-8CF4-A142-93AA-320DD38AD2F2}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{F8BB7196-6687-9448-84BF-D6D4DBFDADBF}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{B539DE5F-ACC3-434A-856A-2D98D6A6C849}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{49CEA8F4-AAB8-EC48-B4E5-52F76C076FD9}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{0624E089-F806-1340-A9CC-21069A64EF39}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{6F3CB651-C3D6-AC41-8421-3224EE5FE984}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{C9E09092-4C87-B547-83FA-9248568C400E}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{FB843948-DCD4-F444-9399-19B5858EFDCA}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{FF26E7D9-950B-AA4D-9383-F398D843CEFA}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{BBD53290-B534-5A43-85DC-ACF38C36D180}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{C2936BA4-55C7-404C-BBA4-5AD1AA90DDD6}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{4547A946-7C84-0048-92E5-736B763C83E0}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{247AFB14-C259-1643-99C6-31BE9B98B525}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{61CD9EDB-E108-A945-8A7C-89B9EAF7AA04}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{C6B7D9D7-4334-C040-9C02-3B81B42C0DB8}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{15D14D61-CD57-7349-91A1-EC6E9DDE71DE}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{DE76383E-9530-934A-93FE-5385B4CCAF6C}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{883E7BF0-18B2-EE45-BD54-AF22FD610986}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{68203495-6D06-FE43-956D-8130CF2F1E01}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{B06BE6EE-A539-1A4E-81A8-108F5149BAF3}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{EA7B746D-5326-F941-9C6B-E4AB50E7C472}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{3ECF0C62-CE72-EB44-B574-D50D89F980E4}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{44C35C80-141C-4A4F-9CF9-6B63943A53EE}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{218A64A6-533E-DF4A-8A72-B3A82DCDAF1D}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{F5CCFDFB-E2A7-304B-B0CB-6C84EB0E8E9B}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{3F50C111-3CD9-8047-831F-46D10877F618}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{A044BF11-9642-7E41-9313-39767C1AD54D}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{F159330B-A72E-174C-8F37-A483EA541787}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{510A8562-7D45-8A4B-9151-23789119E24A}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{4621E6FF-46C3-1A48-9A58-12AA0B668190}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{BC65A01C-776F-744E-B3E8-F57F46F0E1FB}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{129686BE-6609-B140-8FB3-8E2A98F12169}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{561CB942-6981-6549-8D70-6864160FA564}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{A0EF599D-8B39-9046-8865-2C025A90C5AB}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{19ADCBCD-1AA7-1741-9043-B8C510EF1195}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{18840DF3-0332-C040-9535-A2654EB4CF5F}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{C8FEDE18-3E33-184B-8B2D-A50018C9F3CA}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{31655B58-834F-E244-A755-2DEA0A24E903}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{7F32326C-D352-0647-B6EE-4F5BAB473CA8}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{783D1227-0859-6A41-A7AB-FFA4FF937248}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{5B89232C-B4F9-7B42-A86D-612831161278}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{C69C66ED-C54A-AD46-A473-EB368233BB30}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{E26FCDDB-A8F2-CE46-9E1D-0CC291E81C00}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{01B1ACAE-F8F6-8844-A872-71D1D1BB9F63}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{6B667E9E-2271-4D4F-AF34-E8F6D8B495DC}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{23F21A3F-F904-AA44-B28D-C9603B934FAC}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{3A2A340C-0897-4F47-9CEB-C5CDA4BDF6C3}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{B3639F5C-FD6D-974D-B458-D8EA181B317A}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{0DD7AC14-F18A-F842-9D59-ED86BAB7E003}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{2E3F1887-82DA-CF49-A8CF-F27DF8C7A90A}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{CE7EC9BA-3122-8244-8009-837CD385AFC4}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{7D4868BD-F01F-9845-989F-C46DC8010B72}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{482B4B1D-0DD2-D246-9ED2-7E2A1A5F83D9}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{BBF96834-420C-9B47-9FCC-8567519AF9D2}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{94E0874C-79C4-A149-9EBA-1C442C7F1401}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{CC1C666D-57F0-9349-BD3B-A22AD9A23663}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{F90DB81F-B71C-B141-A554-64DEE920419C}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{DAE8F1A4-62DC-1140-BB5B-DA542989F100}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{15EBEF1C-7F2A-C346-8049-67EB898B9D15}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{7F78D94C-9958-9440-92F9-57E3D22CBFD0}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{83415803-3EFF-2E4C-89F3-0EF1334CBDBC}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{EEB303E7-82C3-A441-B909-7253242E6742}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{05C8F831-D042-FA4E-9C6A-08158542F643}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{38A1ECAE-DB79-FF46-B8D1-86B4FD812104}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{C45B0409-3E63-1142-9B7E-84466134F12E}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{BF4EFBD2-8FA0-5A4C-9ED4-F304E755C315}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{AD3BABFE-64E6-0540-8E40-B49E76879EFE}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{F696851A-C283-254A-A0DC-D48920D0875F}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{37C3E660-2F68-8C48-A6EF-84F8A95480B4}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{76A26DCF-5583-5E4B-8890-616B1BBE4AE2}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{501E2BE2-68C9-6B45-AD10-829F15B0F811}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{FA9905C8-720F-C24A-AA5B-2958D4C8CEF7}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{68078D9B-3989-5A40-8E96-3855B601BEB0}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{3F10DE2D-BA8B-1648-A13F-CD8677C23E3D}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{209D4729-D3B6-E043-B804-FDE9BD798D49}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{5051DCD4-3A7F-384B-B0E7-A18040440243}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{06BCB460-5576-964D-981A-250E0EA0F57A}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{A368CADF-1CC6-124A-9515-6113D6D1603E}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{3F9DA6C6-C6BA-7A4F-8E45-C4672177B985}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{64786CB1-1F28-864C-B2BB-F7698D9FCE54}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{848A18D5-FE64-3B42-8C00-9DA1A21B39EC}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{CB3888EE-722E-E245-A96C-1D42245E3689}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{060F91F9-DB87-EB4A-88C2-55BBF0C1706A}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{2BC1CE6F-BD5F-8648-9DDD-AC886A75FDA2}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{91E2230F-C892-964F-9E78-62BA47BA0071}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{D285CADA-CD70-9246-9344-B333510BA64C}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{68CD0A5B-2AC9-2A4E-9849-D602C7C240B7}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{256D522E-D9AF-3642-8AD4-6B5A0293BFCD}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{9A5626E5-EB23-8E42-9B72-4077D31F34DF}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{7FF1FD45-9887-394C-BCAF-77D2CB5B7336}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{B359868B-21AA-1848-AB9B-C97D17E122AF}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{BFBFD8F4-1977-A74A-B78F-BC9B07854ED9}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{5247A99F-893A-9C42-8501-2DA03088047B}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{33430DFC-49D8-3645-B00E-C7718B72FADA}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{3B6A7FE8-35A3-A741-99EE-69446C8B2DFA}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{2A926136-6BCD-804E-98D2-2CFAEF9A707F}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{90D4DADE-AE13-3543-A1F9-036F214B9A1A}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{477371AB-CF53-114B-9EAB-28F6FAD9FE68}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{FAE189C5-F70A-0848-8F87-7CDD4E91B32B}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{97444E68-8E68-2F4D-ACE0-D637956E6422}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{05A2306C-E4AB-5340-B87E-F076811804D3}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{42C880DF-09F2-794F-80D4-007A22768C7E}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{F9B9AF76-21A7-B44D-9CE7-AB57A09D1351}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{336CCD4F-37C7-C844-AC42-2586310B6940}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{CA7E2D41-E4E1-D142-956F-A54AC3F02498}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{4DD044AF-632D-CA4E-9988-5B956CC71494}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{68130F8F-333D-9940-A289-EF6BD26A9E64}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{66B2D449-CB30-2740-AB18-0D56AAEB08F6}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{9A80EE61-E010-9645-AB46-A39175BF7291}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{9AEA7086-2F21-7143-953F-1EE13696A121}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{42611664-EDA0-9941-AC3B-11357D6E7AD0}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{5D50902E-2C16-EB4E-9370-ECA7C752E7F0}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{6DD184A4-6D89-764A-8717-90E2A0965F8A}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{00DAC4B9-BE4A-C54B-9622-42D34CF673EC}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{8C508308-D90B-424E-971F-C14D0C0224A9}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{10777AF8-7386-3B4F-9FE0-C10745D977BB}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{C5C23AB4-0079-B54A-B38D-BE4C146C60C5}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{C378FC36-7BB6-234A-9A2F-EF4EE5193E95}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{CFD84D2A-037B-F245-951A-CAE942997318}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{5BDA0F16-E8F5-EC42-80D3-3722341F0D42}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{037A4770-D854-754F-B7B7-A22A5582EF20}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{AC16CB07-8DAE-CB4B-8F00-81FEFDE44A33}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{666CBF7B-DE7A-0A41-9F82-94A5B3CDC8A7}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{2D308C95-B47F-4840-8F1E-A592254E1499}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{0AE267DB-80D3-9842-8BE9-8738E0AF50D0}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{2D461AA6-3B90-554B-8257-D29CA25AADAC}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{F6F53B2C-F3F0-9D4E-8AB6-2284E1E1560C}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{99FC925E-3EE8-D645-994F-62D4EF1038A0}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{C3C58A0D-3342-F041-A439-1FC3A0061265}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{C39C2715-5A14-B442-8F48-DE3997B16CAF}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{2BB19BE2-4528-D742-ABD0-57EFF88EEDB5}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{44E46CDA-A6B3-B940-8FF2-4E57DB4EC8CA}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{9FCDBAD3-ED0F-E94A-B26A-A4F6F6A85320}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{B40DD519-484C-8545-875E-83DCA9BA0766}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{C18F7A0A-8326-4A45-A206-07CC8C2E7CC8}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{537A652C-6BF5-614F-A730-8846544A013F}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{9F1A8C1B-720B-F443-AAB5-EB17E00F85F5}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{E5B08192-CB47-1446-B574-4035B3E4C681}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{5FD32467-75C2-114E-B04C-078FC510CD4E}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{2D9901EC-0CC6-2F47-93C9-1046E7328C28}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{A40B7E7C-D244-8F4F-9B5E-A091A4083FD5}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{299B493E-3632-A94B-96B3-4BEF5BFA9B55}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{2E47BF1A-BB1B-E447-87B0-280E683751D4}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{1B9B6896-BE63-C147-8741-C2893EE52A6F}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{A2FE050D-C40C-F24D-AA1E-C2E79176C9AA}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{841E3DC6-A392-994F-AB48-5DB67B609864}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{FBA63878-EDC9-E34E-A8A1-50B4D1556666}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{B171C948-A83C-FA49-A123-A950D99417F3}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{828EE1D6-E24A-2048-9143-D5DB95FA5B10}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{A378AA4B-CC46-0444-B3F5-AE3025D6BB23}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{7B246A64-AC76-2047-876A-EEA71FDE929A}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{533CE5B9-2FE2-AB45-A910-7DC38904DE80}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{6639F5F6-E1BA-424B-8752-853A3F592DA0}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{F1D62E61-626E-3F44-8BF9-99C111AF68FD}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{AA61B63F-E7F7-654E-A7B5-47C6824F4747}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{AD8EE947-54F2-8942-9BDF-167CF39179E8}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{B1EB37C7-58BC-ED40-9BDB-EA8946B4ED4C}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{EF87E4FA-0B18-AC41-81C3-7188366370A5}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{9542FB2A-05FA-E249-A991-E511FDF06202}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{DFFF3315-C252-034A-B222-E16629646365}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{915E8732-AA94-F747-AC6D-FFAEEC78B355}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{8F002BE0-5FDB-E84E-B8E9-3267E9BD1A00}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{F2175232-84B2-2A4A-BBF2-061ABBCB569A}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{2A9EA48A-4D6A-5146-988D-14F3F70834D7}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{BE8C8DA6-92CA-FA48-8FA1-85E3D7897A89}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{C263017A-520E-954B-BE88-3001664E488F}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{095412A0-6AFB-1940-94E4-42E237C170F5}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{8024FAE7-0421-B54E-8ECF-86B978539935}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{44B524BC-A520-B348-8257-B85BC930B73A}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{9D70BFD2-4656-C344-BE4D-D8CD757A922D}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{7C76EA47-E3C5-BD43-9213-CC397AEEB213}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{EFBC56D9-9963-334C-8906-D4DC7066EF49}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{5C28BF75-EF22-574E-BF65-B9EE98DCACA5}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{30C47B04-D2DD-434E-AE8A-F6B71A157F01}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{B2A0EFD4-556A-FD4F-859E-CAD42908C55D}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{DE712788-123B-E949-8CB1-BF7C06C8BD7D}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{5AFAF0F6-C5FD-CD40-8EF3-0367AA1DDBF4}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{E996D9D6-6498-284F-9424-D09D43997016}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{CB7A096C-D43A-6349-B18F-43B0F899343D}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{BCD5FAE3-755F-2044-9955-C15314E08C24}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{225997DC-E07C-C341-8294-440C79BB404D}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{A94563E9-9080-CC41-BAB0-92EA8B9F7358}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{1C9EBAA4-419D-0B42-857A-136F42E7C18F}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{7B984C7A-5011-7F4D-97A5-DD119B66509D}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{9F30B34C-496B-4F4A-B99E-511D79578356}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{EC3383F9-C3A2-DF46-A995-461D8B7A744E}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{502B3A0A-6D04-3E42-97CC-7DD9CF0BE9C3}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{CF62A7D3-D19E-9E4F-87D4-A8984A6071BF}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{A5AA3B05-F243-AA44-A2AC-63A39936506E}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{2E376BA8-5435-0A4D-9FF7-497FA6713D7A}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{F49A5B84-3742-724D-BB7F-E4123EA93324}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{0320DC67-A5B1-0640-A516-F7133DA96F15}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{3AC730D3-0A2B-BB45-973A-A9D857773B95}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{AD085E70-1FA9-9442-8EAE-5183A8F97C78}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{A34F224C-5E1C-034A-8823-38463FD9B37E}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{CF58FFBB-AA80-554B-A9CE-E61736BA6BE5}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{D6D11882-2913-3D41-A591-2D2BE51F8033}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{0877690F-4D25-5C44-B2B5-8A10868B42DA}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{DEA37C27-2FC9-164A-B524-3BE9FABBF933}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{0575A5D7-AB35-7048-B2A4-477FEF5AA4D1}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{28837B96-6742-FD49-975D-F93474029A57}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{A95C3471-71EB-1F4B-A274-83C357AA8CD0}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{4292B5FD-EFBA-7A42-B6F6-37910D6A10A7}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{D62351C1-AC0D-5A4F-9DC2-53F649862FAA}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{94082986-8ADE-9247-8510-85C153EE51C1}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{410C4006-6B1E-A947-BD86-B844D431B1D3}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{26D64242-483C-3646-B6E5-69315FEE45AF}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{482B04D0-DAB8-014B-B04E-CE3D15721D12}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{62CFFB0B-DB23-3340-9F39-C357CF69F788}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{E252501F-FC54-F940-AD61-F0AC0DACF1A8}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{404191C3-F8ED-2E44-BC50-76A1DF2EBBA8}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{E8ECE8DD-5B7C-3D41-B8F0-E41F7DF8E176}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{2F490BE0-F57E-C646-8702-77E0A31898A8}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{17C65BE9-92CF-1E48-937C-25009C7815AD}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{65D3CDCF-0B83-DE46-9184-1D67A0E287A6}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{60022090-5ED6-EC42-8930-CEADFAF3EA55}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{6F3C38BF-6E1B-8C4E-9CCD-138FCEAA6824}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{C0417C2C-D350-614A-A3D0-355603763464}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{E6984EF7-6A48-784E-A95E-B46B183DDC9B}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{654D8782-C260-E040-B859-7B40EE9D8E25}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{F6EE9B71-6AE6-BA42-8690-7509B1911DD7}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{58D8FF4C-9E76-E840-9FC3-093D3A7C8110}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{7316342E-ADE7-2B49-9388-3B8A6D55CE3D}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{29B72C37-D992-614A-99BD-C2969C9CE77E}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{EAF4B66C-84DF-9F4C-8818-4F2B9EDE6D25}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{A38635F5-1640-DB4C-8CD3-90D1E73B3BE2}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{1D7FFA6C-2715-A444-9F89-728C51069E3E}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{26EEE4CD-16AB-094D-9E08-A61354174732}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{93D21694-6989-3440-BB50-66DADBFDE524}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{4798A089-B0E3-4041-970F-A255747B4316}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{473AC13D-41B6-284F-929E-207DDF2DD1BB}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{3C958BD4-BC63-CA42-A2A2-9BA137B5AD51}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{71BEDD5E-FADA-7B46-8E49-BDDA7C7744CF}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{01979EA3-1856-3D47-B57B-37428B60E7E4}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{704D8697-A1CD-B849-8A81-B927FA50643E}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{0807E5E8-2933-7B48-BDBE-9B2162A62ADB}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{63F0C106-AAB1-3E42-BF40-C58030599A1B}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{85AC5A97-A987-324B-97E9-F79B2C2087F5}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{45FC07EF-214A-1D42-8A24-6871F2306CA8}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{CB726C23-83DD-D546-94FA-18C2A8D3EB54}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{CA60BD76-60DB-D743-975E-51EDACA59183}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{87C85446-63BF-1F4F-BF3A-FCBE7CE34286}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{535AA6F0-3BF6-B740-A653-0DD3D8F8C06D}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{65CF8305-F6CB-BA46-802A-EC2F97B93F35}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{86CC8579-939E-3841-826A-F1BD567AEBC7}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{6ACB6010-A442-F34D-B35D-09F648B4D3CB}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{B671DD13-6A39-3649-86A4-189B417110FF}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{8EF253EB-60D6-2547-BDD2-9D6BB7A9E12D}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{423F74A9-DD97-1C41-AF3A-FB003010053A}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{C6EA270F-AD6E-9949-9C06-493D4DBF2B47}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{8A2C76A1-B4E6-D34C-9402-3F2C79540595}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{C855C14F-3D7F-F94E-B54B-4B112086F00E}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{AC3F39F8-746A-4F41-AF50-02BA0E65DD01}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{0CD2AABB-246D-3444-88A8-2E4E098B5987}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{6993D488-8CB4-E745-8173-D07B6FF76916}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{72E01B9D-DCF4-994F-9498-F0C5ED2DAA06}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{AE017492-4637-604E-BEC5-F8CC4207B398}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{5B129333-ABAF-4644-A040-36209D12C9D7}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{62523651-463C-F14A-88B5-D59EC56B9D3E}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{CB3203E6-9B8B-C646-ACD3-546946571451}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{6B22A76B-9393-5040-8BF4-BC9B5A97A989}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{2CDE7104-2D4B-FF49-8316-EFA6113E73D1}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{CB2400A3-7F5F-224B-9C96-85AAC8A1B642}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{D8E4AF14-5F5E-384A-A3F1-8F022E7918E6}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{975C4DB7-DEDA-EC43-AB2D-26D9347B0A2A}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{00ACCCF7-DEDE-D44B-9D17-A2D9C1A92C4E}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{04612FE8-5DD8-9049-8798-9E2BA2F1CB27}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{06F4EBC8-BA8D-4C47-BE70-7E6DF688359D}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{F16E7678-ED7D-704A-9AF1-5CCFD9CD65FE}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{CC806B4E-92AF-B842-B4B8-0A40FAA80D2C}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{3B8A45FB-5664-6941-886A-4C2098A23D45}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{88D6FC3B-92C8-9543-B0C1-EA1EA6B90674}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{7B93AB05-F940-0547-8969-7DEF3B554D26}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{87479BC2-1B1A-0047-BB95-AD7F63C944C2}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{607E7E00-E387-2640-A00E-D6635D8A69D9}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{7413886E-214F-8841-8A06-B6FA283838D5}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{5030EF03-2522-7A4B-97D1-1C9C5CA2EA97}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7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8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9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2A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2B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2C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2D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2E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2F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0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rgb="FF92D050"/>
    <pageSetUpPr fitToPage="1"/>
  </sheetPr>
  <dimension ref="A1:CC64"/>
  <sheetViews>
    <sheetView showGridLines="0" zoomScale="90" zoomScaleNormal="90" workbookViewId="0">
      <pane xSplit="1" topLeftCell="B1" activePane="topRight" state="frozen"/>
      <selection pane="topRight" activeCell="B1" sqref="B1"/>
    </sheetView>
  </sheetViews>
  <sheetFormatPr baseColWidth="10" defaultColWidth="8.83203125" defaultRowHeight="13" outlineLevelRow="1" outlineLevelCol="1"/>
  <cols>
    <col min="1" max="1" width="32.1640625" customWidth="1" outlineLevel="1"/>
    <col min="2" max="49" width="8.33203125" customWidth="1"/>
  </cols>
  <sheetData>
    <row r="1" spans="2:2" ht="20">
      <c r="B1" s="71" t="s">
        <v>269</v>
      </c>
    </row>
    <row r="24" spans="1:81">
      <c r="B24" s="3" t="s">
        <v>417</v>
      </c>
    </row>
    <row r="25" spans="1:81">
      <c r="B25" s="3" t="s">
        <v>548</v>
      </c>
      <c r="X25" s="6"/>
    </row>
    <row r="26" spans="1:81">
      <c r="B26" s="207" t="s">
        <v>268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3"/>
      <c r="X26" s="47"/>
      <c r="Y26" s="3"/>
      <c r="Z26" s="3"/>
      <c r="AA26" s="3"/>
      <c r="AB26" s="3"/>
      <c r="AC26" s="3"/>
    </row>
    <row r="27" spans="1:81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8" spans="1:81" s="175" customFormat="1">
      <c r="B28" s="52" t="s">
        <v>225</v>
      </c>
      <c r="C28" s="52" t="s">
        <v>226</v>
      </c>
      <c r="D28" s="52" t="s">
        <v>408</v>
      </c>
      <c r="E28" s="52" t="s">
        <v>409</v>
      </c>
      <c r="F28" s="52" t="s">
        <v>410</v>
      </c>
      <c r="G28" s="52" t="s">
        <v>411</v>
      </c>
      <c r="H28" s="52" t="s">
        <v>91</v>
      </c>
      <c r="I28" s="52" t="s">
        <v>92</v>
      </c>
      <c r="J28" s="52" t="s">
        <v>93</v>
      </c>
      <c r="K28" s="52" t="s">
        <v>94</v>
      </c>
      <c r="L28" s="52" t="s">
        <v>412</v>
      </c>
      <c r="M28" s="52" t="s">
        <v>413</v>
      </c>
      <c r="N28" s="52" t="s">
        <v>95</v>
      </c>
      <c r="O28" s="52" t="s">
        <v>414</v>
      </c>
      <c r="P28" s="52" t="s">
        <v>96</v>
      </c>
      <c r="Q28" s="52" t="s">
        <v>415</v>
      </c>
      <c r="R28" s="52" t="s">
        <v>97</v>
      </c>
      <c r="S28" s="52" t="s">
        <v>228</v>
      </c>
      <c r="T28" s="52" t="s">
        <v>229</v>
      </c>
      <c r="U28" s="53" t="s">
        <v>215</v>
      </c>
      <c r="V28" s="53" t="s">
        <v>227</v>
      </c>
      <c r="W28" s="53" t="s">
        <v>230</v>
      </c>
      <c r="X28" s="53" t="s">
        <v>234</v>
      </c>
      <c r="Y28" s="53" t="s">
        <v>235</v>
      </c>
      <c r="Z28" s="53" t="s">
        <v>238</v>
      </c>
      <c r="AA28" s="53" t="s">
        <v>239</v>
      </c>
      <c r="AB28" s="53" t="s">
        <v>240</v>
      </c>
      <c r="AC28" s="52" t="s">
        <v>247</v>
      </c>
      <c r="AD28" s="52" t="s">
        <v>249</v>
      </c>
      <c r="AE28" s="52" t="s">
        <v>250</v>
      </c>
      <c r="AF28" s="52" t="s">
        <v>251</v>
      </c>
      <c r="AG28" s="52" t="s">
        <v>252</v>
      </c>
      <c r="AH28" s="52" t="s">
        <v>270</v>
      </c>
      <c r="AI28" s="52" t="s">
        <v>354</v>
      </c>
      <c r="AJ28" s="52" t="s">
        <v>360</v>
      </c>
      <c r="AK28" s="52" t="s">
        <v>366</v>
      </c>
      <c r="AL28" s="52" t="s">
        <v>367</v>
      </c>
      <c r="AM28" s="52" t="s">
        <v>373</v>
      </c>
      <c r="AN28" s="52" t="s">
        <v>374</v>
      </c>
      <c r="AO28" s="52" t="s">
        <v>377</v>
      </c>
      <c r="AP28" s="52" t="s">
        <v>380</v>
      </c>
      <c r="AQ28" s="52" t="s">
        <v>383</v>
      </c>
      <c r="AR28" s="52" t="s">
        <v>386</v>
      </c>
      <c r="AS28" s="52" t="s">
        <v>389</v>
      </c>
      <c r="AT28" s="52" t="s">
        <v>390</v>
      </c>
      <c r="AU28" s="52" t="s">
        <v>405</v>
      </c>
      <c r="AV28" s="52" t="s">
        <v>406</v>
      </c>
      <c r="AW28" s="52" t="s">
        <v>407</v>
      </c>
      <c r="AX28" s="52" t="s">
        <v>428</v>
      </c>
      <c r="AY28" s="52" t="s">
        <v>429</v>
      </c>
      <c r="AZ28" s="52" t="s">
        <v>430</v>
      </c>
      <c r="BA28" s="52" t="s">
        <v>431</v>
      </c>
      <c r="BB28" s="52" t="s">
        <v>498</v>
      </c>
      <c r="BC28" s="52" t="s">
        <v>501</v>
      </c>
      <c r="BD28" s="52" t="s">
        <v>502</v>
      </c>
      <c r="BE28" s="52" t="s">
        <v>503</v>
      </c>
      <c r="BF28" s="52" t="s">
        <v>513</v>
      </c>
      <c r="BG28" s="52" t="s">
        <v>514</v>
      </c>
      <c r="BH28" s="52" t="s">
        <v>517</v>
      </c>
      <c r="BI28" s="52" t="s">
        <v>518</v>
      </c>
      <c r="BJ28" s="52" t="s">
        <v>533</v>
      </c>
      <c r="BK28" s="52" t="s">
        <v>534</v>
      </c>
      <c r="BL28" s="52" t="s">
        <v>535</v>
      </c>
      <c r="BM28" s="52" t="s">
        <v>536</v>
      </c>
      <c r="BN28" s="52" t="s">
        <v>550</v>
      </c>
      <c r="BO28" s="52" t="s">
        <v>553</v>
      </c>
      <c r="BP28" s="52" t="s">
        <v>554</v>
      </c>
      <c r="BQ28" s="52" t="s">
        <v>555</v>
      </c>
      <c r="BR28" s="52" t="s">
        <v>568</v>
      </c>
      <c r="BS28" s="52" t="s">
        <v>570</v>
      </c>
      <c r="BT28" s="52" t="s">
        <v>571</v>
      </c>
      <c r="BU28" s="52" t="s">
        <v>572</v>
      </c>
      <c r="BV28" s="52" t="s">
        <v>579</v>
      </c>
      <c r="BW28" s="52" t="s">
        <v>580</v>
      </c>
      <c r="BX28" s="52" t="s">
        <v>581</v>
      </c>
      <c r="BY28" s="52" t="s">
        <v>582</v>
      </c>
      <c r="BZ28" s="52" t="s">
        <v>592</v>
      </c>
      <c r="CA28" s="52" t="s">
        <v>593</v>
      </c>
      <c r="CB28" s="52" t="s">
        <v>594</v>
      </c>
      <c r="CC28" s="52" t="s">
        <v>595</v>
      </c>
    </row>
    <row r="29" spans="1:81" s="187" customFormat="1">
      <c r="A29" s="183" t="s">
        <v>396</v>
      </c>
      <c r="B29" s="184">
        <v>3</v>
      </c>
      <c r="C29" s="184">
        <v>3</v>
      </c>
      <c r="D29" s="184">
        <v>1</v>
      </c>
      <c r="E29" s="184">
        <v>3</v>
      </c>
      <c r="F29" s="184">
        <v>1</v>
      </c>
      <c r="G29" s="184">
        <v>0</v>
      </c>
      <c r="H29" s="184">
        <v>1</v>
      </c>
      <c r="I29" s="184">
        <v>0</v>
      </c>
      <c r="J29" s="184">
        <v>1</v>
      </c>
      <c r="K29" s="184">
        <v>12</v>
      </c>
      <c r="L29" s="184">
        <v>5</v>
      </c>
      <c r="M29" s="184">
        <v>0</v>
      </c>
      <c r="N29" s="184">
        <v>3</v>
      </c>
      <c r="O29" s="184">
        <v>3</v>
      </c>
      <c r="P29" s="184">
        <v>3</v>
      </c>
      <c r="Q29" s="184">
        <v>7</v>
      </c>
      <c r="R29" s="184">
        <v>4</v>
      </c>
      <c r="S29" s="184">
        <v>1</v>
      </c>
      <c r="T29" s="184">
        <v>11</v>
      </c>
      <c r="U29" s="184">
        <v>2</v>
      </c>
      <c r="V29" s="184">
        <v>6</v>
      </c>
      <c r="W29" s="185">
        <v>5</v>
      </c>
      <c r="X29" s="185">
        <v>10</v>
      </c>
      <c r="Y29" s="185">
        <v>4</v>
      </c>
      <c r="Z29" s="185">
        <v>14</v>
      </c>
      <c r="AA29" s="185">
        <v>3</v>
      </c>
      <c r="AB29" s="185">
        <v>4</v>
      </c>
      <c r="AC29" s="184">
        <v>7</v>
      </c>
      <c r="AD29" s="186">
        <v>1</v>
      </c>
      <c r="AE29" s="184">
        <v>0</v>
      </c>
      <c r="AF29" s="184">
        <v>3</v>
      </c>
      <c r="AG29" s="184">
        <v>4</v>
      </c>
      <c r="AH29" s="184">
        <v>0</v>
      </c>
      <c r="AI29" s="184">
        <v>3</v>
      </c>
      <c r="AJ29" s="184">
        <v>1</v>
      </c>
      <c r="AK29" s="184">
        <v>2</v>
      </c>
      <c r="AL29" s="184">
        <v>1</v>
      </c>
      <c r="AM29" s="184">
        <v>4</v>
      </c>
      <c r="AN29" s="184">
        <v>2</v>
      </c>
      <c r="AO29" s="184">
        <v>0</v>
      </c>
      <c r="AP29" s="184">
        <v>3</v>
      </c>
      <c r="AQ29" s="184">
        <v>8</v>
      </c>
      <c r="AR29" s="184">
        <v>2</v>
      </c>
      <c r="AS29" s="184">
        <v>1</v>
      </c>
      <c r="AT29" s="184">
        <v>2</v>
      </c>
      <c r="AU29" s="184">
        <v>8</v>
      </c>
      <c r="AV29" s="184">
        <v>2</v>
      </c>
      <c r="AW29" s="184">
        <v>1</v>
      </c>
      <c r="AX29" s="184">
        <v>0</v>
      </c>
      <c r="AY29" s="184">
        <v>6</v>
      </c>
      <c r="AZ29" s="184">
        <v>0</v>
      </c>
      <c r="BA29" s="184">
        <v>4</v>
      </c>
      <c r="BB29" s="184">
        <v>4</v>
      </c>
      <c r="BC29" s="184">
        <v>4</v>
      </c>
      <c r="BD29" s="184">
        <v>1</v>
      </c>
      <c r="BE29" s="184">
        <v>3</v>
      </c>
      <c r="BF29" s="184">
        <v>0</v>
      </c>
      <c r="BG29" s="184">
        <v>4</v>
      </c>
      <c r="BH29" s="184">
        <v>0</v>
      </c>
      <c r="BI29" s="184">
        <v>2</v>
      </c>
      <c r="BJ29" s="184">
        <v>5</v>
      </c>
      <c r="BK29" s="184">
        <v>4</v>
      </c>
      <c r="BL29" s="184">
        <v>3</v>
      </c>
      <c r="BM29" s="184">
        <v>1</v>
      </c>
      <c r="BN29" s="184">
        <v>2</v>
      </c>
      <c r="BO29" s="184">
        <v>1</v>
      </c>
      <c r="BP29" s="184">
        <v>5</v>
      </c>
      <c r="BQ29" s="184">
        <v>3</v>
      </c>
      <c r="BR29" s="184">
        <v>1</v>
      </c>
      <c r="BS29" s="184">
        <v>2</v>
      </c>
      <c r="BT29" s="184">
        <v>1</v>
      </c>
      <c r="BU29" s="184">
        <v>8</v>
      </c>
      <c r="BV29" s="184">
        <v>3</v>
      </c>
      <c r="BW29" s="184">
        <v>7</v>
      </c>
      <c r="BX29" s="184">
        <v>3</v>
      </c>
      <c r="BY29" s="184">
        <v>13</v>
      </c>
      <c r="BZ29" s="184">
        <v>0</v>
      </c>
      <c r="CA29" s="184">
        <v>4</v>
      </c>
    </row>
    <row r="30" spans="1:81" s="192" customFormat="1">
      <c r="A30" s="188" t="s">
        <v>397</v>
      </c>
      <c r="B30" s="189">
        <v>-14</v>
      </c>
      <c r="C30" s="189">
        <v>-6</v>
      </c>
      <c r="D30" s="189">
        <v>-1</v>
      </c>
      <c r="E30" s="189">
        <v>-7</v>
      </c>
      <c r="F30" s="189">
        <v>-3</v>
      </c>
      <c r="G30" s="189">
        <v>-14</v>
      </c>
      <c r="H30" s="189">
        <v>-32</v>
      </c>
      <c r="I30" s="189">
        <v>-6</v>
      </c>
      <c r="J30" s="189">
        <v>-19</v>
      </c>
      <c r="K30" s="189">
        <v>-10</v>
      </c>
      <c r="L30" s="189">
        <v>-9</v>
      </c>
      <c r="M30" s="189">
        <v>-6</v>
      </c>
      <c r="N30" s="189">
        <v>-2</v>
      </c>
      <c r="O30" s="189">
        <v>-9</v>
      </c>
      <c r="P30" s="189">
        <v>-5</v>
      </c>
      <c r="Q30" s="189">
        <v>-2</v>
      </c>
      <c r="R30" s="189">
        <v>-2</v>
      </c>
      <c r="S30" s="189">
        <v>-1</v>
      </c>
      <c r="T30" s="189">
        <v>-1</v>
      </c>
      <c r="U30" s="189">
        <v>0</v>
      </c>
      <c r="V30" s="189">
        <v>-3</v>
      </c>
      <c r="W30" s="190">
        <v>-2</v>
      </c>
      <c r="X30" s="190">
        <v>-1</v>
      </c>
      <c r="Y30" s="190">
        <v>0</v>
      </c>
      <c r="Z30" s="190">
        <v>-4</v>
      </c>
      <c r="AA30" s="190">
        <v>-6</v>
      </c>
      <c r="AB30" s="190">
        <v>-1</v>
      </c>
      <c r="AC30" s="190">
        <v>-2</v>
      </c>
      <c r="AD30" s="191">
        <v>-8</v>
      </c>
      <c r="AE30" s="190">
        <v>0</v>
      </c>
      <c r="AF30" s="190">
        <v>-1</v>
      </c>
      <c r="AG30" s="190">
        <v>0</v>
      </c>
      <c r="AH30" s="190">
        <v>-3</v>
      </c>
      <c r="AI30" s="190">
        <v>-2</v>
      </c>
      <c r="AJ30" s="190">
        <v>-3</v>
      </c>
      <c r="AK30" s="190">
        <v>0</v>
      </c>
      <c r="AL30" s="190">
        <v>-2</v>
      </c>
      <c r="AM30" s="190">
        <v>-7</v>
      </c>
      <c r="AN30" s="190">
        <v>-5</v>
      </c>
      <c r="AO30" s="190">
        <v>-3</v>
      </c>
      <c r="AP30" s="190">
        <v>0</v>
      </c>
      <c r="AQ30" s="190">
        <v>-6</v>
      </c>
      <c r="AR30" s="190">
        <v>-1</v>
      </c>
      <c r="AS30" s="190">
        <v>-4</v>
      </c>
      <c r="AT30" s="190">
        <v>-3</v>
      </c>
      <c r="AU30" s="190">
        <v>-5</v>
      </c>
      <c r="AV30" s="190">
        <v>-1</v>
      </c>
      <c r="AW30" s="190">
        <v>-4</v>
      </c>
      <c r="AX30" s="190">
        <v>-4</v>
      </c>
      <c r="AY30" s="190">
        <v>0</v>
      </c>
      <c r="AZ30" s="190">
        <v>-8</v>
      </c>
      <c r="BA30" s="190">
        <v>-1</v>
      </c>
      <c r="BB30" s="190">
        <v>0</v>
      </c>
      <c r="BC30" s="190">
        <v>-2</v>
      </c>
      <c r="BD30" s="190">
        <v>0</v>
      </c>
      <c r="BE30" s="190">
        <v>0</v>
      </c>
      <c r="BF30" s="190">
        <v>0</v>
      </c>
      <c r="BG30" s="190">
        <v>-5</v>
      </c>
      <c r="BH30" s="190">
        <v>0</v>
      </c>
      <c r="BI30" s="190">
        <v>0</v>
      </c>
      <c r="BJ30" s="190">
        <v>-1</v>
      </c>
      <c r="BK30" s="190">
        <v>-2</v>
      </c>
      <c r="BL30" s="190">
        <v>0</v>
      </c>
      <c r="BM30" s="190">
        <v>0</v>
      </c>
      <c r="BN30" s="190">
        <v>0</v>
      </c>
      <c r="BO30" s="190">
        <v>0</v>
      </c>
      <c r="BP30" s="190">
        <v>-4</v>
      </c>
      <c r="BQ30" s="190">
        <v>0</v>
      </c>
      <c r="BR30" s="190">
        <v>-5</v>
      </c>
      <c r="BS30" s="190">
        <v>-3</v>
      </c>
      <c r="BT30" s="190">
        <v>-11</v>
      </c>
      <c r="BU30" s="190">
        <v>-2</v>
      </c>
      <c r="BV30" s="190">
        <v>-7</v>
      </c>
      <c r="BW30" s="190">
        <v>0</v>
      </c>
      <c r="BX30" s="190">
        <v>0</v>
      </c>
      <c r="BY30" s="190">
        <v>-3</v>
      </c>
      <c r="BZ30" s="190">
        <v>-1</v>
      </c>
      <c r="CA30" s="190">
        <v>-2</v>
      </c>
    </row>
    <row r="31" spans="1:81" s="187" customFormat="1">
      <c r="A31" s="183" t="s">
        <v>398</v>
      </c>
      <c r="B31" s="184">
        <v>14</v>
      </c>
      <c r="C31" s="184">
        <v>4</v>
      </c>
      <c r="D31" s="184">
        <v>0</v>
      </c>
      <c r="E31" s="184">
        <v>9</v>
      </c>
      <c r="F31" s="184">
        <v>3</v>
      </c>
      <c r="G31" s="184">
        <v>0</v>
      </c>
      <c r="H31" s="184">
        <v>2</v>
      </c>
      <c r="I31" s="184">
        <v>0</v>
      </c>
      <c r="J31" s="184">
        <v>0</v>
      </c>
      <c r="K31" s="184">
        <v>2</v>
      </c>
      <c r="L31" s="184">
        <v>1</v>
      </c>
      <c r="M31" s="184">
        <v>8</v>
      </c>
      <c r="N31" s="184">
        <v>3</v>
      </c>
      <c r="O31" s="184">
        <v>4</v>
      </c>
      <c r="P31" s="184">
        <v>9</v>
      </c>
      <c r="Q31" s="184">
        <v>4</v>
      </c>
      <c r="R31" s="184">
        <v>12</v>
      </c>
      <c r="S31" s="184">
        <v>11</v>
      </c>
      <c r="T31" s="184">
        <v>8</v>
      </c>
      <c r="U31" s="184">
        <v>0</v>
      </c>
      <c r="V31" s="184">
        <v>5</v>
      </c>
      <c r="W31" s="185">
        <v>12</v>
      </c>
      <c r="X31" s="185">
        <v>3</v>
      </c>
      <c r="Y31" s="185">
        <v>2</v>
      </c>
      <c r="Z31" s="185">
        <v>1</v>
      </c>
      <c r="AA31" s="185">
        <v>4</v>
      </c>
      <c r="AB31" s="185">
        <v>4</v>
      </c>
      <c r="AC31" s="185">
        <v>10</v>
      </c>
      <c r="AD31" s="186">
        <v>1</v>
      </c>
      <c r="AE31" s="185">
        <v>1</v>
      </c>
      <c r="AF31" s="185">
        <v>0</v>
      </c>
      <c r="AG31" s="185">
        <v>1</v>
      </c>
      <c r="AH31" s="185">
        <v>0</v>
      </c>
      <c r="AI31" s="185">
        <v>2</v>
      </c>
      <c r="AJ31" s="185">
        <v>3</v>
      </c>
      <c r="AK31" s="185">
        <v>0</v>
      </c>
      <c r="AL31" s="185">
        <v>0</v>
      </c>
      <c r="AM31" s="185">
        <v>2</v>
      </c>
      <c r="AN31" s="185">
        <v>4</v>
      </c>
      <c r="AO31" s="185">
        <v>1</v>
      </c>
      <c r="AP31" s="185">
        <v>3</v>
      </c>
      <c r="AQ31" s="185">
        <v>4</v>
      </c>
      <c r="AR31" s="185">
        <v>0</v>
      </c>
      <c r="AS31" s="185">
        <v>0</v>
      </c>
      <c r="AT31" s="185">
        <v>5</v>
      </c>
      <c r="AU31" s="185">
        <v>9</v>
      </c>
      <c r="AV31" s="185">
        <v>0</v>
      </c>
      <c r="AW31" s="185">
        <v>0</v>
      </c>
      <c r="AX31" s="185">
        <v>1</v>
      </c>
      <c r="AY31" s="185">
        <v>4</v>
      </c>
      <c r="AZ31" s="185">
        <v>8</v>
      </c>
      <c r="BA31" s="185">
        <v>0</v>
      </c>
      <c r="BB31" s="185">
        <v>78</v>
      </c>
      <c r="BC31" s="185">
        <v>2</v>
      </c>
      <c r="BD31" s="185">
        <v>5</v>
      </c>
      <c r="BE31" s="185">
        <v>0</v>
      </c>
      <c r="BF31" s="185">
        <v>2</v>
      </c>
      <c r="BG31" s="185">
        <v>4</v>
      </c>
      <c r="BH31" s="185">
        <v>1</v>
      </c>
      <c r="BI31" s="185">
        <v>2</v>
      </c>
      <c r="BJ31" s="185">
        <v>2</v>
      </c>
      <c r="BK31" s="185">
        <v>2</v>
      </c>
      <c r="BL31" s="185">
        <v>1</v>
      </c>
      <c r="BM31" s="185">
        <v>0</v>
      </c>
      <c r="BN31" s="185">
        <v>4</v>
      </c>
      <c r="BO31" s="185">
        <v>3</v>
      </c>
      <c r="BP31" s="185">
        <v>3</v>
      </c>
      <c r="BQ31" s="185">
        <v>0</v>
      </c>
      <c r="BR31" s="185">
        <v>0</v>
      </c>
      <c r="BS31" s="185">
        <v>2</v>
      </c>
      <c r="BT31" s="185">
        <v>0</v>
      </c>
      <c r="BU31" s="185">
        <v>1</v>
      </c>
      <c r="BV31" s="185">
        <v>2</v>
      </c>
      <c r="BW31" s="185">
        <v>2</v>
      </c>
      <c r="BX31" s="185">
        <v>5</v>
      </c>
      <c r="BY31" s="185">
        <v>0</v>
      </c>
      <c r="BZ31" s="185">
        <v>1</v>
      </c>
      <c r="CA31" s="185">
        <v>1</v>
      </c>
      <c r="CB31" s="185"/>
      <c r="CC31" s="185"/>
    </row>
    <row r="32" spans="1:81" s="192" customFormat="1">
      <c r="A32" s="188" t="s">
        <v>400</v>
      </c>
      <c r="B32" s="189">
        <v>-21</v>
      </c>
      <c r="C32" s="189">
        <v>-8</v>
      </c>
      <c r="D32" s="189">
        <v>0</v>
      </c>
      <c r="E32" s="189">
        <v>-12</v>
      </c>
      <c r="F32" s="189">
        <v>-7</v>
      </c>
      <c r="G32" s="189">
        <v>-20</v>
      </c>
      <c r="H32" s="189">
        <v>-27</v>
      </c>
      <c r="I32" s="189">
        <v>-59</v>
      </c>
      <c r="J32" s="189">
        <v>-25</v>
      </c>
      <c r="K32" s="189">
        <v>-21</v>
      </c>
      <c r="L32" s="189">
        <v>-11</v>
      </c>
      <c r="M32" s="189">
        <v>-11</v>
      </c>
      <c r="N32" s="189">
        <v>-11</v>
      </c>
      <c r="O32" s="189">
        <v>-6</v>
      </c>
      <c r="P32" s="189">
        <v>-3</v>
      </c>
      <c r="Q32" s="189">
        <v>-2</v>
      </c>
      <c r="R32" s="189">
        <v>-6</v>
      </c>
      <c r="S32" s="189">
        <v>0</v>
      </c>
      <c r="T32" s="189">
        <v>-3</v>
      </c>
      <c r="U32" s="189">
        <v>-6</v>
      </c>
      <c r="V32" s="189">
        <v>-2</v>
      </c>
      <c r="W32" s="190">
        <v>-4</v>
      </c>
      <c r="X32" s="190">
        <v>-11</v>
      </c>
      <c r="Y32" s="190">
        <v>0</v>
      </c>
      <c r="Z32" s="190">
        <v>-9</v>
      </c>
      <c r="AA32" s="190">
        <v>-1</v>
      </c>
      <c r="AB32" s="190">
        <v>0</v>
      </c>
      <c r="AC32" s="190">
        <v>-3</v>
      </c>
      <c r="AD32" s="191">
        <v>0</v>
      </c>
      <c r="AE32" s="190">
        <v>-2</v>
      </c>
      <c r="AF32" s="190">
        <v>-1</v>
      </c>
      <c r="AG32" s="190">
        <v>0</v>
      </c>
      <c r="AH32" s="190">
        <v>-2</v>
      </c>
      <c r="AI32" s="190">
        <v>-9</v>
      </c>
      <c r="AJ32" s="190">
        <v>-5</v>
      </c>
      <c r="AK32" s="190">
        <v>-2</v>
      </c>
      <c r="AL32" s="190">
        <v>-2</v>
      </c>
      <c r="AM32" s="190">
        <v>-5</v>
      </c>
      <c r="AN32" s="190">
        <v>-3</v>
      </c>
      <c r="AO32" s="190">
        <v>-3</v>
      </c>
      <c r="AP32" s="190">
        <v>0</v>
      </c>
      <c r="AQ32" s="190">
        <v>0</v>
      </c>
      <c r="AR32" s="190">
        <v>-3</v>
      </c>
      <c r="AS32" s="190">
        <v>-1</v>
      </c>
      <c r="AT32" s="190">
        <v>-2</v>
      </c>
      <c r="AU32" s="190">
        <v>-2</v>
      </c>
      <c r="AV32" s="190">
        <v>-1</v>
      </c>
      <c r="AW32" s="190">
        <v>-1</v>
      </c>
      <c r="AX32" s="190">
        <v>-1</v>
      </c>
      <c r="AY32" s="190">
        <v>-1</v>
      </c>
      <c r="AZ32" s="190">
        <v>-2</v>
      </c>
      <c r="BA32" s="190">
        <v>0</v>
      </c>
      <c r="BB32" s="190">
        <v>0</v>
      </c>
      <c r="BC32" s="190">
        <v>0</v>
      </c>
      <c r="BD32" s="190">
        <v>0</v>
      </c>
      <c r="BE32" s="190">
        <v>0</v>
      </c>
      <c r="BF32" s="190">
        <v>0</v>
      </c>
      <c r="BG32" s="190">
        <v>-1</v>
      </c>
      <c r="BH32" s="190">
        <v>-1</v>
      </c>
      <c r="BI32" s="190">
        <v>-1</v>
      </c>
      <c r="BJ32" s="190">
        <v>-2</v>
      </c>
      <c r="BK32" s="190">
        <v>0</v>
      </c>
      <c r="BL32" s="190">
        <v>-5</v>
      </c>
      <c r="BM32" s="190">
        <v>-1</v>
      </c>
      <c r="BN32" s="190">
        <v>0</v>
      </c>
      <c r="BO32" s="190">
        <v>0</v>
      </c>
      <c r="BP32" s="190">
        <v>-2</v>
      </c>
      <c r="BQ32" s="190">
        <v>0</v>
      </c>
      <c r="BR32" s="190">
        <v>-4</v>
      </c>
      <c r="BS32" s="190">
        <v>0</v>
      </c>
      <c r="BT32" s="190">
        <v>-9</v>
      </c>
      <c r="BU32" s="190">
        <v>-7</v>
      </c>
      <c r="BV32" s="190">
        <v>-6</v>
      </c>
      <c r="BW32" s="190">
        <v>-2</v>
      </c>
      <c r="BX32" s="190">
        <v>-1</v>
      </c>
      <c r="BY32" s="190">
        <v>-2</v>
      </c>
      <c r="BZ32" s="190">
        <v>-3</v>
      </c>
      <c r="CA32" s="190">
        <v>-1</v>
      </c>
      <c r="CB32" s="190"/>
      <c r="CC32" s="190"/>
    </row>
    <row r="33" spans="1:81" s="187" customFormat="1">
      <c r="A33" s="183" t="s">
        <v>399</v>
      </c>
      <c r="B33" s="184">
        <v>6</v>
      </c>
      <c r="C33" s="184">
        <v>7</v>
      </c>
      <c r="D33" s="184">
        <v>5</v>
      </c>
      <c r="E33" s="184">
        <v>2</v>
      </c>
      <c r="F33" s="184">
        <v>2</v>
      </c>
      <c r="G33" s="184">
        <v>2</v>
      </c>
      <c r="H33" s="185">
        <v>9</v>
      </c>
      <c r="I33" s="185">
        <v>1</v>
      </c>
      <c r="J33" s="185">
        <v>3</v>
      </c>
      <c r="K33" s="185">
        <v>1</v>
      </c>
      <c r="L33" s="185">
        <v>0</v>
      </c>
      <c r="M33" s="184">
        <v>2</v>
      </c>
      <c r="N33" s="184">
        <v>2</v>
      </c>
      <c r="O33" s="184">
        <v>1</v>
      </c>
      <c r="P33" s="184">
        <v>9</v>
      </c>
      <c r="Q33" s="184">
        <v>3</v>
      </c>
      <c r="R33" s="184">
        <v>7</v>
      </c>
      <c r="S33" s="184">
        <v>8</v>
      </c>
      <c r="T33" s="184">
        <v>1</v>
      </c>
      <c r="U33" s="184">
        <v>8</v>
      </c>
      <c r="V33" s="184">
        <v>7</v>
      </c>
      <c r="W33" s="184">
        <v>7</v>
      </c>
      <c r="X33" s="185">
        <v>6</v>
      </c>
      <c r="Y33" s="185">
        <v>0</v>
      </c>
      <c r="Z33" s="185">
        <v>7</v>
      </c>
      <c r="AA33" s="185">
        <v>16</v>
      </c>
      <c r="AB33" s="185">
        <v>0</v>
      </c>
      <c r="AC33" s="185">
        <v>3</v>
      </c>
      <c r="AD33" s="186">
        <v>3</v>
      </c>
      <c r="AE33" s="185">
        <v>3</v>
      </c>
      <c r="AF33" s="185">
        <v>6</v>
      </c>
      <c r="AG33" s="185">
        <v>1</v>
      </c>
      <c r="AH33" s="185">
        <v>1</v>
      </c>
      <c r="AI33" s="185">
        <v>5</v>
      </c>
      <c r="AJ33" s="185">
        <v>3</v>
      </c>
      <c r="AK33" s="185">
        <v>3</v>
      </c>
      <c r="AL33" s="185">
        <v>0</v>
      </c>
      <c r="AM33" s="185">
        <v>6</v>
      </c>
      <c r="AN33" s="185">
        <v>5</v>
      </c>
      <c r="AO33" s="185">
        <v>4</v>
      </c>
      <c r="AP33" s="185">
        <v>5</v>
      </c>
      <c r="AQ33" s="185">
        <v>9</v>
      </c>
      <c r="AR33" s="185">
        <v>2</v>
      </c>
      <c r="AS33" s="185">
        <v>2</v>
      </c>
      <c r="AT33" s="185">
        <v>1</v>
      </c>
      <c r="AU33" s="185">
        <v>7</v>
      </c>
      <c r="AV33" s="185">
        <v>0</v>
      </c>
      <c r="AW33" s="185">
        <v>2</v>
      </c>
      <c r="AX33" s="185">
        <v>13</v>
      </c>
      <c r="AY33" s="185">
        <v>10</v>
      </c>
      <c r="AZ33" s="185">
        <v>6</v>
      </c>
      <c r="BA33" s="185">
        <v>8</v>
      </c>
      <c r="BB33" s="185">
        <v>0</v>
      </c>
      <c r="BC33" s="185">
        <v>4</v>
      </c>
      <c r="BD33" s="185">
        <v>0</v>
      </c>
      <c r="BE33" s="185">
        <v>2</v>
      </c>
      <c r="BF33" s="185">
        <v>0</v>
      </c>
      <c r="BG33" s="185">
        <v>18</v>
      </c>
      <c r="BH33" s="185">
        <v>0</v>
      </c>
      <c r="BI33" s="185">
        <v>2</v>
      </c>
      <c r="BJ33" s="185">
        <v>6</v>
      </c>
      <c r="BK33" s="185">
        <v>6</v>
      </c>
      <c r="BL33" s="185">
        <v>19</v>
      </c>
      <c r="BM33" s="185">
        <v>0</v>
      </c>
      <c r="BN33" s="185">
        <v>7</v>
      </c>
      <c r="BO33" s="185">
        <v>3</v>
      </c>
      <c r="BP33" s="185">
        <v>0</v>
      </c>
      <c r="BQ33" s="185">
        <v>7</v>
      </c>
      <c r="BR33" s="185">
        <v>5</v>
      </c>
      <c r="BS33" s="185">
        <v>2</v>
      </c>
      <c r="BT33" s="185">
        <v>16</v>
      </c>
      <c r="BU33" s="185">
        <v>3</v>
      </c>
      <c r="BV33" s="185">
        <v>9</v>
      </c>
      <c r="BW33" s="185">
        <v>1</v>
      </c>
      <c r="BX33" s="185">
        <v>4</v>
      </c>
      <c r="BY33" s="185">
        <v>6</v>
      </c>
      <c r="BZ33" s="185">
        <v>0</v>
      </c>
      <c r="CA33" s="185">
        <v>0</v>
      </c>
      <c r="CB33" s="185"/>
      <c r="CC33" s="185"/>
    </row>
    <row r="34" spans="1:81" s="192" customFormat="1">
      <c r="A34" s="188" t="s">
        <v>401</v>
      </c>
      <c r="B34" s="189">
        <v>-24</v>
      </c>
      <c r="C34" s="189">
        <v>-7</v>
      </c>
      <c r="D34" s="189">
        <v>-12</v>
      </c>
      <c r="E34" s="189">
        <v>-38</v>
      </c>
      <c r="F34" s="189">
        <v>-24</v>
      </c>
      <c r="G34" s="189">
        <v>-33</v>
      </c>
      <c r="H34" s="190">
        <v>-32</v>
      </c>
      <c r="I34" s="190">
        <v>-22</v>
      </c>
      <c r="J34" s="190">
        <v>-44</v>
      </c>
      <c r="K34" s="190">
        <v>-24</v>
      </c>
      <c r="L34" s="190">
        <v>-18</v>
      </c>
      <c r="M34" s="189">
        <v>-20</v>
      </c>
      <c r="N34" s="189">
        <v>-6</v>
      </c>
      <c r="O34" s="189">
        <v>-4</v>
      </c>
      <c r="P34" s="189">
        <v>-2</v>
      </c>
      <c r="Q34" s="189">
        <v>-7</v>
      </c>
      <c r="R34" s="189">
        <v>-1</v>
      </c>
      <c r="S34" s="189">
        <v>-9</v>
      </c>
      <c r="T34" s="189">
        <v>-3</v>
      </c>
      <c r="U34" s="189">
        <v>-16</v>
      </c>
      <c r="V34" s="189">
        <v>-2</v>
      </c>
      <c r="W34" s="189">
        <v>-4</v>
      </c>
      <c r="X34" s="190">
        <v>-6</v>
      </c>
      <c r="Y34" s="190">
        <v>-8</v>
      </c>
      <c r="Z34" s="190">
        <v>-4</v>
      </c>
      <c r="AA34" s="190">
        <v>-11</v>
      </c>
      <c r="AB34" s="190">
        <v>-1</v>
      </c>
      <c r="AC34" s="190">
        <v>-6</v>
      </c>
      <c r="AD34" s="191">
        <v>-5</v>
      </c>
      <c r="AE34" s="190">
        <v>-3</v>
      </c>
      <c r="AF34" s="190">
        <v>-3</v>
      </c>
      <c r="AG34" s="190">
        <v>-3</v>
      </c>
      <c r="AH34" s="190">
        <v>-4</v>
      </c>
      <c r="AI34" s="190">
        <v>-3</v>
      </c>
      <c r="AJ34" s="190">
        <v>0</v>
      </c>
      <c r="AK34" s="190">
        <v>-1</v>
      </c>
      <c r="AL34" s="190">
        <v>-13</v>
      </c>
      <c r="AM34" s="190">
        <v>-2</v>
      </c>
      <c r="AN34" s="190">
        <v>0</v>
      </c>
      <c r="AO34" s="190">
        <v>-6</v>
      </c>
      <c r="AP34" s="190">
        <v>0</v>
      </c>
      <c r="AQ34" s="190">
        <v>-2</v>
      </c>
      <c r="AR34" s="190">
        <v>0</v>
      </c>
      <c r="AS34" s="190">
        <v>-4</v>
      </c>
      <c r="AT34" s="190">
        <v>-3</v>
      </c>
      <c r="AU34" s="190">
        <v>-4</v>
      </c>
      <c r="AV34" s="190">
        <v>-5</v>
      </c>
      <c r="AW34" s="190">
        <v>-8</v>
      </c>
      <c r="AX34" s="190">
        <v>0</v>
      </c>
      <c r="AY34" s="190">
        <v>0</v>
      </c>
      <c r="AZ34" s="190">
        <v>0</v>
      </c>
      <c r="BA34" s="190">
        <v>-3</v>
      </c>
      <c r="BB34" s="190">
        <v>0</v>
      </c>
      <c r="BC34" s="190">
        <v>-1</v>
      </c>
      <c r="BD34" s="190">
        <v>0</v>
      </c>
      <c r="BE34" s="190">
        <v>0</v>
      </c>
      <c r="BF34" s="190">
        <v>0</v>
      </c>
      <c r="BG34" s="190">
        <v>-1</v>
      </c>
      <c r="BH34" s="190">
        <v>-5</v>
      </c>
      <c r="BI34" s="190">
        <v>-1</v>
      </c>
      <c r="BJ34" s="190">
        <v>-2</v>
      </c>
      <c r="BK34" s="190">
        <v>-1</v>
      </c>
      <c r="BL34" s="190">
        <v>-3</v>
      </c>
      <c r="BM34" s="190">
        <v>-1</v>
      </c>
      <c r="BN34" s="190">
        <v>-4</v>
      </c>
      <c r="BO34" s="190">
        <v>-1</v>
      </c>
      <c r="BP34" s="190">
        <v>-3</v>
      </c>
      <c r="BQ34" s="190">
        <v>0</v>
      </c>
      <c r="BR34" s="190">
        <v>-2</v>
      </c>
      <c r="BS34" s="190">
        <v>-4</v>
      </c>
      <c r="BT34" s="190">
        <v>-3</v>
      </c>
      <c r="BU34" s="190">
        <v>-2</v>
      </c>
      <c r="BV34" s="190">
        <v>-8</v>
      </c>
      <c r="BW34" s="190">
        <v>0</v>
      </c>
      <c r="BX34" s="190">
        <v>-4</v>
      </c>
      <c r="BY34" s="190">
        <v>-2</v>
      </c>
      <c r="BZ34" s="190">
        <v>0</v>
      </c>
      <c r="CA34" s="190">
        <v>-3</v>
      </c>
      <c r="CB34" s="190"/>
      <c r="CC34" s="190"/>
    </row>
    <row r="35" spans="1:81" s="1" customFormat="1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BK35" s="1" t="s">
        <v>541</v>
      </c>
      <c r="BO35" s="1" t="s">
        <v>541</v>
      </c>
      <c r="BS35" s="1" t="s">
        <v>541</v>
      </c>
    </row>
    <row r="36" spans="1:81">
      <c r="B36" s="48"/>
      <c r="C36" s="48"/>
      <c r="D36" s="48"/>
      <c r="E36" s="48"/>
      <c r="F36" s="51"/>
      <c r="G36" s="50"/>
      <c r="H36" s="50"/>
      <c r="I36" s="50"/>
      <c r="J36" s="50"/>
      <c r="K36" s="50"/>
      <c r="L36" s="49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16"/>
      <c r="Y36" s="16"/>
      <c r="Z36" s="16"/>
      <c r="AA36" s="16"/>
      <c r="AB36" s="16"/>
      <c r="AC36" s="16"/>
    </row>
    <row r="37" spans="1:81">
      <c r="B37" s="48"/>
      <c r="C37" s="48"/>
      <c r="D37" s="48"/>
      <c r="E37" s="48"/>
      <c r="F37" s="51"/>
      <c r="G37" s="50"/>
      <c r="H37" s="50"/>
      <c r="I37" s="50"/>
      <c r="J37" s="50"/>
      <c r="K37" s="50"/>
      <c r="L37" s="49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16"/>
      <c r="Y37" s="16"/>
      <c r="Z37" s="16"/>
      <c r="AA37" s="16"/>
      <c r="AB37" s="16"/>
      <c r="AC37" s="16"/>
    </row>
    <row r="38" spans="1:81">
      <c r="B38" s="48"/>
      <c r="C38" s="48"/>
      <c r="D38" s="48"/>
      <c r="E38" s="48"/>
      <c r="F38" s="51"/>
      <c r="G38" s="50"/>
      <c r="H38" s="50"/>
      <c r="I38" s="50"/>
      <c r="J38" s="50"/>
      <c r="K38" s="50"/>
      <c r="L38" s="49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6"/>
      <c r="Y38" s="16"/>
      <c r="Z38" s="16"/>
      <c r="AA38" s="16"/>
      <c r="AB38" s="16"/>
      <c r="AC38" s="16"/>
    </row>
    <row r="39" spans="1:81">
      <c r="B39" s="48"/>
      <c r="C39" s="48"/>
      <c r="D39" s="48"/>
      <c r="E39" s="48"/>
      <c r="F39" s="51"/>
      <c r="G39" s="50"/>
      <c r="H39" s="50"/>
      <c r="I39" s="50"/>
      <c r="J39" s="50"/>
      <c r="K39" s="50"/>
      <c r="L39" s="49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16"/>
      <c r="Y39" s="16"/>
      <c r="Z39" s="16"/>
      <c r="AA39" s="16"/>
      <c r="AB39" s="16"/>
      <c r="AC39" s="16"/>
    </row>
    <row r="40" spans="1:81" s="204" customFormat="1" outlineLevel="1">
      <c r="A40" s="201"/>
      <c r="B40" s="202"/>
      <c r="C40" s="202"/>
      <c r="D40" s="202"/>
      <c r="E40" s="203" t="str">
        <f t="shared" ref="E40:AN40" si="0">IF( ISERR( FIND( "Q4", E$28 ) ), "", LEFT( E$28, 4 ) )</f>
        <v>2001</v>
      </c>
      <c r="F40" s="203" t="str">
        <f t="shared" si="0"/>
        <v/>
      </c>
      <c r="G40" s="203" t="str">
        <f t="shared" si="0"/>
        <v/>
      </c>
      <c r="H40" s="203" t="str">
        <f t="shared" si="0"/>
        <v/>
      </c>
      <c r="I40" s="203" t="str">
        <f t="shared" si="0"/>
        <v>2002</v>
      </c>
      <c r="J40" s="203" t="str">
        <f t="shared" si="0"/>
        <v/>
      </c>
      <c r="K40" s="203" t="str">
        <f t="shared" si="0"/>
        <v/>
      </c>
      <c r="L40" s="203" t="str">
        <f t="shared" si="0"/>
        <v/>
      </c>
      <c r="M40" s="203" t="str">
        <f t="shared" si="0"/>
        <v>2003</v>
      </c>
      <c r="N40" s="203" t="str">
        <f t="shared" si="0"/>
        <v/>
      </c>
      <c r="O40" s="203" t="str">
        <f t="shared" si="0"/>
        <v/>
      </c>
      <c r="P40" s="203" t="str">
        <f t="shared" si="0"/>
        <v/>
      </c>
      <c r="Q40" s="203" t="str">
        <f t="shared" si="0"/>
        <v>2004</v>
      </c>
      <c r="R40" s="203" t="str">
        <f t="shared" si="0"/>
        <v/>
      </c>
      <c r="S40" s="203" t="str">
        <f t="shared" si="0"/>
        <v/>
      </c>
      <c r="T40" s="203" t="str">
        <f t="shared" si="0"/>
        <v/>
      </c>
      <c r="U40" s="203" t="str">
        <f t="shared" si="0"/>
        <v>2005</v>
      </c>
      <c r="V40" s="203" t="str">
        <f t="shared" si="0"/>
        <v/>
      </c>
      <c r="W40" s="203" t="str">
        <f t="shared" si="0"/>
        <v/>
      </c>
      <c r="X40" s="203" t="str">
        <f t="shared" si="0"/>
        <v/>
      </c>
      <c r="Y40" s="203" t="str">
        <f t="shared" si="0"/>
        <v>2006</v>
      </c>
      <c r="Z40" s="203" t="str">
        <f t="shared" si="0"/>
        <v/>
      </c>
      <c r="AA40" s="203" t="str">
        <f t="shared" si="0"/>
        <v/>
      </c>
      <c r="AB40" s="203" t="str">
        <f t="shared" si="0"/>
        <v/>
      </c>
      <c r="AC40" s="203" t="str">
        <f t="shared" si="0"/>
        <v>2007</v>
      </c>
      <c r="AD40" s="203" t="str">
        <f t="shared" si="0"/>
        <v/>
      </c>
      <c r="AE40" s="203" t="str">
        <f t="shared" si="0"/>
        <v/>
      </c>
      <c r="AF40" s="203" t="str">
        <f t="shared" si="0"/>
        <v/>
      </c>
      <c r="AG40" s="203" t="str">
        <f t="shared" si="0"/>
        <v>2008</v>
      </c>
      <c r="AH40" s="203" t="str">
        <f t="shared" si="0"/>
        <v/>
      </c>
      <c r="AI40" s="203" t="str">
        <f t="shared" si="0"/>
        <v/>
      </c>
      <c r="AJ40" s="203" t="str">
        <f t="shared" si="0"/>
        <v/>
      </c>
      <c r="AK40" s="203" t="str">
        <f t="shared" si="0"/>
        <v>2009</v>
      </c>
      <c r="AL40" s="203" t="str">
        <f t="shared" si="0"/>
        <v/>
      </c>
      <c r="AM40" s="203" t="str">
        <f t="shared" si="0"/>
        <v/>
      </c>
      <c r="AN40" s="203" t="str">
        <f t="shared" si="0"/>
        <v/>
      </c>
      <c r="AO40" s="203" t="str">
        <f>IF( ISERR( FIND( "Q4", AO$28 ) ), "", LEFT( AO$28, 4 ) )</f>
        <v>2010</v>
      </c>
      <c r="AP40" s="203" t="str">
        <f t="shared" ref="AP40:BX40" si="1">IF( ISERR( FIND( "Q4", AP$28 ) ), "", LEFT( AP$28, 4 ) )</f>
        <v/>
      </c>
      <c r="AQ40" s="203" t="str">
        <f t="shared" si="1"/>
        <v/>
      </c>
      <c r="AR40" s="203" t="str">
        <f t="shared" si="1"/>
        <v/>
      </c>
      <c r="AS40" s="203" t="str">
        <f t="shared" si="1"/>
        <v>2011</v>
      </c>
      <c r="AT40" s="203" t="str">
        <f t="shared" si="1"/>
        <v/>
      </c>
      <c r="AU40" s="203" t="str">
        <f t="shared" si="1"/>
        <v/>
      </c>
      <c r="AV40" s="203" t="str">
        <f t="shared" si="1"/>
        <v/>
      </c>
      <c r="AW40" s="203" t="str">
        <f t="shared" si="1"/>
        <v>2012</v>
      </c>
      <c r="AX40" s="203" t="str">
        <f t="shared" si="1"/>
        <v/>
      </c>
      <c r="AY40" s="203" t="str">
        <f t="shared" si="1"/>
        <v/>
      </c>
      <c r="AZ40" s="203" t="str">
        <f t="shared" si="1"/>
        <v/>
      </c>
      <c r="BA40" s="203" t="str">
        <f t="shared" si="1"/>
        <v>2013</v>
      </c>
      <c r="BB40" s="203" t="str">
        <f t="shared" si="1"/>
        <v/>
      </c>
      <c r="BC40" s="203" t="str">
        <f t="shared" si="1"/>
        <v/>
      </c>
      <c r="BD40" s="203" t="str">
        <f t="shared" si="1"/>
        <v/>
      </c>
      <c r="BE40" s="203" t="str">
        <f t="shared" si="1"/>
        <v>2014</v>
      </c>
      <c r="BF40" s="203" t="str">
        <f t="shared" si="1"/>
        <v/>
      </c>
      <c r="BG40" s="203" t="str">
        <f t="shared" si="1"/>
        <v/>
      </c>
      <c r="BH40" s="203" t="str">
        <f t="shared" si="1"/>
        <v/>
      </c>
      <c r="BI40" s="203" t="str">
        <f t="shared" si="1"/>
        <v>2015</v>
      </c>
      <c r="BJ40" s="203" t="str">
        <f t="shared" si="1"/>
        <v/>
      </c>
      <c r="BK40" s="203" t="str">
        <f t="shared" si="1"/>
        <v/>
      </c>
      <c r="BL40" s="203" t="str">
        <f t="shared" si="1"/>
        <v/>
      </c>
      <c r="BM40" s="203" t="str">
        <f>IF( ISERR( FIND( "Q4", BM$28 ) ), "", LEFT( BM$28, 4 ) )</f>
        <v>2016</v>
      </c>
      <c r="BN40" s="203" t="str">
        <f t="shared" si="1"/>
        <v/>
      </c>
      <c r="BO40" s="203" t="str">
        <f t="shared" si="1"/>
        <v/>
      </c>
      <c r="BP40" s="203" t="str">
        <f t="shared" si="1"/>
        <v/>
      </c>
      <c r="BQ40" s="203" t="str">
        <f>IF( ISERR( FIND( "Q4", BQ$28 ) ), "", LEFT( BQ$28, 4 ) )</f>
        <v>2017</v>
      </c>
      <c r="BR40" s="203" t="str">
        <f t="shared" si="1"/>
        <v/>
      </c>
      <c r="BS40" s="203" t="str">
        <f t="shared" si="1"/>
        <v/>
      </c>
      <c r="BT40" s="203" t="str">
        <f t="shared" si="1"/>
        <v/>
      </c>
      <c r="BU40" s="203">
        <v>2018</v>
      </c>
      <c r="BV40" s="203" t="str">
        <f t="shared" si="1"/>
        <v/>
      </c>
      <c r="BW40" s="203" t="str">
        <f t="shared" si="1"/>
        <v/>
      </c>
      <c r="BX40" s="203" t="str">
        <f t="shared" si="1"/>
        <v/>
      </c>
      <c r="BY40" s="203">
        <v>2019</v>
      </c>
      <c r="CC40" s="203">
        <v>2020</v>
      </c>
    </row>
    <row r="41" spans="1:81" s="197" customFormat="1" outlineLevel="1">
      <c r="A41" s="193"/>
      <c r="B41" s="194"/>
      <c r="C41" s="194"/>
      <c r="D41" s="194"/>
      <c r="E41" s="194"/>
      <c r="F41" s="195"/>
      <c r="G41" s="196"/>
      <c r="H41" s="196"/>
      <c r="I41" s="196"/>
      <c r="J41" s="196"/>
      <c r="K41" s="196"/>
      <c r="L41" s="19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81" s="423" customFormat="1" outlineLevel="1">
      <c r="A42" s="422" t="s">
        <v>396</v>
      </c>
      <c r="E42" s="423">
        <f t="shared" ref="E42:N47" si="2">IF( ISERR( FIND( "Q4", E$28 ) ), "", SUM( B29:E29 ) )</f>
        <v>10</v>
      </c>
      <c r="F42" s="423" t="str">
        <f t="shared" si="2"/>
        <v/>
      </c>
      <c r="G42" s="423" t="str">
        <f t="shared" si="2"/>
        <v/>
      </c>
      <c r="H42" s="423" t="str">
        <f t="shared" si="2"/>
        <v/>
      </c>
      <c r="I42" s="423">
        <f t="shared" si="2"/>
        <v>2</v>
      </c>
      <c r="J42" s="423" t="str">
        <f t="shared" si="2"/>
        <v/>
      </c>
      <c r="K42" s="423" t="str">
        <f t="shared" si="2"/>
        <v/>
      </c>
      <c r="L42" s="423" t="str">
        <f t="shared" si="2"/>
        <v/>
      </c>
      <c r="M42" s="423">
        <f t="shared" si="2"/>
        <v>18</v>
      </c>
      <c r="N42" s="423" t="str">
        <f t="shared" si="2"/>
        <v/>
      </c>
      <c r="O42" s="423" t="str">
        <f t="shared" ref="O42:X47" si="3">IF( ISERR( FIND( "Q4", O$28 ) ), "", SUM( L29:O29 ) )</f>
        <v/>
      </c>
      <c r="P42" s="423" t="str">
        <f t="shared" si="3"/>
        <v/>
      </c>
      <c r="Q42" s="423">
        <f t="shared" si="3"/>
        <v>16</v>
      </c>
      <c r="R42" s="423" t="str">
        <f t="shared" si="3"/>
        <v/>
      </c>
      <c r="S42" s="423" t="str">
        <f t="shared" si="3"/>
        <v/>
      </c>
      <c r="T42" s="423" t="str">
        <f t="shared" si="3"/>
        <v/>
      </c>
      <c r="U42" s="423">
        <f t="shared" si="3"/>
        <v>18</v>
      </c>
      <c r="V42" s="423" t="str">
        <f t="shared" si="3"/>
        <v/>
      </c>
      <c r="W42" s="423" t="str">
        <f t="shared" si="3"/>
        <v/>
      </c>
      <c r="X42" s="423" t="str">
        <f t="shared" si="3"/>
        <v/>
      </c>
      <c r="Y42" s="423">
        <f t="shared" ref="Y42:AH47" si="4">IF( ISERR( FIND( "Q4", Y$28 ) ), "", SUM( V29:Y29 ) )</f>
        <v>25</v>
      </c>
      <c r="Z42" s="423" t="str">
        <f t="shared" si="4"/>
        <v/>
      </c>
      <c r="AA42" s="423" t="str">
        <f t="shared" si="4"/>
        <v/>
      </c>
      <c r="AB42" s="423" t="str">
        <f t="shared" si="4"/>
        <v/>
      </c>
      <c r="AC42" s="423">
        <f t="shared" si="4"/>
        <v>28</v>
      </c>
      <c r="AD42" s="423" t="str">
        <f t="shared" si="4"/>
        <v/>
      </c>
      <c r="AE42" s="423" t="str">
        <f t="shared" si="4"/>
        <v/>
      </c>
      <c r="AF42" s="423" t="str">
        <f t="shared" si="4"/>
        <v/>
      </c>
      <c r="AG42" s="423">
        <f t="shared" si="4"/>
        <v>8</v>
      </c>
      <c r="AH42" s="423" t="str">
        <f t="shared" si="4"/>
        <v/>
      </c>
      <c r="AI42" s="423" t="str">
        <f t="shared" ref="AI42:AR47" si="5">IF( ISERR( FIND( "Q4", AI$28 ) ), "", SUM( AF29:AI29 ) )</f>
        <v/>
      </c>
      <c r="AJ42" s="423" t="str">
        <f t="shared" si="5"/>
        <v/>
      </c>
      <c r="AK42" s="423">
        <f t="shared" si="5"/>
        <v>6</v>
      </c>
      <c r="AL42" s="423" t="str">
        <f t="shared" si="5"/>
        <v/>
      </c>
      <c r="AM42" s="423" t="str">
        <f t="shared" si="5"/>
        <v/>
      </c>
      <c r="AN42" s="423" t="str">
        <f t="shared" si="5"/>
        <v/>
      </c>
      <c r="AO42" s="423">
        <f t="shared" si="5"/>
        <v>7</v>
      </c>
      <c r="AP42" s="423" t="str">
        <f t="shared" si="5"/>
        <v/>
      </c>
      <c r="AQ42" s="423" t="str">
        <f t="shared" si="5"/>
        <v/>
      </c>
      <c r="AR42" s="423" t="str">
        <f t="shared" si="5"/>
        <v/>
      </c>
      <c r="AS42" s="423">
        <f t="shared" ref="AS42:AW47" si="6">IF( ISERR( FIND( "Q4", AS$28 ) ), "", SUM( AP29:AS29 ) )</f>
        <v>14</v>
      </c>
      <c r="AT42" s="423" t="str">
        <f t="shared" si="6"/>
        <v/>
      </c>
      <c r="AU42" s="423" t="str">
        <f t="shared" si="6"/>
        <v/>
      </c>
      <c r="AV42" s="423" t="str">
        <f t="shared" si="6"/>
        <v/>
      </c>
      <c r="AW42" s="423">
        <f t="shared" si="6"/>
        <v>13</v>
      </c>
      <c r="AX42" s="423" t="str">
        <f t="shared" ref="AX42:AX47" si="7">IF( ISERR( FIND( "Q4", AX$28 ) ), "", SUM( AQ29:AX29 ) )</f>
        <v/>
      </c>
      <c r="AY42" s="423" t="str">
        <f t="shared" ref="AY42:AY47" si="8">IF( ISERR( FIND( "Q4", AY$28 ) ), "", SUM( AR29:AY29 ) )</f>
        <v/>
      </c>
      <c r="AZ42" s="423" t="str">
        <f t="shared" ref="AZ42:AZ47" si="9">IF( ISERR( FIND( "Q4", AZ$28 ) ), "", SUM( AS29:AZ29 ) )</f>
        <v/>
      </c>
      <c r="BA42" s="423">
        <f t="shared" ref="BA42:BA47" si="10">IF( ISERR( FIND( "Q4", BA$28 ) ), "", SUM( AX29:BA29 ) )</f>
        <v>10</v>
      </c>
      <c r="BB42" s="423" t="str">
        <f t="shared" ref="BB42:BB47" si="11">IF( ISERR( FIND( "Q4", BB$28 ) ), "", SUM( AQ29:BB29 ) )</f>
        <v/>
      </c>
      <c r="BC42" s="423" t="str">
        <f t="shared" ref="BC42:BC47" si="12">IF( ISERR( FIND( "Q4", BC$28 ) ), "", SUM( AR29:BC29 ) )</f>
        <v/>
      </c>
      <c r="BD42" s="423" t="str">
        <f t="shared" ref="BD42:BD47" si="13">IF( ISERR( FIND( "Q4", BD$28 ) ), "", SUM( AS29:BD29 ) )</f>
        <v/>
      </c>
      <c r="BE42" s="423">
        <f t="shared" ref="BE42:BE47" si="14">IF( ISERR( FIND( "Q4", BE$28 ) ), "", SUM( BB29:BE29 ) )</f>
        <v>12</v>
      </c>
      <c r="BF42" s="423" t="str">
        <f t="shared" ref="BF42:BF47" si="15">IF( ISERR( FIND( "Q4", BF$28 ) ), "", SUM( AQ29:BF29 ) )</f>
        <v/>
      </c>
      <c r="BG42" s="423" t="str">
        <f t="shared" ref="BG42:BG47" si="16">IF( ISERR( FIND( "Q4", BG$28 ) ), "", SUM( AR29:BG29 ) )</f>
        <v/>
      </c>
      <c r="BH42" s="423" t="str">
        <f t="shared" ref="BH42:BH47" si="17">IF( ISERR( FIND( "Q4", BH$28 ) ), "", SUM( AS29:BH29 ) )</f>
        <v/>
      </c>
      <c r="BI42" s="423">
        <f t="shared" ref="BI42:BI47" si="18">IF( ISERR( FIND( "Q4", BI$28 ) ), "", SUM( BF29:BI29 ) )</f>
        <v>6</v>
      </c>
      <c r="BJ42" s="423" t="str">
        <f t="shared" ref="BJ42:BL47" si="19">IF( ISERR( FIND( "Q4", BJ$28 ) ), "", SUM( AQ29:BJ29 ) )</f>
        <v/>
      </c>
      <c r="BK42" s="423" t="str">
        <f t="shared" si="19"/>
        <v/>
      </c>
      <c r="BL42" s="423" t="str">
        <f t="shared" si="19"/>
        <v/>
      </c>
      <c r="BM42" s="423">
        <f t="shared" ref="BM42:BM47" si="20">IF( ISERR( FIND( "Q4", BM$28 ) ), "", SUM( BJ29:BM29 ) )</f>
        <v>13</v>
      </c>
      <c r="BN42" s="423" t="str">
        <f t="shared" ref="BN42:BP47" si="21">IF( ISERR( FIND( "Q4", BN$28 ) ), "", SUM( AQ29:BN29 ) )</f>
        <v/>
      </c>
      <c r="BO42" s="423" t="str">
        <f t="shared" si="21"/>
        <v/>
      </c>
      <c r="BP42" s="423" t="str">
        <f t="shared" si="21"/>
        <v/>
      </c>
      <c r="BQ42" s="423">
        <f t="shared" ref="BQ42:BQ47" si="22">IF( ISERR( FIND( "Q4", BQ$28 ) ), "", SUM( BN29:BQ29 ) )</f>
        <v>11</v>
      </c>
      <c r="BR42" s="423" t="str">
        <f t="shared" ref="BR42:BT47" si="23">IF( ISERR( FIND( "Q4", BR$28 ) ), "", SUM( AU29:BR29 ) )</f>
        <v/>
      </c>
      <c r="BS42" s="423" t="str">
        <f t="shared" si="23"/>
        <v/>
      </c>
      <c r="BT42" s="423" t="str">
        <f t="shared" si="23"/>
        <v/>
      </c>
      <c r="BU42" s="423">
        <f t="shared" ref="BU42:BU47" si="24">IF( ISERR( FIND( "Q4", BU$28 ) ), "", SUM( BR29:BU29 ) )</f>
        <v>12</v>
      </c>
      <c r="BV42" s="423" t="str">
        <f t="shared" ref="BV42:BV47" si="25">IF( ISERR( FIND( "Q4", BV$28 ) ), "", SUM( AY29:BV29 ) )</f>
        <v/>
      </c>
      <c r="BW42" s="423" t="str">
        <f t="shared" ref="BW42:BW47" si="26">IF( ISERR( FIND( "Q4", BW$28 ) ), "", SUM( AZ29:BW29 ) )</f>
        <v/>
      </c>
      <c r="BX42" s="423" t="str">
        <f t="shared" ref="BX42:BX47" si="27">IF( ISERR( FIND( "Q4", BX$28 ) ), "", SUM( BA29:BX29 ) )</f>
        <v/>
      </c>
      <c r="BY42" s="423">
        <f t="shared" ref="BY42:BY47" si="28">IF( ISERR( FIND( "Q4", BY$28 ) ), "", SUM( BV29:BY29 ) )</f>
        <v>26</v>
      </c>
      <c r="BZ42" s="423" t="str">
        <f t="shared" ref="BZ42:BZ47" si="29">IF( ISERR( FIND( "Q4", BZ$28 ) ), "", SUM( BW29:BZ29 ) )</f>
        <v/>
      </c>
      <c r="CA42" s="423" t="str">
        <f t="shared" ref="CA42:CA47" ca="1" si="30">IF( ISERR( FIND( "Q4", CA$28 ) ), "", SUM( BX29:CA29 ) )</f>
        <v/>
      </c>
      <c r="CB42" s="423" t="str">
        <f t="shared" ref="CB42:CB47" ca="1" si="31">IF( ISERR( FIND( "Q4", CB$28 ) ), "", SUM( BY29:CB29 ) )</f>
        <v/>
      </c>
      <c r="CC42" s="423">
        <f t="shared" ref="CC42:CC47" ca="1" si="32">IF( ISERR( FIND( "Q4", CC$28 ) ), "", SUM( BZ29:CC29 ) )</f>
        <v>4</v>
      </c>
    </row>
    <row r="43" spans="1:81" s="427" customFormat="1" outlineLevel="1">
      <c r="A43" s="426" t="s">
        <v>397</v>
      </c>
      <c r="E43" s="427">
        <f t="shared" si="2"/>
        <v>-28</v>
      </c>
      <c r="F43" s="427" t="str">
        <f t="shared" si="2"/>
        <v/>
      </c>
      <c r="G43" s="427" t="str">
        <f t="shared" si="2"/>
        <v/>
      </c>
      <c r="H43" s="427" t="str">
        <f t="shared" si="2"/>
        <v/>
      </c>
      <c r="I43" s="427">
        <f t="shared" si="2"/>
        <v>-55</v>
      </c>
      <c r="J43" s="427" t="str">
        <f t="shared" si="2"/>
        <v/>
      </c>
      <c r="K43" s="427" t="str">
        <f t="shared" si="2"/>
        <v/>
      </c>
      <c r="L43" s="427" t="str">
        <f t="shared" si="2"/>
        <v/>
      </c>
      <c r="M43" s="427">
        <f t="shared" si="2"/>
        <v>-44</v>
      </c>
      <c r="N43" s="427" t="str">
        <f t="shared" si="2"/>
        <v/>
      </c>
      <c r="O43" s="427" t="str">
        <f t="shared" si="3"/>
        <v/>
      </c>
      <c r="P43" s="427" t="str">
        <f t="shared" si="3"/>
        <v/>
      </c>
      <c r="Q43" s="427">
        <f t="shared" si="3"/>
        <v>-18</v>
      </c>
      <c r="R43" s="427" t="str">
        <f t="shared" si="3"/>
        <v/>
      </c>
      <c r="S43" s="427" t="str">
        <f t="shared" si="3"/>
        <v/>
      </c>
      <c r="T43" s="427" t="str">
        <f t="shared" si="3"/>
        <v/>
      </c>
      <c r="U43" s="427">
        <f t="shared" si="3"/>
        <v>-4</v>
      </c>
      <c r="V43" s="427" t="str">
        <f t="shared" si="3"/>
        <v/>
      </c>
      <c r="W43" s="427" t="str">
        <f t="shared" si="3"/>
        <v/>
      </c>
      <c r="X43" s="427" t="str">
        <f t="shared" si="3"/>
        <v/>
      </c>
      <c r="Y43" s="427">
        <f t="shared" si="4"/>
        <v>-6</v>
      </c>
      <c r="Z43" s="427" t="str">
        <f t="shared" si="4"/>
        <v/>
      </c>
      <c r="AA43" s="427" t="str">
        <f t="shared" si="4"/>
        <v/>
      </c>
      <c r="AB43" s="427" t="str">
        <f t="shared" si="4"/>
        <v/>
      </c>
      <c r="AC43" s="427">
        <f t="shared" si="4"/>
        <v>-13</v>
      </c>
      <c r="AD43" s="427" t="str">
        <f t="shared" si="4"/>
        <v/>
      </c>
      <c r="AE43" s="427" t="str">
        <f t="shared" si="4"/>
        <v/>
      </c>
      <c r="AF43" s="427" t="str">
        <f t="shared" si="4"/>
        <v/>
      </c>
      <c r="AG43" s="427">
        <f t="shared" si="4"/>
        <v>-9</v>
      </c>
      <c r="AH43" s="427" t="str">
        <f t="shared" si="4"/>
        <v/>
      </c>
      <c r="AI43" s="427" t="str">
        <f t="shared" si="5"/>
        <v/>
      </c>
      <c r="AJ43" s="427" t="str">
        <f t="shared" si="5"/>
        <v/>
      </c>
      <c r="AK43" s="427">
        <f t="shared" si="5"/>
        <v>-8</v>
      </c>
      <c r="AL43" s="427" t="str">
        <f t="shared" si="5"/>
        <v/>
      </c>
      <c r="AM43" s="427" t="str">
        <f t="shared" si="5"/>
        <v/>
      </c>
      <c r="AN43" s="427" t="str">
        <f t="shared" si="5"/>
        <v/>
      </c>
      <c r="AO43" s="427">
        <f t="shared" si="5"/>
        <v>-17</v>
      </c>
      <c r="AP43" s="427" t="str">
        <f t="shared" si="5"/>
        <v/>
      </c>
      <c r="AQ43" s="427" t="str">
        <f t="shared" si="5"/>
        <v/>
      </c>
      <c r="AR43" s="427" t="str">
        <f t="shared" si="5"/>
        <v/>
      </c>
      <c r="AS43" s="427">
        <f t="shared" si="6"/>
        <v>-11</v>
      </c>
      <c r="AT43" s="427" t="str">
        <f t="shared" si="6"/>
        <v/>
      </c>
      <c r="AU43" s="427" t="str">
        <f t="shared" si="6"/>
        <v/>
      </c>
      <c r="AV43" s="427" t="str">
        <f t="shared" si="6"/>
        <v/>
      </c>
      <c r="AW43" s="427">
        <f t="shared" si="6"/>
        <v>-13</v>
      </c>
      <c r="AX43" s="427" t="str">
        <f t="shared" si="7"/>
        <v/>
      </c>
      <c r="AY43" s="427" t="str">
        <f t="shared" si="8"/>
        <v/>
      </c>
      <c r="AZ43" s="427" t="str">
        <f t="shared" si="9"/>
        <v/>
      </c>
      <c r="BA43" s="427">
        <f t="shared" si="10"/>
        <v>-13</v>
      </c>
      <c r="BB43" s="427" t="str">
        <f t="shared" si="11"/>
        <v/>
      </c>
      <c r="BC43" s="427" t="str">
        <f t="shared" si="12"/>
        <v/>
      </c>
      <c r="BD43" s="427" t="str">
        <f t="shared" si="13"/>
        <v/>
      </c>
      <c r="BE43" s="427">
        <f t="shared" si="14"/>
        <v>-2</v>
      </c>
      <c r="BF43" s="427" t="str">
        <f t="shared" si="15"/>
        <v/>
      </c>
      <c r="BG43" s="427" t="str">
        <f t="shared" si="16"/>
        <v/>
      </c>
      <c r="BH43" s="427" t="str">
        <f t="shared" si="17"/>
        <v/>
      </c>
      <c r="BI43" s="427">
        <f t="shared" si="18"/>
        <v>-5</v>
      </c>
      <c r="BJ43" s="427" t="str">
        <f t="shared" si="19"/>
        <v/>
      </c>
      <c r="BK43" s="427" t="str">
        <f t="shared" si="19"/>
        <v/>
      </c>
      <c r="BL43" s="427" t="str">
        <f t="shared" si="19"/>
        <v/>
      </c>
      <c r="BM43" s="427">
        <f t="shared" si="20"/>
        <v>-3</v>
      </c>
      <c r="BN43" s="427" t="str">
        <f t="shared" si="21"/>
        <v/>
      </c>
      <c r="BO43" s="427" t="str">
        <f t="shared" si="21"/>
        <v/>
      </c>
      <c r="BP43" s="427" t="str">
        <f t="shared" si="21"/>
        <v/>
      </c>
      <c r="BQ43" s="427">
        <f t="shared" si="22"/>
        <v>-4</v>
      </c>
      <c r="BR43" s="427" t="str">
        <f t="shared" si="23"/>
        <v/>
      </c>
      <c r="BS43" s="427" t="str">
        <f t="shared" si="23"/>
        <v/>
      </c>
      <c r="BT43" s="427" t="str">
        <f t="shared" si="23"/>
        <v/>
      </c>
      <c r="BU43" s="427">
        <f t="shared" si="24"/>
        <v>-21</v>
      </c>
      <c r="BV43" s="427" t="str">
        <f t="shared" si="25"/>
        <v/>
      </c>
      <c r="BW43" s="427" t="str">
        <f t="shared" si="26"/>
        <v/>
      </c>
      <c r="BX43" s="427" t="str">
        <f t="shared" si="27"/>
        <v/>
      </c>
      <c r="BY43" s="427">
        <f t="shared" si="28"/>
        <v>-10</v>
      </c>
      <c r="BZ43" s="427" t="str">
        <f t="shared" si="29"/>
        <v/>
      </c>
      <c r="CA43" s="427" t="str">
        <f t="shared" ca="1" si="30"/>
        <v/>
      </c>
      <c r="CB43" s="427" t="str">
        <f t="shared" ca="1" si="31"/>
        <v/>
      </c>
      <c r="CC43" s="427">
        <f t="shared" ca="1" si="32"/>
        <v>-3</v>
      </c>
    </row>
    <row r="44" spans="1:81" s="423" customFormat="1" outlineLevel="1">
      <c r="A44" s="422" t="s">
        <v>398</v>
      </c>
      <c r="E44" s="423">
        <f t="shared" si="2"/>
        <v>27</v>
      </c>
      <c r="F44" s="423" t="str">
        <f t="shared" si="2"/>
        <v/>
      </c>
      <c r="G44" s="423" t="str">
        <f t="shared" si="2"/>
        <v/>
      </c>
      <c r="H44" s="423" t="str">
        <f t="shared" si="2"/>
        <v/>
      </c>
      <c r="I44" s="423">
        <f t="shared" si="2"/>
        <v>5</v>
      </c>
      <c r="J44" s="423" t="str">
        <f t="shared" si="2"/>
        <v/>
      </c>
      <c r="K44" s="423" t="str">
        <f t="shared" si="2"/>
        <v/>
      </c>
      <c r="L44" s="423" t="str">
        <f t="shared" si="2"/>
        <v/>
      </c>
      <c r="M44" s="423">
        <f t="shared" si="2"/>
        <v>11</v>
      </c>
      <c r="N44" s="423" t="str">
        <f t="shared" si="2"/>
        <v/>
      </c>
      <c r="O44" s="423" t="str">
        <f t="shared" si="3"/>
        <v/>
      </c>
      <c r="P44" s="423" t="str">
        <f t="shared" si="3"/>
        <v/>
      </c>
      <c r="Q44" s="423">
        <f t="shared" si="3"/>
        <v>20</v>
      </c>
      <c r="R44" s="423" t="str">
        <f t="shared" si="3"/>
        <v/>
      </c>
      <c r="S44" s="423" t="str">
        <f t="shared" si="3"/>
        <v/>
      </c>
      <c r="T44" s="423" t="str">
        <f t="shared" si="3"/>
        <v/>
      </c>
      <c r="U44" s="423">
        <f t="shared" si="3"/>
        <v>31</v>
      </c>
      <c r="V44" s="423" t="str">
        <f t="shared" si="3"/>
        <v/>
      </c>
      <c r="W44" s="423" t="str">
        <f t="shared" si="3"/>
        <v/>
      </c>
      <c r="X44" s="423" t="str">
        <f t="shared" si="3"/>
        <v/>
      </c>
      <c r="Y44" s="423">
        <f t="shared" si="4"/>
        <v>22</v>
      </c>
      <c r="Z44" s="423" t="str">
        <f t="shared" si="4"/>
        <v/>
      </c>
      <c r="AA44" s="423" t="str">
        <f t="shared" si="4"/>
        <v/>
      </c>
      <c r="AB44" s="423" t="str">
        <f t="shared" si="4"/>
        <v/>
      </c>
      <c r="AC44" s="423">
        <f t="shared" si="4"/>
        <v>19</v>
      </c>
      <c r="AD44" s="423" t="str">
        <f t="shared" si="4"/>
        <v/>
      </c>
      <c r="AE44" s="423" t="str">
        <f t="shared" si="4"/>
        <v/>
      </c>
      <c r="AF44" s="423" t="str">
        <f t="shared" si="4"/>
        <v/>
      </c>
      <c r="AG44" s="423">
        <f t="shared" si="4"/>
        <v>3</v>
      </c>
      <c r="AH44" s="423" t="str">
        <f t="shared" si="4"/>
        <v/>
      </c>
      <c r="AI44" s="423" t="str">
        <f t="shared" si="5"/>
        <v/>
      </c>
      <c r="AJ44" s="423" t="str">
        <f t="shared" si="5"/>
        <v/>
      </c>
      <c r="AK44" s="423">
        <f t="shared" si="5"/>
        <v>5</v>
      </c>
      <c r="AL44" s="423" t="str">
        <f t="shared" si="5"/>
        <v/>
      </c>
      <c r="AM44" s="423" t="str">
        <f t="shared" si="5"/>
        <v/>
      </c>
      <c r="AN44" s="423" t="str">
        <f t="shared" si="5"/>
        <v/>
      </c>
      <c r="AO44" s="423">
        <f t="shared" si="5"/>
        <v>7</v>
      </c>
      <c r="AP44" s="423" t="str">
        <f t="shared" si="5"/>
        <v/>
      </c>
      <c r="AQ44" s="423" t="str">
        <f t="shared" si="5"/>
        <v/>
      </c>
      <c r="AR44" s="423" t="str">
        <f t="shared" si="5"/>
        <v/>
      </c>
      <c r="AS44" s="423">
        <f t="shared" si="6"/>
        <v>7</v>
      </c>
      <c r="AT44" s="423" t="str">
        <f t="shared" si="6"/>
        <v/>
      </c>
      <c r="AU44" s="423" t="str">
        <f t="shared" si="6"/>
        <v/>
      </c>
      <c r="AV44" s="423" t="str">
        <f t="shared" si="6"/>
        <v/>
      </c>
      <c r="AW44" s="423">
        <f t="shared" si="6"/>
        <v>14</v>
      </c>
      <c r="AX44" s="423" t="str">
        <f t="shared" si="7"/>
        <v/>
      </c>
      <c r="AY44" s="423" t="str">
        <f t="shared" si="8"/>
        <v/>
      </c>
      <c r="AZ44" s="423" t="str">
        <f t="shared" si="9"/>
        <v/>
      </c>
      <c r="BA44" s="423">
        <f t="shared" si="10"/>
        <v>13</v>
      </c>
      <c r="BB44" s="423" t="str">
        <f t="shared" si="11"/>
        <v/>
      </c>
      <c r="BC44" s="423" t="str">
        <f t="shared" si="12"/>
        <v/>
      </c>
      <c r="BD44" s="423" t="str">
        <f t="shared" si="13"/>
        <v/>
      </c>
      <c r="BE44" s="423">
        <f t="shared" si="14"/>
        <v>85</v>
      </c>
      <c r="BF44" s="423" t="str">
        <f t="shared" si="15"/>
        <v/>
      </c>
      <c r="BG44" s="423" t="str">
        <f t="shared" si="16"/>
        <v/>
      </c>
      <c r="BH44" s="423" t="str">
        <f t="shared" si="17"/>
        <v/>
      </c>
      <c r="BI44" s="423">
        <f t="shared" si="18"/>
        <v>9</v>
      </c>
      <c r="BJ44" s="423" t="str">
        <f t="shared" si="19"/>
        <v/>
      </c>
      <c r="BK44" s="423" t="str">
        <f t="shared" si="19"/>
        <v/>
      </c>
      <c r="BL44" s="423" t="str">
        <f t="shared" si="19"/>
        <v/>
      </c>
      <c r="BM44" s="423">
        <f t="shared" si="20"/>
        <v>5</v>
      </c>
      <c r="BN44" s="423" t="str">
        <f t="shared" si="21"/>
        <v/>
      </c>
      <c r="BO44" s="423" t="str">
        <f t="shared" si="21"/>
        <v/>
      </c>
      <c r="BP44" s="423" t="str">
        <f t="shared" si="21"/>
        <v/>
      </c>
      <c r="BQ44" s="423">
        <f t="shared" si="22"/>
        <v>10</v>
      </c>
      <c r="BR44" s="423" t="str">
        <f t="shared" si="23"/>
        <v/>
      </c>
      <c r="BS44" s="423" t="str">
        <f t="shared" si="23"/>
        <v/>
      </c>
      <c r="BT44" s="423" t="str">
        <f t="shared" si="23"/>
        <v/>
      </c>
      <c r="BU44" s="423">
        <f t="shared" si="24"/>
        <v>3</v>
      </c>
      <c r="BV44" s="423" t="str">
        <f t="shared" si="25"/>
        <v/>
      </c>
      <c r="BW44" s="423" t="str">
        <f t="shared" si="26"/>
        <v/>
      </c>
      <c r="BX44" s="423" t="str">
        <f t="shared" si="27"/>
        <v/>
      </c>
      <c r="BY44" s="423">
        <f t="shared" si="28"/>
        <v>9</v>
      </c>
      <c r="BZ44" s="423" t="str">
        <f t="shared" si="29"/>
        <v/>
      </c>
      <c r="CA44" s="423" t="str">
        <f t="shared" ca="1" si="30"/>
        <v/>
      </c>
      <c r="CB44" s="423" t="str">
        <f t="shared" ca="1" si="31"/>
        <v/>
      </c>
      <c r="CC44" s="423">
        <f t="shared" ca="1" si="32"/>
        <v>2</v>
      </c>
    </row>
    <row r="45" spans="1:81" s="427" customFormat="1" outlineLevel="1">
      <c r="A45" s="426" t="s">
        <v>400</v>
      </c>
      <c r="E45" s="427">
        <f t="shared" si="2"/>
        <v>-41</v>
      </c>
      <c r="F45" s="427" t="str">
        <f t="shared" si="2"/>
        <v/>
      </c>
      <c r="G45" s="427" t="str">
        <f t="shared" si="2"/>
        <v/>
      </c>
      <c r="H45" s="427" t="str">
        <f t="shared" si="2"/>
        <v/>
      </c>
      <c r="I45" s="427">
        <f t="shared" si="2"/>
        <v>-113</v>
      </c>
      <c r="J45" s="427" t="str">
        <f t="shared" si="2"/>
        <v/>
      </c>
      <c r="K45" s="427" t="str">
        <f t="shared" si="2"/>
        <v/>
      </c>
      <c r="L45" s="427" t="str">
        <f t="shared" si="2"/>
        <v/>
      </c>
      <c r="M45" s="427">
        <f t="shared" si="2"/>
        <v>-68</v>
      </c>
      <c r="N45" s="427" t="str">
        <f t="shared" si="2"/>
        <v/>
      </c>
      <c r="O45" s="427" t="str">
        <f t="shared" si="3"/>
        <v/>
      </c>
      <c r="P45" s="427" t="str">
        <f t="shared" si="3"/>
        <v/>
      </c>
      <c r="Q45" s="427">
        <f t="shared" si="3"/>
        <v>-22</v>
      </c>
      <c r="R45" s="427" t="str">
        <f t="shared" si="3"/>
        <v/>
      </c>
      <c r="S45" s="427" t="str">
        <f t="shared" si="3"/>
        <v/>
      </c>
      <c r="T45" s="427" t="str">
        <f t="shared" si="3"/>
        <v/>
      </c>
      <c r="U45" s="427">
        <f t="shared" si="3"/>
        <v>-15</v>
      </c>
      <c r="V45" s="427" t="str">
        <f t="shared" si="3"/>
        <v/>
      </c>
      <c r="W45" s="427" t="str">
        <f t="shared" si="3"/>
        <v/>
      </c>
      <c r="X45" s="427" t="str">
        <f t="shared" si="3"/>
        <v/>
      </c>
      <c r="Y45" s="427">
        <f t="shared" si="4"/>
        <v>-17</v>
      </c>
      <c r="Z45" s="427" t="str">
        <f t="shared" si="4"/>
        <v/>
      </c>
      <c r="AA45" s="427" t="str">
        <f t="shared" si="4"/>
        <v/>
      </c>
      <c r="AB45" s="427" t="str">
        <f t="shared" si="4"/>
        <v/>
      </c>
      <c r="AC45" s="427">
        <f t="shared" si="4"/>
        <v>-13</v>
      </c>
      <c r="AD45" s="427" t="str">
        <f t="shared" si="4"/>
        <v/>
      </c>
      <c r="AE45" s="427" t="str">
        <f t="shared" si="4"/>
        <v/>
      </c>
      <c r="AF45" s="427" t="str">
        <f t="shared" si="4"/>
        <v/>
      </c>
      <c r="AG45" s="427">
        <f t="shared" si="4"/>
        <v>-3</v>
      </c>
      <c r="AH45" s="427" t="str">
        <f t="shared" si="4"/>
        <v/>
      </c>
      <c r="AI45" s="427" t="str">
        <f t="shared" si="5"/>
        <v/>
      </c>
      <c r="AJ45" s="427" t="str">
        <f t="shared" si="5"/>
        <v/>
      </c>
      <c r="AK45" s="427">
        <f t="shared" si="5"/>
        <v>-18</v>
      </c>
      <c r="AL45" s="427" t="str">
        <f t="shared" si="5"/>
        <v/>
      </c>
      <c r="AM45" s="427" t="str">
        <f t="shared" si="5"/>
        <v/>
      </c>
      <c r="AN45" s="427" t="str">
        <f t="shared" si="5"/>
        <v/>
      </c>
      <c r="AO45" s="427">
        <f t="shared" si="5"/>
        <v>-13</v>
      </c>
      <c r="AP45" s="427" t="str">
        <f t="shared" si="5"/>
        <v/>
      </c>
      <c r="AQ45" s="427" t="str">
        <f t="shared" si="5"/>
        <v/>
      </c>
      <c r="AR45" s="427" t="str">
        <f t="shared" si="5"/>
        <v/>
      </c>
      <c r="AS45" s="427">
        <f t="shared" si="6"/>
        <v>-4</v>
      </c>
      <c r="AT45" s="427" t="str">
        <f t="shared" si="6"/>
        <v/>
      </c>
      <c r="AU45" s="427" t="str">
        <f t="shared" si="6"/>
        <v/>
      </c>
      <c r="AV45" s="427" t="str">
        <f t="shared" si="6"/>
        <v/>
      </c>
      <c r="AW45" s="427">
        <f t="shared" si="6"/>
        <v>-6</v>
      </c>
      <c r="AX45" s="427" t="str">
        <f t="shared" si="7"/>
        <v/>
      </c>
      <c r="AY45" s="427" t="str">
        <f t="shared" si="8"/>
        <v/>
      </c>
      <c r="AZ45" s="427" t="str">
        <f t="shared" si="9"/>
        <v/>
      </c>
      <c r="BA45" s="427">
        <f t="shared" si="10"/>
        <v>-4</v>
      </c>
      <c r="BB45" s="427" t="str">
        <f t="shared" si="11"/>
        <v/>
      </c>
      <c r="BC45" s="427" t="str">
        <f t="shared" si="12"/>
        <v/>
      </c>
      <c r="BD45" s="427" t="str">
        <f t="shared" si="13"/>
        <v/>
      </c>
      <c r="BE45" s="427">
        <f t="shared" si="14"/>
        <v>0</v>
      </c>
      <c r="BF45" s="427" t="str">
        <f t="shared" si="15"/>
        <v/>
      </c>
      <c r="BG45" s="427" t="str">
        <f t="shared" si="16"/>
        <v/>
      </c>
      <c r="BH45" s="427" t="str">
        <f t="shared" si="17"/>
        <v/>
      </c>
      <c r="BI45" s="427">
        <f t="shared" si="18"/>
        <v>-3</v>
      </c>
      <c r="BJ45" s="427" t="str">
        <f t="shared" si="19"/>
        <v/>
      </c>
      <c r="BK45" s="427" t="str">
        <f t="shared" si="19"/>
        <v/>
      </c>
      <c r="BL45" s="427" t="str">
        <f t="shared" si="19"/>
        <v/>
      </c>
      <c r="BM45" s="427">
        <f t="shared" si="20"/>
        <v>-8</v>
      </c>
      <c r="BN45" s="427" t="str">
        <f t="shared" si="21"/>
        <v/>
      </c>
      <c r="BO45" s="427" t="str">
        <f t="shared" si="21"/>
        <v/>
      </c>
      <c r="BP45" s="427" t="str">
        <f t="shared" si="21"/>
        <v/>
      </c>
      <c r="BQ45" s="427">
        <f t="shared" si="22"/>
        <v>-2</v>
      </c>
      <c r="BR45" s="427" t="str">
        <f t="shared" si="23"/>
        <v/>
      </c>
      <c r="BS45" s="427" t="str">
        <f t="shared" si="23"/>
        <v/>
      </c>
      <c r="BT45" s="427" t="str">
        <f t="shared" si="23"/>
        <v/>
      </c>
      <c r="BU45" s="427">
        <f t="shared" si="24"/>
        <v>-20</v>
      </c>
      <c r="BV45" s="427" t="str">
        <f t="shared" si="25"/>
        <v/>
      </c>
      <c r="BW45" s="427" t="str">
        <f t="shared" si="26"/>
        <v/>
      </c>
      <c r="BX45" s="427" t="str">
        <f t="shared" si="27"/>
        <v/>
      </c>
      <c r="BY45" s="427">
        <f t="shared" si="28"/>
        <v>-11</v>
      </c>
      <c r="BZ45" s="427" t="str">
        <f t="shared" si="29"/>
        <v/>
      </c>
      <c r="CA45" s="427" t="str">
        <f t="shared" ca="1" si="30"/>
        <v/>
      </c>
      <c r="CB45" s="427" t="str">
        <f t="shared" ca="1" si="31"/>
        <v/>
      </c>
      <c r="CC45" s="427">
        <f t="shared" ca="1" si="32"/>
        <v>-4</v>
      </c>
    </row>
    <row r="46" spans="1:81" s="429" customFormat="1" outlineLevel="1">
      <c r="A46" s="428" t="s">
        <v>399</v>
      </c>
      <c r="E46" s="429">
        <f t="shared" si="2"/>
        <v>20</v>
      </c>
      <c r="F46" s="429" t="str">
        <f t="shared" si="2"/>
        <v/>
      </c>
      <c r="G46" s="429" t="str">
        <f t="shared" si="2"/>
        <v/>
      </c>
      <c r="H46" s="429" t="str">
        <f t="shared" si="2"/>
        <v/>
      </c>
      <c r="I46" s="429">
        <f t="shared" si="2"/>
        <v>14</v>
      </c>
      <c r="J46" s="429" t="str">
        <f t="shared" si="2"/>
        <v/>
      </c>
      <c r="K46" s="429" t="str">
        <f t="shared" si="2"/>
        <v/>
      </c>
      <c r="L46" s="429" t="str">
        <f t="shared" si="2"/>
        <v/>
      </c>
      <c r="M46" s="429">
        <f t="shared" si="2"/>
        <v>6</v>
      </c>
      <c r="N46" s="429" t="str">
        <f t="shared" si="2"/>
        <v/>
      </c>
      <c r="O46" s="429" t="str">
        <f t="shared" si="3"/>
        <v/>
      </c>
      <c r="P46" s="429" t="str">
        <f t="shared" si="3"/>
        <v/>
      </c>
      <c r="Q46" s="429">
        <f t="shared" si="3"/>
        <v>15</v>
      </c>
      <c r="R46" s="429" t="str">
        <f t="shared" si="3"/>
        <v/>
      </c>
      <c r="S46" s="429" t="str">
        <f t="shared" si="3"/>
        <v/>
      </c>
      <c r="T46" s="429" t="str">
        <f t="shared" si="3"/>
        <v/>
      </c>
      <c r="U46" s="429">
        <f t="shared" si="3"/>
        <v>24</v>
      </c>
      <c r="V46" s="429" t="str">
        <f t="shared" si="3"/>
        <v/>
      </c>
      <c r="W46" s="429" t="str">
        <f t="shared" si="3"/>
        <v/>
      </c>
      <c r="X46" s="429" t="str">
        <f t="shared" si="3"/>
        <v/>
      </c>
      <c r="Y46" s="429">
        <f t="shared" si="4"/>
        <v>20</v>
      </c>
      <c r="Z46" s="429" t="str">
        <f t="shared" si="4"/>
        <v/>
      </c>
      <c r="AA46" s="429" t="str">
        <f t="shared" si="4"/>
        <v/>
      </c>
      <c r="AB46" s="429" t="str">
        <f t="shared" si="4"/>
        <v/>
      </c>
      <c r="AC46" s="429">
        <f t="shared" si="4"/>
        <v>26</v>
      </c>
      <c r="AD46" s="429" t="str">
        <f t="shared" si="4"/>
        <v/>
      </c>
      <c r="AE46" s="429" t="str">
        <f t="shared" si="4"/>
        <v/>
      </c>
      <c r="AF46" s="429" t="str">
        <f t="shared" si="4"/>
        <v/>
      </c>
      <c r="AG46" s="429">
        <f t="shared" si="4"/>
        <v>13</v>
      </c>
      <c r="AH46" s="429" t="str">
        <f t="shared" si="4"/>
        <v/>
      </c>
      <c r="AI46" s="429" t="str">
        <f t="shared" si="5"/>
        <v/>
      </c>
      <c r="AJ46" s="429" t="str">
        <f t="shared" si="5"/>
        <v/>
      </c>
      <c r="AK46" s="429">
        <f t="shared" si="5"/>
        <v>12</v>
      </c>
      <c r="AL46" s="429" t="str">
        <f t="shared" si="5"/>
        <v/>
      </c>
      <c r="AM46" s="429" t="str">
        <f t="shared" si="5"/>
        <v/>
      </c>
      <c r="AN46" s="429" t="str">
        <f t="shared" si="5"/>
        <v/>
      </c>
      <c r="AO46" s="429">
        <f t="shared" si="5"/>
        <v>15</v>
      </c>
      <c r="AP46" s="429" t="str">
        <f t="shared" si="5"/>
        <v/>
      </c>
      <c r="AQ46" s="429" t="str">
        <f t="shared" si="5"/>
        <v/>
      </c>
      <c r="AR46" s="429" t="str">
        <f t="shared" si="5"/>
        <v/>
      </c>
      <c r="AS46" s="429">
        <f t="shared" si="6"/>
        <v>18</v>
      </c>
      <c r="AT46" s="429" t="str">
        <f t="shared" si="6"/>
        <v/>
      </c>
      <c r="AU46" s="429" t="str">
        <f t="shared" si="6"/>
        <v/>
      </c>
      <c r="AV46" s="429" t="str">
        <f t="shared" si="6"/>
        <v/>
      </c>
      <c r="AW46" s="429">
        <f t="shared" si="6"/>
        <v>10</v>
      </c>
      <c r="AX46" s="429" t="str">
        <f t="shared" si="7"/>
        <v/>
      </c>
      <c r="AY46" s="429" t="str">
        <f t="shared" si="8"/>
        <v/>
      </c>
      <c r="AZ46" s="429" t="str">
        <f t="shared" si="9"/>
        <v/>
      </c>
      <c r="BA46" s="429">
        <f t="shared" si="10"/>
        <v>37</v>
      </c>
      <c r="BB46" s="429" t="str">
        <f t="shared" si="11"/>
        <v/>
      </c>
      <c r="BC46" s="429" t="str">
        <f t="shared" si="12"/>
        <v/>
      </c>
      <c r="BD46" s="429" t="str">
        <f t="shared" si="13"/>
        <v/>
      </c>
      <c r="BE46" s="429">
        <f t="shared" si="14"/>
        <v>6</v>
      </c>
      <c r="BF46" s="429" t="str">
        <f t="shared" si="15"/>
        <v/>
      </c>
      <c r="BG46" s="429" t="str">
        <f t="shared" si="16"/>
        <v/>
      </c>
      <c r="BH46" s="429" t="str">
        <f t="shared" si="17"/>
        <v/>
      </c>
      <c r="BI46" s="429">
        <f t="shared" si="18"/>
        <v>20</v>
      </c>
      <c r="BJ46" s="429" t="str">
        <f t="shared" si="19"/>
        <v/>
      </c>
      <c r="BK46" s="429" t="str">
        <f t="shared" si="19"/>
        <v/>
      </c>
      <c r="BL46" s="429" t="str">
        <f t="shared" si="19"/>
        <v/>
      </c>
      <c r="BM46" s="429">
        <f t="shared" si="20"/>
        <v>31</v>
      </c>
      <c r="BN46" s="429" t="str">
        <f t="shared" si="21"/>
        <v/>
      </c>
      <c r="BO46" s="429" t="str">
        <f t="shared" si="21"/>
        <v/>
      </c>
      <c r="BP46" s="429" t="str">
        <f t="shared" si="21"/>
        <v/>
      </c>
      <c r="BQ46" s="429">
        <f t="shared" si="22"/>
        <v>17</v>
      </c>
      <c r="BR46" s="429" t="str">
        <f t="shared" si="23"/>
        <v/>
      </c>
      <c r="BS46" s="429" t="str">
        <f t="shared" si="23"/>
        <v/>
      </c>
      <c r="BT46" s="429" t="str">
        <f t="shared" si="23"/>
        <v/>
      </c>
      <c r="BU46" s="429">
        <f t="shared" si="24"/>
        <v>26</v>
      </c>
      <c r="BV46" s="429" t="str">
        <f t="shared" si="25"/>
        <v/>
      </c>
      <c r="BW46" s="429" t="str">
        <f t="shared" si="26"/>
        <v/>
      </c>
      <c r="BX46" s="429" t="str">
        <f t="shared" si="27"/>
        <v/>
      </c>
      <c r="BY46" s="429">
        <f t="shared" si="28"/>
        <v>20</v>
      </c>
      <c r="BZ46" s="429" t="str">
        <f t="shared" si="29"/>
        <v/>
      </c>
      <c r="CA46" s="429" t="str">
        <f t="shared" ca="1" si="30"/>
        <v/>
      </c>
      <c r="CB46" s="429" t="str">
        <f t="shared" ca="1" si="31"/>
        <v/>
      </c>
      <c r="CC46" s="429">
        <f t="shared" ca="1" si="32"/>
        <v>0</v>
      </c>
    </row>
    <row r="47" spans="1:81" s="427" customFormat="1" outlineLevel="1">
      <c r="A47" s="426" t="s">
        <v>401</v>
      </c>
      <c r="E47" s="427">
        <f t="shared" si="2"/>
        <v>-81</v>
      </c>
      <c r="F47" s="427" t="str">
        <f t="shared" si="2"/>
        <v/>
      </c>
      <c r="G47" s="427" t="str">
        <f t="shared" si="2"/>
        <v/>
      </c>
      <c r="H47" s="427" t="str">
        <f t="shared" si="2"/>
        <v/>
      </c>
      <c r="I47" s="427">
        <f t="shared" si="2"/>
        <v>-111</v>
      </c>
      <c r="J47" s="427" t="str">
        <f t="shared" si="2"/>
        <v/>
      </c>
      <c r="K47" s="427" t="str">
        <f t="shared" si="2"/>
        <v/>
      </c>
      <c r="L47" s="427" t="str">
        <f t="shared" si="2"/>
        <v/>
      </c>
      <c r="M47" s="427">
        <f t="shared" si="2"/>
        <v>-106</v>
      </c>
      <c r="N47" s="427" t="str">
        <f t="shared" si="2"/>
        <v/>
      </c>
      <c r="O47" s="427" t="str">
        <f t="shared" si="3"/>
        <v/>
      </c>
      <c r="P47" s="427" t="str">
        <f t="shared" si="3"/>
        <v/>
      </c>
      <c r="Q47" s="427">
        <f t="shared" si="3"/>
        <v>-19</v>
      </c>
      <c r="R47" s="427" t="str">
        <f t="shared" si="3"/>
        <v/>
      </c>
      <c r="S47" s="427" t="str">
        <f t="shared" si="3"/>
        <v/>
      </c>
      <c r="T47" s="427" t="str">
        <f t="shared" si="3"/>
        <v/>
      </c>
      <c r="U47" s="427">
        <f t="shared" si="3"/>
        <v>-29</v>
      </c>
      <c r="V47" s="427" t="str">
        <f t="shared" si="3"/>
        <v/>
      </c>
      <c r="W47" s="427" t="str">
        <f t="shared" si="3"/>
        <v/>
      </c>
      <c r="X47" s="427" t="str">
        <f t="shared" si="3"/>
        <v/>
      </c>
      <c r="Y47" s="427">
        <f t="shared" si="4"/>
        <v>-20</v>
      </c>
      <c r="Z47" s="427" t="str">
        <f t="shared" si="4"/>
        <v/>
      </c>
      <c r="AA47" s="427" t="str">
        <f t="shared" si="4"/>
        <v/>
      </c>
      <c r="AB47" s="427" t="str">
        <f t="shared" si="4"/>
        <v/>
      </c>
      <c r="AC47" s="427">
        <f t="shared" si="4"/>
        <v>-22</v>
      </c>
      <c r="AD47" s="427" t="str">
        <f t="shared" si="4"/>
        <v/>
      </c>
      <c r="AE47" s="427" t="str">
        <f t="shared" si="4"/>
        <v/>
      </c>
      <c r="AF47" s="427" t="str">
        <f t="shared" si="4"/>
        <v/>
      </c>
      <c r="AG47" s="427">
        <f t="shared" si="4"/>
        <v>-14</v>
      </c>
      <c r="AH47" s="427" t="str">
        <f t="shared" si="4"/>
        <v/>
      </c>
      <c r="AI47" s="427" t="str">
        <f t="shared" si="5"/>
        <v/>
      </c>
      <c r="AJ47" s="427" t="str">
        <f t="shared" si="5"/>
        <v/>
      </c>
      <c r="AK47" s="427">
        <f t="shared" si="5"/>
        <v>-8</v>
      </c>
      <c r="AL47" s="427" t="str">
        <f t="shared" si="5"/>
        <v/>
      </c>
      <c r="AM47" s="427" t="str">
        <f t="shared" si="5"/>
        <v/>
      </c>
      <c r="AN47" s="427" t="str">
        <f t="shared" si="5"/>
        <v/>
      </c>
      <c r="AO47" s="427">
        <f t="shared" si="5"/>
        <v>-21</v>
      </c>
      <c r="AP47" s="427" t="str">
        <f t="shared" si="5"/>
        <v/>
      </c>
      <c r="AQ47" s="427" t="str">
        <f t="shared" si="5"/>
        <v/>
      </c>
      <c r="AR47" s="427" t="str">
        <f t="shared" si="5"/>
        <v/>
      </c>
      <c r="AS47" s="427">
        <f t="shared" si="6"/>
        <v>-6</v>
      </c>
      <c r="AT47" s="427" t="str">
        <f t="shared" si="6"/>
        <v/>
      </c>
      <c r="AU47" s="427" t="str">
        <f t="shared" si="6"/>
        <v/>
      </c>
      <c r="AV47" s="427" t="str">
        <f t="shared" si="6"/>
        <v/>
      </c>
      <c r="AW47" s="427">
        <f t="shared" si="6"/>
        <v>-20</v>
      </c>
      <c r="AX47" s="427" t="str">
        <f t="shared" si="7"/>
        <v/>
      </c>
      <c r="AY47" s="427" t="str">
        <f t="shared" si="8"/>
        <v/>
      </c>
      <c r="AZ47" s="427" t="str">
        <f t="shared" si="9"/>
        <v/>
      </c>
      <c r="BA47" s="427">
        <f t="shared" si="10"/>
        <v>-3</v>
      </c>
      <c r="BB47" s="427" t="str">
        <f t="shared" si="11"/>
        <v/>
      </c>
      <c r="BC47" s="427" t="str">
        <f t="shared" si="12"/>
        <v/>
      </c>
      <c r="BD47" s="427" t="str">
        <f t="shared" si="13"/>
        <v/>
      </c>
      <c r="BE47" s="427">
        <f t="shared" si="14"/>
        <v>-1</v>
      </c>
      <c r="BF47" s="427" t="str">
        <f t="shared" si="15"/>
        <v/>
      </c>
      <c r="BG47" s="427" t="str">
        <f t="shared" si="16"/>
        <v/>
      </c>
      <c r="BH47" s="427" t="str">
        <f t="shared" si="17"/>
        <v/>
      </c>
      <c r="BI47" s="427">
        <f t="shared" si="18"/>
        <v>-7</v>
      </c>
      <c r="BJ47" s="427" t="str">
        <f t="shared" si="19"/>
        <v/>
      </c>
      <c r="BK47" s="427" t="str">
        <f t="shared" si="19"/>
        <v/>
      </c>
      <c r="BL47" s="427" t="str">
        <f t="shared" si="19"/>
        <v/>
      </c>
      <c r="BM47" s="427">
        <f t="shared" si="20"/>
        <v>-7</v>
      </c>
      <c r="BN47" s="427" t="str">
        <f t="shared" si="21"/>
        <v/>
      </c>
      <c r="BO47" s="427" t="str">
        <f t="shared" si="21"/>
        <v/>
      </c>
      <c r="BP47" s="427" t="str">
        <f t="shared" si="21"/>
        <v/>
      </c>
      <c r="BQ47" s="427">
        <f t="shared" si="22"/>
        <v>-8</v>
      </c>
      <c r="BR47" s="427" t="str">
        <f t="shared" si="23"/>
        <v/>
      </c>
      <c r="BS47" s="427" t="str">
        <f t="shared" si="23"/>
        <v/>
      </c>
      <c r="BT47" s="427" t="str">
        <f t="shared" si="23"/>
        <v/>
      </c>
      <c r="BU47" s="427">
        <f t="shared" si="24"/>
        <v>-11</v>
      </c>
      <c r="BV47" s="427" t="str">
        <f t="shared" si="25"/>
        <v/>
      </c>
      <c r="BW47" s="427" t="str">
        <f t="shared" si="26"/>
        <v/>
      </c>
      <c r="BX47" s="427" t="str">
        <f t="shared" si="27"/>
        <v/>
      </c>
      <c r="BY47" s="427">
        <f t="shared" si="28"/>
        <v>-14</v>
      </c>
      <c r="BZ47" s="427" t="str">
        <f t="shared" si="29"/>
        <v/>
      </c>
      <c r="CA47" s="427" t="str">
        <f t="shared" ca="1" si="30"/>
        <v/>
      </c>
      <c r="CB47" s="427" t="str">
        <f t="shared" ca="1" si="31"/>
        <v/>
      </c>
      <c r="CC47" s="427">
        <f t="shared" ca="1" si="32"/>
        <v>-3</v>
      </c>
    </row>
    <row r="48" spans="1:81" s="174" customFormat="1" outlineLevel="1">
      <c r="B48" s="176"/>
      <c r="C48" s="176"/>
      <c r="D48" s="176"/>
      <c r="E48" s="176"/>
      <c r="F48" s="177"/>
      <c r="G48" s="178"/>
      <c r="H48" s="178"/>
      <c r="I48" s="178"/>
      <c r="J48" s="178"/>
      <c r="K48" s="178"/>
      <c r="L48" s="179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80"/>
      <c r="Y48" s="180"/>
      <c r="Z48" s="180"/>
      <c r="AA48" s="180"/>
      <c r="AB48" s="180"/>
      <c r="AC48" s="180"/>
    </row>
    <row r="49" spans="1:81" s="174" customFormat="1" outlineLevel="1">
      <c r="B49" s="176"/>
      <c r="C49" s="176"/>
      <c r="D49" s="176"/>
      <c r="E49" s="176"/>
      <c r="F49" s="177"/>
      <c r="G49" s="178"/>
      <c r="H49" s="178"/>
      <c r="I49" s="178"/>
      <c r="J49" s="178"/>
      <c r="K49" s="178"/>
      <c r="L49" s="179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80"/>
      <c r="Y49" s="180"/>
      <c r="Z49" s="180"/>
      <c r="AA49" s="180"/>
      <c r="AB49" s="180"/>
      <c r="AC49" s="180"/>
    </row>
    <row r="50" spans="1:81" s="423" customFormat="1" outlineLevel="1">
      <c r="A50" s="422" t="s">
        <v>402</v>
      </c>
      <c r="E50" s="423">
        <f t="shared" ref="E50:AR50" si="33">IF( LEN( E42 ) = 0, "", ABS( E42 ) + ABS( E43 ) )</f>
        <v>38</v>
      </c>
      <c r="F50" s="423" t="str">
        <f t="shared" si="33"/>
        <v/>
      </c>
      <c r="G50" s="423" t="str">
        <f t="shared" si="33"/>
        <v/>
      </c>
      <c r="H50" s="423" t="str">
        <f t="shared" si="33"/>
        <v/>
      </c>
      <c r="I50" s="423">
        <f t="shared" si="33"/>
        <v>57</v>
      </c>
      <c r="J50" s="423" t="str">
        <f t="shared" si="33"/>
        <v/>
      </c>
      <c r="K50" s="423" t="str">
        <f t="shared" si="33"/>
        <v/>
      </c>
      <c r="L50" s="423" t="str">
        <f t="shared" si="33"/>
        <v/>
      </c>
      <c r="M50" s="423">
        <f t="shared" si="33"/>
        <v>62</v>
      </c>
      <c r="N50" s="423" t="str">
        <f t="shared" si="33"/>
        <v/>
      </c>
      <c r="O50" s="423" t="str">
        <f t="shared" si="33"/>
        <v/>
      </c>
      <c r="P50" s="423" t="str">
        <f t="shared" si="33"/>
        <v/>
      </c>
      <c r="Q50" s="423">
        <f t="shared" si="33"/>
        <v>34</v>
      </c>
      <c r="R50" s="423" t="str">
        <f t="shared" si="33"/>
        <v/>
      </c>
      <c r="S50" s="423" t="str">
        <f t="shared" si="33"/>
        <v/>
      </c>
      <c r="T50" s="423" t="str">
        <f t="shared" si="33"/>
        <v/>
      </c>
      <c r="U50" s="423">
        <f t="shared" si="33"/>
        <v>22</v>
      </c>
      <c r="V50" s="423" t="str">
        <f t="shared" si="33"/>
        <v/>
      </c>
      <c r="W50" s="423" t="str">
        <f t="shared" si="33"/>
        <v/>
      </c>
      <c r="X50" s="423" t="str">
        <f t="shared" si="33"/>
        <v/>
      </c>
      <c r="Y50" s="423">
        <f t="shared" si="33"/>
        <v>31</v>
      </c>
      <c r="Z50" s="423" t="str">
        <f t="shared" si="33"/>
        <v/>
      </c>
      <c r="AA50" s="423" t="str">
        <f t="shared" si="33"/>
        <v/>
      </c>
      <c r="AB50" s="423" t="str">
        <f t="shared" si="33"/>
        <v/>
      </c>
      <c r="AC50" s="423">
        <f t="shared" si="33"/>
        <v>41</v>
      </c>
      <c r="AD50" s="423" t="str">
        <f t="shared" si="33"/>
        <v/>
      </c>
      <c r="AE50" s="423" t="str">
        <f t="shared" si="33"/>
        <v/>
      </c>
      <c r="AF50" s="423" t="str">
        <f t="shared" si="33"/>
        <v/>
      </c>
      <c r="AG50" s="423">
        <f t="shared" si="33"/>
        <v>17</v>
      </c>
      <c r="AH50" s="423" t="str">
        <f t="shared" si="33"/>
        <v/>
      </c>
      <c r="AI50" s="423" t="str">
        <f t="shared" si="33"/>
        <v/>
      </c>
      <c r="AJ50" s="423" t="str">
        <f t="shared" si="33"/>
        <v/>
      </c>
      <c r="AK50" s="423">
        <f t="shared" si="33"/>
        <v>14</v>
      </c>
      <c r="AL50" s="423" t="str">
        <f t="shared" si="33"/>
        <v/>
      </c>
      <c r="AM50" s="423" t="str">
        <f t="shared" si="33"/>
        <v/>
      </c>
      <c r="AN50" s="423" t="str">
        <f t="shared" si="33"/>
        <v/>
      </c>
      <c r="AO50" s="423">
        <f t="shared" si="33"/>
        <v>24</v>
      </c>
      <c r="AP50" s="423" t="str">
        <f t="shared" si="33"/>
        <v/>
      </c>
      <c r="AQ50" s="423" t="str">
        <f t="shared" si="33"/>
        <v/>
      </c>
      <c r="AR50" s="423" t="str">
        <f t="shared" si="33"/>
        <v/>
      </c>
      <c r="AS50" s="423">
        <f t="shared" ref="AS50:BU50" si="34">IF( LEN( AS42 ) = 0, "", ABS( AS42 ) + ABS( AS43 ) )</f>
        <v>25</v>
      </c>
      <c r="AT50" s="423" t="str">
        <f t="shared" si="34"/>
        <v/>
      </c>
      <c r="AU50" s="423" t="str">
        <f t="shared" si="34"/>
        <v/>
      </c>
      <c r="AV50" s="423" t="str">
        <f t="shared" si="34"/>
        <v/>
      </c>
      <c r="AW50" s="423">
        <f t="shared" si="34"/>
        <v>26</v>
      </c>
      <c r="AX50" s="423" t="str">
        <f t="shared" ref="AX50:BQ50" si="35">IF( LEN( AX42 ) = 0, "", ABS( AX42 ) + ABS( AX43 ) )</f>
        <v/>
      </c>
      <c r="AY50" s="423" t="str">
        <f t="shared" si="35"/>
        <v/>
      </c>
      <c r="AZ50" s="423" t="str">
        <f t="shared" si="35"/>
        <v/>
      </c>
      <c r="BA50" s="423">
        <f t="shared" si="35"/>
        <v>23</v>
      </c>
      <c r="BB50" s="423" t="str">
        <f t="shared" si="35"/>
        <v/>
      </c>
      <c r="BC50" s="423" t="str">
        <f t="shared" si="35"/>
        <v/>
      </c>
      <c r="BD50" s="423" t="str">
        <f t="shared" si="35"/>
        <v/>
      </c>
      <c r="BE50" s="423">
        <f t="shared" si="35"/>
        <v>14</v>
      </c>
      <c r="BF50" s="423" t="str">
        <f t="shared" si="35"/>
        <v/>
      </c>
      <c r="BG50" s="423" t="str">
        <f t="shared" si="35"/>
        <v/>
      </c>
      <c r="BH50" s="423" t="str">
        <f t="shared" si="35"/>
        <v/>
      </c>
      <c r="BI50" s="423">
        <f t="shared" si="35"/>
        <v>11</v>
      </c>
      <c r="BJ50" s="423" t="str">
        <f t="shared" si="35"/>
        <v/>
      </c>
      <c r="BK50" s="423" t="str">
        <f t="shared" si="35"/>
        <v/>
      </c>
      <c r="BL50" s="423" t="str">
        <f t="shared" si="35"/>
        <v/>
      </c>
      <c r="BM50" s="423">
        <f t="shared" si="35"/>
        <v>16</v>
      </c>
      <c r="BN50" s="423" t="str">
        <f t="shared" si="35"/>
        <v/>
      </c>
      <c r="BO50" s="423" t="str">
        <f t="shared" si="35"/>
        <v/>
      </c>
      <c r="BP50" s="423" t="str">
        <f t="shared" si="35"/>
        <v/>
      </c>
      <c r="BQ50" s="423">
        <f t="shared" si="35"/>
        <v>15</v>
      </c>
      <c r="BR50" s="423" t="str">
        <f t="shared" si="34"/>
        <v/>
      </c>
      <c r="BS50" s="423" t="str">
        <f t="shared" si="34"/>
        <v/>
      </c>
      <c r="BT50" s="423" t="str">
        <f t="shared" si="34"/>
        <v/>
      </c>
      <c r="BU50" s="423">
        <f t="shared" si="34"/>
        <v>33</v>
      </c>
      <c r="BV50" s="423" t="str">
        <f t="shared" ref="BV50:CC50" si="36">IF( LEN( BV42 ) = 0, "", ABS( BV42 ) + ABS( BV43 ) )</f>
        <v/>
      </c>
      <c r="BW50" s="423" t="str">
        <f t="shared" si="36"/>
        <v/>
      </c>
      <c r="BX50" s="423" t="str">
        <f t="shared" si="36"/>
        <v/>
      </c>
      <c r="BY50" s="423">
        <f t="shared" si="36"/>
        <v>36</v>
      </c>
      <c r="BZ50" s="423" t="str">
        <f t="shared" si="36"/>
        <v/>
      </c>
      <c r="CA50" s="423" t="str">
        <f t="shared" ca="1" si="36"/>
        <v/>
      </c>
      <c r="CB50" s="423" t="str">
        <f t="shared" ca="1" si="36"/>
        <v/>
      </c>
      <c r="CC50" s="423">
        <f t="shared" ca="1" si="36"/>
        <v>7</v>
      </c>
    </row>
    <row r="51" spans="1:81" s="425" customFormat="1" outlineLevel="1">
      <c r="A51" s="424" t="s">
        <v>403</v>
      </c>
      <c r="E51" s="425">
        <f t="shared" ref="E51:AN51" si="37">IF( LEN( E44 ) = 0, "", ABS( E44 ) + ABS( E45 ) )</f>
        <v>68</v>
      </c>
      <c r="F51" s="425" t="str">
        <f t="shared" si="37"/>
        <v/>
      </c>
      <c r="G51" s="425" t="str">
        <f t="shared" si="37"/>
        <v/>
      </c>
      <c r="H51" s="425" t="str">
        <f t="shared" si="37"/>
        <v/>
      </c>
      <c r="I51" s="425">
        <f t="shared" si="37"/>
        <v>118</v>
      </c>
      <c r="J51" s="425" t="str">
        <f t="shared" si="37"/>
        <v/>
      </c>
      <c r="K51" s="425" t="str">
        <f t="shared" si="37"/>
        <v/>
      </c>
      <c r="L51" s="425" t="str">
        <f t="shared" si="37"/>
        <v/>
      </c>
      <c r="M51" s="425">
        <f t="shared" si="37"/>
        <v>79</v>
      </c>
      <c r="N51" s="425" t="str">
        <f t="shared" si="37"/>
        <v/>
      </c>
      <c r="O51" s="425" t="str">
        <f t="shared" si="37"/>
        <v/>
      </c>
      <c r="P51" s="425" t="str">
        <f t="shared" si="37"/>
        <v/>
      </c>
      <c r="Q51" s="425">
        <f t="shared" si="37"/>
        <v>42</v>
      </c>
      <c r="R51" s="425" t="str">
        <f t="shared" si="37"/>
        <v/>
      </c>
      <c r="S51" s="425" t="str">
        <f t="shared" si="37"/>
        <v/>
      </c>
      <c r="T51" s="425" t="str">
        <f t="shared" si="37"/>
        <v/>
      </c>
      <c r="U51" s="425">
        <f t="shared" si="37"/>
        <v>46</v>
      </c>
      <c r="V51" s="425" t="str">
        <f t="shared" si="37"/>
        <v/>
      </c>
      <c r="W51" s="425" t="str">
        <f t="shared" si="37"/>
        <v/>
      </c>
      <c r="X51" s="425" t="str">
        <f t="shared" si="37"/>
        <v/>
      </c>
      <c r="Y51" s="425">
        <f t="shared" si="37"/>
        <v>39</v>
      </c>
      <c r="Z51" s="425" t="str">
        <f t="shared" si="37"/>
        <v/>
      </c>
      <c r="AA51" s="425" t="str">
        <f t="shared" si="37"/>
        <v/>
      </c>
      <c r="AB51" s="425" t="str">
        <f t="shared" si="37"/>
        <v/>
      </c>
      <c r="AC51" s="425">
        <f t="shared" si="37"/>
        <v>32</v>
      </c>
      <c r="AD51" s="425" t="str">
        <f t="shared" si="37"/>
        <v/>
      </c>
      <c r="AE51" s="425" t="str">
        <f t="shared" si="37"/>
        <v/>
      </c>
      <c r="AF51" s="425" t="str">
        <f t="shared" si="37"/>
        <v/>
      </c>
      <c r="AG51" s="425">
        <f t="shared" si="37"/>
        <v>6</v>
      </c>
      <c r="AH51" s="425" t="str">
        <f t="shared" si="37"/>
        <v/>
      </c>
      <c r="AI51" s="425" t="str">
        <f t="shared" si="37"/>
        <v/>
      </c>
      <c r="AJ51" s="425" t="str">
        <f t="shared" si="37"/>
        <v/>
      </c>
      <c r="AK51" s="425">
        <f t="shared" si="37"/>
        <v>23</v>
      </c>
      <c r="AL51" s="425" t="str">
        <f t="shared" si="37"/>
        <v/>
      </c>
      <c r="AM51" s="425" t="str">
        <f t="shared" si="37"/>
        <v/>
      </c>
      <c r="AN51" s="425" t="str">
        <f t="shared" si="37"/>
        <v/>
      </c>
      <c r="AO51" s="425">
        <f>IF( LEN( AO44 ) = 0, "", ABS( AO44 ) + ABS( AO45 ) )</f>
        <v>20</v>
      </c>
      <c r="AP51" s="425" t="str">
        <f t="shared" ref="AP51:AW51" si="38">IF( LEN( AP44 ) = 0, "", ABS( AP44 ) + ABS( AP45 ) )</f>
        <v/>
      </c>
      <c r="AQ51" s="425" t="str">
        <f t="shared" si="38"/>
        <v/>
      </c>
      <c r="AR51" s="425" t="str">
        <f t="shared" si="38"/>
        <v/>
      </c>
      <c r="AS51" s="425">
        <f t="shared" si="38"/>
        <v>11</v>
      </c>
      <c r="AT51" s="425" t="str">
        <f t="shared" si="38"/>
        <v/>
      </c>
      <c r="AU51" s="425" t="str">
        <f t="shared" si="38"/>
        <v/>
      </c>
      <c r="AV51" s="425" t="str">
        <f t="shared" si="38"/>
        <v/>
      </c>
      <c r="AW51" s="425">
        <f t="shared" si="38"/>
        <v>20</v>
      </c>
      <c r="AX51" s="425" t="str">
        <f t="shared" ref="AX51:BU51" si="39">IF( LEN( AX44 ) = 0, "", ABS( AX44 ) + ABS( AX45 ) )</f>
        <v/>
      </c>
      <c r="AY51" s="425" t="str">
        <f t="shared" si="39"/>
        <v/>
      </c>
      <c r="AZ51" s="425" t="str">
        <f t="shared" si="39"/>
        <v/>
      </c>
      <c r="BA51" s="425">
        <f t="shared" si="39"/>
        <v>17</v>
      </c>
      <c r="BB51" s="425" t="str">
        <f t="shared" ref="BB51:BQ51" si="40">IF( LEN( BB44 ) = 0, "", ABS( BB44 ) + ABS( BB45 ) )</f>
        <v/>
      </c>
      <c r="BC51" s="425" t="str">
        <f t="shared" si="40"/>
        <v/>
      </c>
      <c r="BD51" s="425" t="str">
        <f t="shared" si="40"/>
        <v/>
      </c>
      <c r="BE51" s="425">
        <f t="shared" si="40"/>
        <v>85</v>
      </c>
      <c r="BF51" s="425" t="str">
        <f t="shared" si="40"/>
        <v/>
      </c>
      <c r="BG51" s="425" t="str">
        <f t="shared" si="40"/>
        <v/>
      </c>
      <c r="BH51" s="425" t="str">
        <f t="shared" si="40"/>
        <v/>
      </c>
      <c r="BI51" s="425">
        <f t="shared" si="40"/>
        <v>12</v>
      </c>
      <c r="BJ51" s="425" t="str">
        <f t="shared" si="40"/>
        <v/>
      </c>
      <c r="BK51" s="425" t="str">
        <f t="shared" si="40"/>
        <v/>
      </c>
      <c r="BL51" s="425" t="str">
        <f t="shared" si="40"/>
        <v/>
      </c>
      <c r="BM51" s="425">
        <f t="shared" si="40"/>
        <v>13</v>
      </c>
      <c r="BN51" s="425" t="str">
        <f t="shared" si="40"/>
        <v/>
      </c>
      <c r="BO51" s="425" t="str">
        <f t="shared" si="40"/>
        <v/>
      </c>
      <c r="BP51" s="425" t="str">
        <f t="shared" si="40"/>
        <v/>
      </c>
      <c r="BQ51" s="425">
        <f t="shared" si="40"/>
        <v>12</v>
      </c>
      <c r="BR51" s="425" t="str">
        <f t="shared" si="39"/>
        <v/>
      </c>
      <c r="BS51" s="425" t="str">
        <f t="shared" si="39"/>
        <v/>
      </c>
      <c r="BT51" s="425" t="str">
        <f t="shared" si="39"/>
        <v/>
      </c>
      <c r="BU51" s="425">
        <f t="shared" si="39"/>
        <v>23</v>
      </c>
      <c r="BV51" s="425" t="str">
        <f t="shared" ref="BV51:CC51" si="41">IF( LEN( BV44 ) = 0, "", ABS( BV44 ) + ABS( BV45 ) )</f>
        <v/>
      </c>
      <c r="BW51" s="425" t="str">
        <f t="shared" si="41"/>
        <v/>
      </c>
      <c r="BX51" s="425" t="str">
        <f t="shared" si="41"/>
        <v/>
      </c>
      <c r="BY51" s="425">
        <f t="shared" si="41"/>
        <v>20</v>
      </c>
      <c r="BZ51" s="425" t="str">
        <f t="shared" si="41"/>
        <v/>
      </c>
      <c r="CA51" s="425" t="str">
        <f t="shared" ca="1" si="41"/>
        <v/>
      </c>
      <c r="CB51" s="425" t="str">
        <f t="shared" ca="1" si="41"/>
        <v/>
      </c>
      <c r="CC51" s="425">
        <f t="shared" ca="1" si="41"/>
        <v>6</v>
      </c>
    </row>
    <row r="52" spans="1:81" s="427" customFormat="1" outlineLevel="1">
      <c r="A52" s="426" t="s">
        <v>404</v>
      </c>
      <c r="E52" s="427">
        <f>IF( LEN( E46 ) = 0, "", ABS( E46 ) + ABS( E47 ) )</f>
        <v>101</v>
      </c>
      <c r="F52" s="427" t="str">
        <f t="shared" ref="F52:AS52" si="42">IF( LEN( F46 ) = 0, "", ABS( F46 ) + ABS( F47 ) )</f>
        <v/>
      </c>
      <c r="G52" s="427" t="str">
        <f t="shared" si="42"/>
        <v/>
      </c>
      <c r="H52" s="427" t="str">
        <f t="shared" si="42"/>
        <v/>
      </c>
      <c r="I52" s="427">
        <f t="shared" si="42"/>
        <v>125</v>
      </c>
      <c r="J52" s="427" t="str">
        <f t="shared" si="42"/>
        <v/>
      </c>
      <c r="K52" s="427" t="str">
        <f t="shared" si="42"/>
        <v/>
      </c>
      <c r="L52" s="427" t="str">
        <f t="shared" si="42"/>
        <v/>
      </c>
      <c r="M52" s="427">
        <f t="shared" si="42"/>
        <v>112</v>
      </c>
      <c r="N52" s="427" t="str">
        <f t="shared" si="42"/>
        <v/>
      </c>
      <c r="O52" s="427" t="str">
        <f t="shared" si="42"/>
        <v/>
      </c>
      <c r="P52" s="427" t="str">
        <f t="shared" si="42"/>
        <v/>
      </c>
      <c r="Q52" s="427">
        <f t="shared" si="42"/>
        <v>34</v>
      </c>
      <c r="R52" s="427" t="str">
        <f t="shared" si="42"/>
        <v/>
      </c>
      <c r="S52" s="427" t="str">
        <f t="shared" si="42"/>
        <v/>
      </c>
      <c r="T52" s="427" t="str">
        <f t="shared" si="42"/>
        <v/>
      </c>
      <c r="U52" s="427">
        <f t="shared" si="42"/>
        <v>53</v>
      </c>
      <c r="V52" s="427" t="str">
        <f t="shared" si="42"/>
        <v/>
      </c>
      <c r="W52" s="427" t="str">
        <f t="shared" si="42"/>
        <v/>
      </c>
      <c r="X52" s="427" t="str">
        <f t="shared" si="42"/>
        <v/>
      </c>
      <c r="Y52" s="427">
        <f t="shared" si="42"/>
        <v>40</v>
      </c>
      <c r="Z52" s="427" t="str">
        <f t="shared" si="42"/>
        <v/>
      </c>
      <c r="AA52" s="427" t="str">
        <f t="shared" si="42"/>
        <v/>
      </c>
      <c r="AB52" s="427" t="str">
        <f t="shared" si="42"/>
        <v/>
      </c>
      <c r="AC52" s="427">
        <f t="shared" si="42"/>
        <v>48</v>
      </c>
      <c r="AD52" s="427" t="str">
        <f t="shared" si="42"/>
        <v/>
      </c>
      <c r="AE52" s="427" t="str">
        <f t="shared" si="42"/>
        <v/>
      </c>
      <c r="AF52" s="427" t="str">
        <f t="shared" si="42"/>
        <v/>
      </c>
      <c r="AG52" s="427">
        <f t="shared" si="42"/>
        <v>27</v>
      </c>
      <c r="AH52" s="427" t="str">
        <f t="shared" si="42"/>
        <v/>
      </c>
      <c r="AI52" s="427" t="str">
        <f t="shared" si="42"/>
        <v/>
      </c>
      <c r="AJ52" s="427" t="str">
        <f t="shared" si="42"/>
        <v/>
      </c>
      <c r="AK52" s="427">
        <f t="shared" si="42"/>
        <v>20</v>
      </c>
      <c r="AL52" s="427" t="str">
        <f t="shared" si="42"/>
        <v/>
      </c>
      <c r="AM52" s="427" t="str">
        <f t="shared" si="42"/>
        <v/>
      </c>
      <c r="AN52" s="427" t="str">
        <f t="shared" si="42"/>
        <v/>
      </c>
      <c r="AO52" s="427">
        <f t="shared" si="42"/>
        <v>36</v>
      </c>
      <c r="AP52" s="427" t="str">
        <f t="shared" si="42"/>
        <v/>
      </c>
      <c r="AQ52" s="427" t="str">
        <f t="shared" si="42"/>
        <v/>
      </c>
      <c r="AR52" s="427" t="str">
        <f t="shared" si="42"/>
        <v/>
      </c>
      <c r="AS52" s="427">
        <f t="shared" si="42"/>
        <v>24</v>
      </c>
      <c r="AT52" s="427" t="str">
        <f t="shared" ref="AT52:BU52" si="43">IF( LEN( AT46 ) = 0, "", ABS( AT46 ) + ABS( AT47 ) )</f>
        <v/>
      </c>
      <c r="AU52" s="427" t="str">
        <f t="shared" si="43"/>
        <v/>
      </c>
      <c r="AV52" s="427" t="str">
        <f t="shared" si="43"/>
        <v/>
      </c>
      <c r="AW52" s="427">
        <f t="shared" si="43"/>
        <v>30</v>
      </c>
      <c r="AX52" s="427" t="str">
        <f t="shared" ref="AX52:BQ52" si="44">IF( LEN( AX46 ) = 0, "", ABS( AX46 ) + ABS( AX47 ) )</f>
        <v/>
      </c>
      <c r="AY52" s="427" t="str">
        <f t="shared" si="44"/>
        <v/>
      </c>
      <c r="AZ52" s="427" t="str">
        <f t="shared" si="44"/>
        <v/>
      </c>
      <c r="BA52" s="427">
        <f t="shared" si="44"/>
        <v>40</v>
      </c>
      <c r="BB52" s="427" t="str">
        <f t="shared" si="44"/>
        <v/>
      </c>
      <c r="BC52" s="427" t="str">
        <f t="shared" si="44"/>
        <v/>
      </c>
      <c r="BD52" s="427" t="str">
        <f t="shared" si="44"/>
        <v/>
      </c>
      <c r="BE52" s="427">
        <f t="shared" si="44"/>
        <v>7</v>
      </c>
      <c r="BF52" s="427" t="str">
        <f t="shared" si="44"/>
        <v/>
      </c>
      <c r="BG52" s="427" t="str">
        <f t="shared" si="44"/>
        <v/>
      </c>
      <c r="BH52" s="427" t="str">
        <f t="shared" si="44"/>
        <v/>
      </c>
      <c r="BI52" s="427">
        <f t="shared" si="44"/>
        <v>27</v>
      </c>
      <c r="BJ52" s="427" t="str">
        <f t="shared" si="44"/>
        <v/>
      </c>
      <c r="BK52" s="427" t="str">
        <f t="shared" si="44"/>
        <v/>
      </c>
      <c r="BL52" s="427" t="str">
        <f t="shared" si="44"/>
        <v/>
      </c>
      <c r="BM52" s="427">
        <f t="shared" si="44"/>
        <v>38</v>
      </c>
      <c r="BN52" s="427" t="str">
        <f t="shared" si="44"/>
        <v/>
      </c>
      <c r="BO52" s="427" t="str">
        <f t="shared" si="44"/>
        <v/>
      </c>
      <c r="BP52" s="427" t="str">
        <f t="shared" si="44"/>
        <v/>
      </c>
      <c r="BQ52" s="427">
        <f t="shared" si="44"/>
        <v>25</v>
      </c>
      <c r="BR52" s="427" t="str">
        <f t="shared" si="43"/>
        <v/>
      </c>
      <c r="BS52" s="427" t="str">
        <f t="shared" si="43"/>
        <v/>
      </c>
      <c r="BT52" s="427" t="str">
        <f t="shared" si="43"/>
        <v/>
      </c>
      <c r="BU52" s="427">
        <f t="shared" si="43"/>
        <v>37</v>
      </c>
      <c r="BV52" s="427" t="str">
        <f t="shared" ref="BV52:CC52" si="45">IF( LEN( BV46 ) = 0, "", ABS( BV46 ) + ABS( BV47 ) )</f>
        <v/>
      </c>
      <c r="BW52" s="427" t="str">
        <f t="shared" si="45"/>
        <v/>
      </c>
      <c r="BX52" s="427" t="str">
        <f t="shared" si="45"/>
        <v/>
      </c>
      <c r="BY52" s="427">
        <f t="shared" si="45"/>
        <v>34</v>
      </c>
      <c r="BZ52" s="427" t="str">
        <f t="shared" si="45"/>
        <v/>
      </c>
      <c r="CA52" s="427" t="str">
        <f t="shared" ca="1" si="45"/>
        <v/>
      </c>
      <c r="CB52" s="427" t="str">
        <f t="shared" ca="1" si="45"/>
        <v/>
      </c>
      <c r="CC52" s="427">
        <f t="shared" ca="1" si="45"/>
        <v>3</v>
      </c>
    </row>
    <row r="53" spans="1:81" s="200" customFormat="1" outlineLevel="1">
      <c r="A53" s="198" t="s">
        <v>416</v>
      </c>
      <c r="B53" s="199"/>
      <c r="C53" s="199"/>
      <c r="D53" s="199"/>
      <c r="E53" s="199">
        <f>IF( LEN( E51 ) = 0, "", ABS( E50 ) + ABS( E51 )  + ABS( E52 ) )</f>
        <v>207</v>
      </c>
      <c r="F53" s="199" t="str">
        <f t="shared" ref="F53:AW53" si="46">IF( LEN( F51 ) = 0, "", ABS( F50 ) + ABS( F51 )  + ABS( F52 ) )</f>
        <v/>
      </c>
      <c r="G53" s="199" t="str">
        <f t="shared" si="46"/>
        <v/>
      </c>
      <c r="H53" s="199" t="str">
        <f t="shared" si="46"/>
        <v/>
      </c>
      <c r="I53" s="199">
        <f t="shared" si="46"/>
        <v>300</v>
      </c>
      <c r="J53" s="199" t="str">
        <f t="shared" si="46"/>
        <v/>
      </c>
      <c r="K53" s="199" t="str">
        <f t="shared" si="46"/>
        <v/>
      </c>
      <c r="L53" s="199" t="str">
        <f t="shared" si="46"/>
        <v/>
      </c>
      <c r="M53" s="199">
        <f t="shared" si="46"/>
        <v>253</v>
      </c>
      <c r="N53" s="199" t="str">
        <f t="shared" si="46"/>
        <v/>
      </c>
      <c r="O53" s="199" t="str">
        <f t="shared" si="46"/>
        <v/>
      </c>
      <c r="P53" s="199" t="str">
        <f t="shared" si="46"/>
        <v/>
      </c>
      <c r="Q53" s="199">
        <f t="shared" si="46"/>
        <v>110</v>
      </c>
      <c r="R53" s="199" t="str">
        <f t="shared" si="46"/>
        <v/>
      </c>
      <c r="S53" s="199" t="str">
        <f t="shared" si="46"/>
        <v/>
      </c>
      <c r="T53" s="199" t="str">
        <f t="shared" si="46"/>
        <v/>
      </c>
      <c r="U53" s="199">
        <f t="shared" si="46"/>
        <v>121</v>
      </c>
      <c r="V53" s="199" t="str">
        <f t="shared" si="46"/>
        <v/>
      </c>
      <c r="W53" s="199" t="str">
        <f t="shared" si="46"/>
        <v/>
      </c>
      <c r="X53" s="199" t="str">
        <f t="shared" si="46"/>
        <v/>
      </c>
      <c r="Y53" s="199">
        <f t="shared" si="46"/>
        <v>110</v>
      </c>
      <c r="Z53" s="199" t="str">
        <f t="shared" si="46"/>
        <v/>
      </c>
      <c r="AA53" s="199" t="str">
        <f t="shared" si="46"/>
        <v/>
      </c>
      <c r="AB53" s="199" t="str">
        <f t="shared" si="46"/>
        <v/>
      </c>
      <c r="AC53" s="199">
        <f t="shared" si="46"/>
        <v>121</v>
      </c>
      <c r="AD53" s="199" t="str">
        <f t="shared" si="46"/>
        <v/>
      </c>
      <c r="AE53" s="199" t="str">
        <f t="shared" si="46"/>
        <v/>
      </c>
      <c r="AF53" s="199" t="str">
        <f t="shared" si="46"/>
        <v/>
      </c>
      <c r="AG53" s="199">
        <f t="shared" si="46"/>
        <v>50</v>
      </c>
      <c r="AH53" s="199" t="str">
        <f t="shared" si="46"/>
        <v/>
      </c>
      <c r="AI53" s="199" t="str">
        <f t="shared" si="46"/>
        <v/>
      </c>
      <c r="AJ53" s="199" t="str">
        <f t="shared" si="46"/>
        <v/>
      </c>
      <c r="AK53" s="199">
        <f t="shared" si="46"/>
        <v>57</v>
      </c>
      <c r="AL53" s="199" t="str">
        <f t="shared" si="46"/>
        <v/>
      </c>
      <c r="AM53" s="199" t="str">
        <f t="shared" si="46"/>
        <v/>
      </c>
      <c r="AN53" s="199" t="str">
        <f t="shared" si="46"/>
        <v/>
      </c>
      <c r="AO53" s="199">
        <f t="shared" si="46"/>
        <v>80</v>
      </c>
      <c r="AP53" s="199" t="str">
        <f t="shared" si="46"/>
        <v/>
      </c>
      <c r="AQ53" s="199" t="str">
        <f t="shared" si="46"/>
        <v/>
      </c>
      <c r="AR53" s="199" t="str">
        <f t="shared" si="46"/>
        <v/>
      </c>
      <c r="AS53" s="199">
        <f t="shared" si="46"/>
        <v>60</v>
      </c>
      <c r="AT53" s="199" t="str">
        <f t="shared" si="46"/>
        <v/>
      </c>
      <c r="AU53" s="199" t="str">
        <f t="shared" si="46"/>
        <v/>
      </c>
      <c r="AV53" s="199" t="str">
        <f t="shared" si="46"/>
        <v/>
      </c>
      <c r="AW53" s="199">
        <f t="shared" si="46"/>
        <v>76</v>
      </c>
      <c r="AX53" s="199" t="str">
        <f t="shared" ref="AX53:BU53" si="47">IF( LEN( AX51 ) = 0, "", ABS( AX50 ) + ABS( AX51 )  + ABS( AX52 ) )</f>
        <v/>
      </c>
      <c r="AY53" s="199" t="str">
        <f t="shared" si="47"/>
        <v/>
      </c>
      <c r="AZ53" s="199" t="str">
        <f t="shared" si="47"/>
        <v/>
      </c>
      <c r="BA53" s="199">
        <f t="shared" si="47"/>
        <v>80</v>
      </c>
      <c r="BB53" s="199" t="str">
        <f t="shared" ref="BB53:BQ53" si="48">IF( LEN( BB51 ) = 0, "", ABS( BB50 ) + ABS( BB51 )  + ABS( BB52 ) )</f>
        <v/>
      </c>
      <c r="BC53" s="199" t="str">
        <f t="shared" si="48"/>
        <v/>
      </c>
      <c r="BD53" s="199" t="str">
        <f t="shared" si="48"/>
        <v/>
      </c>
      <c r="BE53" s="199">
        <f t="shared" si="48"/>
        <v>106</v>
      </c>
      <c r="BF53" s="199" t="str">
        <f t="shared" si="48"/>
        <v/>
      </c>
      <c r="BG53" s="199" t="str">
        <f t="shared" si="48"/>
        <v/>
      </c>
      <c r="BH53" s="199" t="str">
        <f t="shared" si="48"/>
        <v/>
      </c>
      <c r="BI53" s="199">
        <f t="shared" si="48"/>
        <v>50</v>
      </c>
      <c r="BJ53" s="199" t="str">
        <f t="shared" si="48"/>
        <v/>
      </c>
      <c r="BK53" s="199" t="str">
        <f t="shared" si="48"/>
        <v/>
      </c>
      <c r="BL53" s="199" t="str">
        <f t="shared" si="48"/>
        <v/>
      </c>
      <c r="BM53" s="199">
        <f t="shared" si="48"/>
        <v>67</v>
      </c>
      <c r="BN53" s="199" t="str">
        <f t="shared" si="48"/>
        <v/>
      </c>
      <c r="BO53" s="199" t="str">
        <f t="shared" si="48"/>
        <v/>
      </c>
      <c r="BP53" s="199" t="str">
        <f t="shared" si="48"/>
        <v/>
      </c>
      <c r="BQ53" s="199">
        <f t="shared" si="48"/>
        <v>52</v>
      </c>
      <c r="BR53" s="199" t="str">
        <f t="shared" si="47"/>
        <v/>
      </c>
      <c r="BS53" s="199" t="str">
        <f t="shared" si="47"/>
        <v/>
      </c>
      <c r="BT53" s="199" t="str">
        <f t="shared" si="47"/>
        <v/>
      </c>
      <c r="BU53" s="199">
        <f t="shared" si="47"/>
        <v>93</v>
      </c>
      <c r="BV53" s="199" t="str">
        <f t="shared" ref="BV53:CC53" si="49">IF( LEN( BV51 ) = 0, "", ABS( BV50 ) + ABS( BV51 )  + ABS( BV52 ) )</f>
        <v/>
      </c>
      <c r="BW53" s="199" t="str">
        <f t="shared" si="49"/>
        <v/>
      </c>
      <c r="BX53" s="199" t="str">
        <f t="shared" si="49"/>
        <v/>
      </c>
      <c r="BY53" s="199">
        <f t="shared" si="49"/>
        <v>90</v>
      </c>
      <c r="BZ53" s="199" t="str">
        <f t="shared" si="49"/>
        <v/>
      </c>
      <c r="CA53" s="199" t="str">
        <f t="shared" ca="1" si="49"/>
        <v/>
      </c>
      <c r="CB53" s="199" t="str">
        <f t="shared" ca="1" si="49"/>
        <v/>
      </c>
      <c r="CC53" s="199">
        <f t="shared" ca="1" si="49"/>
        <v>16</v>
      </c>
    </row>
    <row r="54" spans="1:81" s="174" customFormat="1" outlineLevel="1">
      <c r="B54" s="176"/>
      <c r="C54" s="176"/>
      <c r="D54" s="176"/>
      <c r="E54" s="176"/>
      <c r="F54" s="177"/>
      <c r="G54" s="178"/>
      <c r="H54" s="178"/>
      <c r="I54" s="178"/>
      <c r="J54" s="178"/>
      <c r="K54" s="178"/>
      <c r="L54" s="179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80"/>
      <c r="Y54" s="180"/>
      <c r="Z54" s="180"/>
      <c r="AA54" s="180"/>
      <c r="AB54" s="180"/>
      <c r="AC54" s="180"/>
    </row>
    <row r="55" spans="1:81" s="174" customFormat="1" outlineLevel="1">
      <c r="B55" s="176"/>
      <c r="C55" s="176"/>
      <c r="D55" s="176"/>
      <c r="E55" s="176"/>
      <c r="F55" s="177"/>
      <c r="G55" s="178"/>
      <c r="H55" s="178"/>
      <c r="I55" s="178"/>
      <c r="J55" s="178"/>
      <c r="K55" s="178"/>
      <c r="L55" s="179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80"/>
      <c r="Y55" s="180"/>
      <c r="Z55" s="180"/>
      <c r="AA55" s="180"/>
      <c r="AB55" s="180"/>
      <c r="AC55" s="180"/>
    </row>
    <row r="56" spans="1:81" s="423" customFormat="1" outlineLevel="1">
      <c r="A56" s="422" t="s">
        <v>391</v>
      </c>
      <c r="B56" s="423">
        <f t="shared" ref="B56:BM56" si="50">SUM(B29,B31,B33)</f>
        <v>23</v>
      </c>
      <c r="C56" s="423">
        <f t="shared" si="50"/>
        <v>14</v>
      </c>
      <c r="D56" s="423">
        <f t="shared" si="50"/>
        <v>6</v>
      </c>
      <c r="E56" s="423">
        <f t="shared" si="50"/>
        <v>14</v>
      </c>
      <c r="F56" s="423">
        <f t="shared" si="50"/>
        <v>6</v>
      </c>
      <c r="G56" s="423">
        <f t="shared" si="50"/>
        <v>2</v>
      </c>
      <c r="H56" s="423">
        <f t="shared" si="50"/>
        <v>12</v>
      </c>
      <c r="I56" s="423">
        <f t="shared" si="50"/>
        <v>1</v>
      </c>
      <c r="J56" s="423">
        <f t="shared" si="50"/>
        <v>4</v>
      </c>
      <c r="K56" s="423">
        <f t="shared" si="50"/>
        <v>15</v>
      </c>
      <c r="L56" s="423">
        <f t="shared" si="50"/>
        <v>6</v>
      </c>
      <c r="M56" s="423">
        <f t="shared" si="50"/>
        <v>10</v>
      </c>
      <c r="N56" s="423">
        <f t="shared" si="50"/>
        <v>8</v>
      </c>
      <c r="O56" s="423">
        <f t="shared" si="50"/>
        <v>8</v>
      </c>
      <c r="P56" s="423">
        <f t="shared" si="50"/>
        <v>21</v>
      </c>
      <c r="Q56" s="423">
        <f t="shared" si="50"/>
        <v>14</v>
      </c>
      <c r="R56" s="423">
        <f t="shared" si="50"/>
        <v>23</v>
      </c>
      <c r="S56" s="423">
        <f t="shared" si="50"/>
        <v>20</v>
      </c>
      <c r="T56" s="423">
        <f t="shared" si="50"/>
        <v>20</v>
      </c>
      <c r="U56" s="423">
        <f t="shared" si="50"/>
        <v>10</v>
      </c>
      <c r="V56" s="423">
        <f t="shared" si="50"/>
        <v>18</v>
      </c>
      <c r="W56" s="423">
        <f t="shared" si="50"/>
        <v>24</v>
      </c>
      <c r="X56" s="423">
        <f t="shared" si="50"/>
        <v>19</v>
      </c>
      <c r="Y56" s="423">
        <f t="shared" si="50"/>
        <v>6</v>
      </c>
      <c r="Z56" s="423">
        <f t="shared" si="50"/>
        <v>22</v>
      </c>
      <c r="AA56" s="423">
        <f t="shared" si="50"/>
        <v>23</v>
      </c>
      <c r="AB56" s="423">
        <f t="shared" si="50"/>
        <v>8</v>
      </c>
      <c r="AC56" s="423">
        <f t="shared" si="50"/>
        <v>20</v>
      </c>
      <c r="AD56" s="423">
        <f t="shared" si="50"/>
        <v>5</v>
      </c>
      <c r="AE56" s="423">
        <f t="shared" si="50"/>
        <v>4</v>
      </c>
      <c r="AF56" s="423">
        <f t="shared" si="50"/>
        <v>9</v>
      </c>
      <c r="AG56" s="423">
        <f t="shared" si="50"/>
        <v>6</v>
      </c>
      <c r="AH56" s="423">
        <f t="shared" si="50"/>
        <v>1</v>
      </c>
      <c r="AI56" s="423">
        <f t="shared" si="50"/>
        <v>10</v>
      </c>
      <c r="AJ56" s="423">
        <f t="shared" si="50"/>
        <v>7</v>
      </c>
      <c r="AK56" s="423">
        <f t="shared" si="50"/>
        <v>5</v>
      </c>
      <c r="AL56" s="423">
        <f t="shared" si="50"/>
        <v>1</v>
      </c>
      <c r="AM56" s="423">
        <f t="shared" si="50"/>
        <v>12</v>
      </c>
      <c r="AN56" s="423">
        <f t="shared" si="50"/>
        <v>11</v>
      </c>
      <c r="AO56" s="423">
        <f t="shared" si="50"/>
        <v>5</v>
      </c>
      <c r="AP56" s="423">
        <f t="shared" si="50"/>
        <v>11</v>
      </c>
      <c r="AQ56" s="423">
        <f t="shared" si="50"/>
        <v>21</v>
      </c>
      <c r="AR56" s="423">
        <f t="shared" si="50"/>
        <v>4</v>
      </c>
      <c r="AS56" s="423">
        <f t="shared" si="50"/>
        <v>3</v>
      </c>
      <c r="AT56" s="423">
        <f t="shared" si="50"/>
        <v>8</v>
      </c>
      <c r="AU56" s="423">
        <f t="shared" si="50"/>
        <v>24</v>
      </c>
      <c r="AV56" s="423">
        <f t="shared" si="50"/>
        <v>2</v>
      </c>
      <c r="AW56" s="423">
        <f t="shared" si="50"/>
        <v>3</v>
      </c>
      <c r="AX56" s="423">
        <f t="shared" si="50"/>
        <v>14</v>
      </c>
      <c r="AY56" s="423">
        <f t="shared" si="50"/>
        <v>20</v>
      </c>
      <c r="AZ56" s="423">
        <f t="shared" si="50"/>
        <v>14</v>
      </c>
      <c r="BA56" s="423">
        <f t="shared" si="50"/>
        <v>12</v>
      </c>
      <c r="BB56" s="423">
        <f t="shared" si="50"/>
        <v>82</v>
      </c>
      <c r="BC56" s="423">
        <f t="shared" si="50"/>
        <v>10</v>
      </c>
      <c r="BD56" s="423">
        <f t="shared" si="50"/>
        <v>6</v>
      </c>
      <c r="BE56" s="423">
        <f t="shared" si="50"/>
        <v>5</v>
      </c>
      <c r="BF56" s="423">
        <f t="shared" si="50"/>
        <v>2</v>
      </c>
      <c r="BG56" s="423">
        <f t="shared" si="50"/>
        <v>26</v>
      </c>
      <c r="BH56" s="423">
        <f t="shared" si="50"/>
        <v>1</v>
      </c>
      <c r="BI56" s="423">
        <f t="shared" si="50"/>
        <v>6</v>
      </c>
      <c r="BJ56" s="423">
        <f t="shared" si="50"/>
        <v>13</v>
      </c>
      <c r="BK56" s="423">
        <f t="shared" si="50"/>
        <v>12</v>
      </c>
      <c r="BL56" s="423">
        <f t="shared" si="50"/>
        <v>23</v>
      </c>
      <c r="BM56" s="423">
        <f t="shared" si="50"/>
        <v>1</v>
      </c>
      <c r="BN56" s="423">
        <f t="shared" ref="BN56:BQ56" si="51">SUM(BN29,BN31,BN33)</f>
        <v>13</v>
      </c>
      <c r="BO56" s="423">
        <f t="shared" si="51"/>
        <v>7</v>
      </c>
      <c r="BP56" s="423">
        <f t="shared" si="51"/>
        <v>8</v>
      </c>
      <c r="BQ56" s="423">
        <f t="shared" si="51"/>
        <v>10</v>
      </c>
      <c r="BR56" s="423">
        <f t="shared" ref="BR56:BU57" si="52">SUM(BR29,BR31,BR33)</f>
        <v>6</v>
      </c>
      <c r="BS56" s="423">
        <f t="shared" si="52"/>
        <v>6</v>
      </c>
      <c r="BT56" s="423">
        <f t="shared" si="52"/>
        <v>17</v>
      </c>
      <c r="BU56" s="423">
        <f t="shared" si="52"/>
        <v>12</v>
      </c>
      <c r="BV56" s="423">
        <f t="shared" ref="BV56:CC56" si="53">SUM(BV29,BV31,BV33)</f>
        <v>14</v>
      </c>
      <c r="BW56" s="423">
        <f t="shared" si="53"/>
        <v>10</v>
      </c>
      <c r="BX56" s="423">
        <f t="shared" si="53"/>
        <v>12</v>
      </c>
      <c r="BY56" s="423">
        <f t="shared" si="53"/>
        <v>19</v>
      </c>
      <c r="BZ56" s="423">
        <f t="shared" si="53"/>
        <v>1</v>
      </c>
      <c r="CA56" s="423">
        <f t="shared" ca="1" si="53"/>
        <v>5</v>
      </c>
      <c r="CB56" s="423">
        <f t="shared" ca="1" si="53"/>
        <v>0</v>
      </c>
      <c r="CC56" s="423">
        <f t="shared" ca="1" si="53"/>
        <v>0</v>
      </c>
    </row>
    <row r="57" spans="1:81" s="427" customFormat="1" outlineLevel="1">
      <c r="A57" s="426" t="s">
        <v>392</v>
      </c>
      <c r="B57" s="427">
        <f t="shared" ref="B57:BM57" si="54">SUM(B30,B32,B34)</f>
        <v>-59</v>
      </c>
      <c r="C57" s="427">
        <f t="shared" si="54"/>
        <v>-21</v>
      </c>
      <c r="D57" s="427">
        <f t="shared" si="54"/>
        <v>-13</v>
      </c>
      <c r="E57" s="427">
        <f t="shared" si="54"/>
        <v>-57</v>
      </c>
      <c r="F57" s="427">
        <f t="shared" si="54"/>
        <v>-34</v>
      </c>
      <c r="G57" s="427">
        <f t="shared" si="54"/>
        <v>-67</v>
      </c>
      <c r="H57" s="427">
        <f t="shared" si="54"/>
        <v>-91</v>
      </c>
      <c r="I57" s="427">
        <f t="shared" si="54"/>
        <v>-87</v>
      </c>
      <c r="J57" s="427">
        <f t="shared" si="54"/>
        <v>-88</v>
      </c>
      <c r="K57" s="427">
        <f t="shared" si="54"/>
        <v>-55</v>
      </c>
      <c r="L57" s="427">
        <f t="shared" si="54"/>
        <v>-38</v>
      </c>
      <c r="M57" s="427">
        <f t="shared" si="54"/>
        <v>-37</v>
      </c>
      <c r="N57" s="427">
        <f t="shared" si="54"/>
        <v>-19</v>
      </c>
      <c r="O57" s="427">
        <f t="shared" si="54"/>
        <v>-19</v>
      </c>
      <c r="P57" s="427">
        <f t="shared" si="54"/>
        <v>-10</v>
      </c>
      <c r="Q57" s="427">
        <f t="shared" si="54"/>
        <v>-11</v>
      </c>
      <c r="R57" s="427">
        <f t="shared" si="54"/>
        <v>-9</v>
      </c>
      <c r="S57" s="427">
        <f t="shared" si="54"/>
        <v>-10</v>
      </c>
      <c r="T57" s="427">
        <f t="shared" si="54"/>
        <v>-7</v>
      </c>
      <c r="U57" s="427">
        <f t="shared" si="54"/>
        <v>-22</v>
      </c>
      <c r="V57" s="427">
        <f t="shared" si="54"/>
        <v>-7</v>
      </c>
      <c r="W57" s="427">
        <f t="shared" si="54"/>
        <v>-10</v>
      </c>
      <c r="X57" s="427">
        <f t="shared" si="54"/>
        <v>-18</v>
      </c>
      <c r="Y57" s="427">
        <f t="shared" si="54"/>
        <v>-8</v>
      </c>
      <c r="Z57" s="427">
        <f t="shared" si="54"/>
        <v>-17</v>
      </c>
      <c r="AA57" s="427">
        <f t="shared" si="54"/>
        <v>-18</v>
      </c>
      <c r="AB57" s="427">
        <f t="shared" si="54"/>
        <v>-2</v>
      </c>
      <c r="AC57" s="427">
        <f t="shared" si="54"/>
        <v>-11</v>
      </c>
      <c r="AD57" s="427">
        <f t="shared" si="54"/>
        <v>-13</v>
      </c>
      <c r="AE57" s="427">
        <f t="shared" si="54"/>
        <v>-5</v>
      </c>
      <c r="AF57" s="427">
        <f t="shared" si="54"/>
        <v>-5</v>
      </c>
      <c r="AG57" s="427">
        <f t="shared" si="54"/>
        <v>-3</v>
      </c>
      <c r="AH57" s="427">
        <f t="shared" si="54"/>
        <v>-9</v>
      </c>
      <c r="AI57" s="427">
        <f t="shared" si="54"/>
        <v>-14</v>
      </c>
      <c r="AJ57" s="427">
        <f t="shared" si="54"/>
        <v>-8</v>
      </c>
      <c r="AK57" s="427">
        <f t="shared" si="54"/>
        <v>-3</v>
      </c>
      <c r="AL57" s="427">
        <f t="shared" si="54"/>
        <v>-17</v>
      </c>
      <c r="AM57" s="427">
        <f t="shared" si="54"/>
        <v>-14</v>
      </c>
      <c r="AN57" s="427">
        <f t="shared" si="54"/>
        <v>-8</v>
      </c>
      <c r="AO57" s="427">
        <f t="shared" si="54"/>
        <v>-12</v>
      </c>
      <c r="AP57" s="427">
        <f t="shared" si="54"/>
        <v>0</v>
      </c>
      <c r="AQ57" s="427">
        <f t="shared" si="54"/>
        <v>-8</v>
      </c>
      <c r="AR57" s="427">
        <f t="shared" si="54"/>
        <v>-4</v>
      </c>
      <c r="AS57" s="427">
        <f t="shared" si="54"/>
        <v>-9</v>
      </c>
      <c r="AT57" s="427">
        <f t="shared" si="54"/>
        <v>-8</v>
      </c>
      <c r="AU57" s="427">
        <f t="shared" si="54"/>
        <v>-11</v>
      </c>
      <c r="AV57" s="427">
        <f t="shared" si="54"/>
        <v>-7</v>
      </c>
      <c r="AW57" s="427">
        <f t="shared" si="54"/>
        <v>-13</v>
      </c>
      <c r="AX57" s="427">
        <f t="shared" si="54"/>
        <v>-5</v>
      </c>
      <c r="AY57" s="427">
        <f t="shared" si="54"/>
        <v>-1</v>
      </c>
      <c r="AZ57" s="427">
        <f t="shared" si="54"/>
        <v>-10</v>
      </c>
      <c r="BA57" s="427">
        <f t="shared" si="54"/>
        <v>-4</v>
      </c>
      <c r="BB57" s="427">
        <f t="shared" si="54"/>
        <v>0</v>
      </c>
      <c r="BC57" s="427">
        <f t="shared" si="54"/>
        <v>-3</v>
      </c>
      <c r="BD57" s="427">
        <f t="shared" si="54"/>
        <v>0</v>
      </c>
      <c r="BE57" s="427">
        <f t="shared" si="54"/>
        <v>0</v>
      </c>
      <c r="BF57" s="427">
        <f t="shared" si="54"/>
        <v>0</v>
      </c>
      <c r="BG57" s="427">
        <f t="shared" si="54"/>
        <v>-7</v>
      </c>
      <c r="BH57" s="427">
        <f t="shared" si="54"/>
        <v>-6</v>
      </c>
      <c r="BI57" s="427">
        <f t="shared" si="54"/>
        <v>-2</v>
      </c>
      <c r="BJ57" s="427">
        <f t="shared" si="54"/>
        <v>-5</v>
      </c>
      <c r="BK57" s="427">
        <f t="shared" si="54"/>
        <v>-3</v>
      </c>
      <c r="BL57" s="427">
        <f t="shared" si="54"/>
        <v>-8</v>
      </c>
      <c r="BM57" s="427">
        <f t="shared" si="54"/>
        <v>-2</v>
      </c>
      <c r="BN57" s="427">
        <f t="shared" ref="BN57:BQ57" si="55">SUM(BN30,BN32,BN34)</f>
        <v>-4</v>
      </c>
      <c r="BO57" s="427">
        <f t="shared" si="55"/>
        <v>-1</v>
      </c>
      <c r="BP57" s="427">
        <f t="shared" si="55"/>
        <v>-9</v>
      </c>
      <c r="BQ57" s="427">
        <f t="shared" si="55"/>
        <v>0</v>
      </c>
      <c r="BR57" s="427">
        <f t="shared" si="52"/>
        <v>-11</v>
      </c>
      <c r="BS57" s="427">
        <f t="shared" si="52"/>
        <v>-7</v>
      </c>
      <c r="BT57" s="427">
        <f t="shared" si="52"/>
        <v>-23</v>
      </c>
      <c r="BU57" s="427">
        <f t="shared" si="52"/>
        <v>-11</v>
      </c>
      <c r="BV57" s="427">
        <f t="shared" ref="BV57:CC57" si="56">SUM(BV30,BV32,BV34)</f>
        <v>-21</v>
      </c>
      <c r="BW57" s="427">
        <f t="shared" si="56"/>
        <v>-2</v>
      </c>
      <c r="BX57" s="427">
        <f t="shared" si="56"/>
        <v>-5</v>
      </c>
      <c r="BY57" s="427">
        <f t="shared" si="56"/>
        <v>-7</v>
      </c>
      <c r="BZ57" s="427">
        <f t="shared" si="56"/>
        <v>-4</v>
      </c>
      <c r="CA57" s="427">
        <f t="shared" ca="1" si="56"/>
        <v>-6</v>
      </c>
      <c r="CB57" s="427">
        <f t="shared" ca="1" si="56"/>
        <v>0</v>
      </c>
      <c r="CC57" s="427">
        <f t="shared" ca="1" si="56"/>
        <v>0</v>
      </c>
    </row>
    <row r="58" spans="1:81" s="200" customFormat="1" outlineLevel="1">
      <c r="A58" s="198" t="s">
        <v>395</v>
      </c>
      <c r="B58" s="199">
        <f>ABS( B56 ) + ABS( B57 )</f>
        <v>82</v>
      </c>
      <c r="C58" s="199">
        <f>ABS( C56 ) + ABS( C57 )</f>
        <v>35</v>
      </c>
      <c r="D58" s="199">
        <f>ABS( D56 ) + ABS( D57 )</f>
        <v>19</v>
      </c>
      <c r="E58" s="199">
        <f t="shared" ref="E58:AS58" si="57">ABS( E56 ) + ABS( E57 )</f>
        <v>71</v>
      </c>
      <c r="F58" s="199">
        <f t="shared" si="57"/>
        <v>40</v>
      </c>
      <c r="G58" s="199">
        <f t="shared" si="57"/>
        <v>69</v>
      </c>
      <c r="H58" s="199">
        <f t="shared" si="57"/>
        <v>103</v>
      </c>
      <c r="I58" s="199">
        <f t="shared" si="57"/>
        <v>88</v>
      </c>
      <c r="J58" s="199">
        <f t="shared" si="57"/>
        <v>92</v>
      </c>
      <c r="K58" s="199">
        <f t="shared" si="57"/>
        <v>70</v>
      </c>
      <c r="L58" s="199">
        <f t="shared" si="57"/>
        <v>44</v>
      </c>
      <c r="M58" s="199">
        <f t="shared" si="57"/>
        <v>47</v>
      </c>
      <c r="N58" s="199">
        <f t="shared" si="57"/>
        <v>27</v>
      </c>
      <c r="O58" s="199">
        <f t="shared" si="57"/>
        <v>27</v>
      </c>
      <c r="P58" s="199">
        <f t="shared" si="57"/>
        <v>31</v>
      </c>
      <c r="Q58" s="199">
        <f t="shared" si="57"/>
        <v>25</v>
      </c>
      <c r="R58" s="199">
        <f t="shared" si="57"/>
        <v>32</v>
      </c>
      <c r="S58" s="199">
        <f t="shared" si="57"/>
        <v>30</v>
      </c>
      <c r="T58" s="199">
        <f t="shared" si="57"/>
        <v>27</v>
      </c>
      <c r="U58" s="199">
        <f t="shared" si="57"/>
        <v>32</v>
      </c>
      <c r="V58" s="199">
        <f t="shared" si="57"/>
        <v>25</v>
      </c>
      <c r="W58" s="199">
        <f t="shared" si="57"/>
        <v>34</v>
      </c>
      <c r="X58" s="199">
        <f t="shared" si="57"/>
        <v>37</v>
      </c>
      <c r="Y58" s="199">
        <f t="shared" si="57"/>
        <v>14</v>
      </c>
      <c r="Z58" s="199">
        <f t="shared" si="57"/>
        <v>39</v>
      </c>
      <c r="AA58" s="199">
        <f t="shared" si="57"/>
        <v>41</v>
      </c>
      <c r="AB58" s="199">
        <f t="shared" si="57"/>
        <v>10</v>
      </c>
      <c r="AC58" s="199">
        <f t="shared" si="57"/>
        <v>31</v>
      </c>
      <c r="AD58" s="199">
        <f t="shared" si="57"/>
        <v>18</v>
      </c>
      <c r="AE58" s="199">
        <f t="shared" si="57"/>
        <v>9</v>
      </c>
      <c r="AF58" s="199">
        <f t="shared" si="57"/>
        <v>14</v>
      </c>
      <c r="AG58" s="199">
        <f t="shared" si="57"/>
        <v>9</v>
      </c>
      <c r="AH58" s="199">
        <f t="shared" si="57"/>
        <v>10</v>
      </c>
      <c r="AI58" s="199">
        <f t="shared" si="57"/>
        <v>24</v>
      </c>
      <c r="AJ58" s="199">
        <f t="shared" si="57"/>
        <v>15</v>
      </c>
      <c r="AK58" s="199">
        <f t="shared" si="57"/>
        <v>8</v>
      </c>
      <c r="AL58" s="199">
        <f t="shared" si="57"/>
        <v>18</v>
      </c>
      <c r="AM58" s="199">
        <f t="shared" si="57"/>
        <v>26</v>
      </c>
      <c r="AN58" s="199">
        <f t="shared" si="57"/>
        <v>19</v>
      </c>
      <c r="AO58" s="199">
        <f t="shared" si="57"/>
        <v>17</v>
      </c>
      <c r="AP58" s="199">
        <f t="shared" si="57"/>
        <v>11</v>
      </c>
      <c r="AQ58" s="199">
        <f t="shared" si="57"/>
        <v>29</v>
      </c>
      <c r="AR58" s="199">
        <f t="shared" si="57"/>
        <v>8</v>
      </c>
      <c r="AS58" s="199">
        <f t="shared" si="57"/>
        <v>12</v>
      </c>
      <c r="AT58" s="199">
        <f t="shared" ref="AT58:BU58" si="58">ABS( AT56 ) + ABS( AT57 )</f>
        <v>16</v>
      </c>
      <c r="AU58" s="199">
        <f t="shared" si="58"/>
        <v>35</v>
      </c>
      <c r="AV58" s="199">
        <f t="shared" si="58"/>
        <v>9</v>
      </c>
      <c r="AW58" s="199">
        <f t="shared" si="58"/>
        <v>16</v>
      </c>
      <c r="AX58" s="199">
        <f t="shared" ref="AX58:BQ58" si="59">ABS( AX56 ) + ABS( AX57 )</f>
        <v>19</v>
      </c>
      <c r="AY58" s="199">
        <f t="shared" si="59"/>
        <v>21</v>
      </c>
      <c r="AZ58" s="199">
        <f t="shared" si="59"/>
        <v>24</v>
      </c>
      <c r="BA58" s="199">
        <f t="shared" si="59"/>
        <v>16</v>
      </c>
      <c r="BB58" s="199">
        <f t="shared" si="59"/>
        <v>82</v>
      </c>
      <c r="BC58" s="199">
        <f t="shared" si="59"/>
        <v>13</v>
      </c>
      <c r="BD58" s="199">
        <f t="shared" si="59"/>
        <v>6</v>
      </c>
      <c r="BE58" s="199">
        <f t="shared" si="59"/>
        <v>5</v>
      </c>
      <c r="BF58" s="199">
        <f t="shared" si="59"/>
        <v>2</v>
      </c>
      <c r="BG58" s="199">
        <f t="shared" si="59"/>
        <v>33</v>
      </c>
      <c r="BH58" s="199">
        <f t="shared" si="59"/>
        <v>7</v>
      </c>
      <c r="BI58" s="199">
        <f t="shared" si="59"/>
        <v>8</v>
      </c>
      <c r="BJ58" s="199">
        <f t="shared" si="59"/>
        <v>18</v>
      </c>
      <c r="BK58" s="199">
        <f t="shared" si="59"/>
        <v>15</v>
      </c>
      <c r="BL58" s="199">
        <f t="shared" si="59"/>
        <v>31</v>
      </c>
      <c r="BM58" s="199">
        <f t="shared" si="59"/>
        <v>3</v>
      </c>
      <c r="BN58" s="199">
        <f t="shared" si="59"/>
        <v>17</v>
      </c>
      <c r="BO58" s="199">
        <f t="shared" si="59"/>
        <v>8</v>
      </c>
      <c r="BP58" s="199">
        <f t="shared" si="59"/>
        <v>17</v>
      </c>
      <c r="BQ58" s="199">
        <f t="shared" si="59"/>
        <v>10</v>
      </c>
      <c r="BR58" s="199">
        <f t="shared" si="58"/>
        <v>17</v>
      </c>
      <c r="BS58" s="199">
        <f t="shared" si="58"/>
        <v>13</v>
      </c>
      <c r="BT58" s="199">
        <f t="shared" si="58"/>
        <v>40</v>
      </c>
      <c r="BU58" s="199">
        <f t="shared" si="58"/>
        <v>23</v>
      </c>
      <c r="BV58" s="199">
        <f t="shared" ref="BV58:CC58" si="60">ABS( BV56 ) + ABS( BV57 )</f>
        <v>35</v>
      </c>
      <c r="BW58" s="199">
        <f t="shared" si="60"/>
        <v>12</v>
      </c>
      <c r="BX58" s="199">
        <f t="shared" si="60"/>
        <v>17</v>
      </c>
      <c r="BY58" s="199">
        <f t="shared" si="60"/>
        <v>26</v>
      </c>
      <c r="BZ58" s="199">
        <f t="shared" si="60"/>
        <v>5</v>
      </c>
      <c r="CA58" s="199">
        <f t="shared" ca="1" si="60"/>
        <v>11</v>
      </c>
      <c r="CB58" s="199">
        <f t="shared" ca="1" si="60"/>
        <v>0</v>
      </c>
      <c r="CC58" s="199">
        <f t="shared" ca="1" si="60"/>
        <v>0</v>
      </c>
    </row>
    <row r="59" spans="1:81" s="174" customFormat="1" outlineLevel="1">
      <c r="B59" s="181"/>
      <c r="C59" s="181"/>
      <c r="D59" s="181"/>
      <c r="E59" s="181"/>
      <c r="F59" s="181"/>
      <c r="G59" s="181"/>
      <c r="H59" s="181"/>
      <c r="I59" s="182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80"/>
      <c r="Y59" s="180"/>
      <c r="Z59" s="180"/>
      <c r="AA59" s="180"/>
      <c r="AB59" s="180"/>
      <c r="AC59" s="180"/>
    </row>
    <row r="60" spans="1:81" s="174" customFormat="1" outlineLevel="1">
      <c r="B60" s="181"/>
      <c r="C60" s="181"/>
      <c r="D60" s="181"/>
      <c r="E60" s="181"/>
      <c r="F60" s="181"/>
      <c r="G60" s="181"/>
      <c r="H60" s="181"/>
      <c r="I60" s="182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80"/>
      <c r="Y60" s="180"/>
      <c r="Z60" s="180"/>
      <c r="AA60" s="180"/>
      <c r="AB60" s="180"/>
      <c r="AC60" s="180"/>
    </row>
    <row r="61" spans="1:81" s="423" customFormat="1" outlineLevel="1">
      <c r="A61" s="422" t="s">
        <v>393</v>
      </c>
      <c r="E61" s="423">
        <f t="shared" ref="E61:N62" si="61">IF( ISERR( FIND( "Q4", E$28 ) ), "", SUM( B56:E56 ) )</f>
        <v>57</v>
      </c>
      <c r="F61" s="423" t="str">
        <f t="shared" si="61"/>
        <v/>
      </c>
      <c r="G61" s="423" t="str">
        <f t="shared" si="61"/>
        <v/>
      </c>
      <c r="H61" s="423" t="str">
        <f t="shared" si="61"/>
        <v/>
      </c>
      <c r="I61" s="423">
        <f t="shared" si="61"/>
        <v>21</v>
      </c>
      <c r="J61" s="423" t="str">
        <f t="shared" si="61"/>
        <v/>
      </c>
      <c r="K61" s="423" t="str">
        <f t="shared" si="61"/>
        <v/>
      </c>
      <c r="L61" s="423" t="str">
        <f t="shared" si="61"/>
        <v/>
      </c>
      <c r="M61" s="423">
        <f t="shared" si="61"/>
        <v>35</v>
      </c>
      <c r="N61" s="423" t="str">
        <f t="shared" si="61"/>
        <v/>
      </c>
      <c r="O61" s="423" t="str">
        <f t="shared" ref="O61:X62" si="62">IF( ISERR( FIND( "Q4", O$28 ) ), "", SUM( L56:O56 ) )</f>
        <v/>
      </c>
      <c r="P61" s="423" t="str">
        <f t="shared" si="62"/>
        <v/>
      </c>
      <c r="Q61" s="423">
        <f t="shared" si="62"/>
        <v>51</v>
      </c>
      <c r="R61" s="423" t="str">
        <f t="shared" si="62"/>
        <v/>
      </c>
      <c r="S61" s="423" t="str">
        <f t="shared" si="62"/>
        <v/>
      </c>
      <c r="T61" s="423" t="str">
        <f t="shared" si="62"/>
        <v/>
      </c>
      <c r="U61" s="423">
        <f t="shared" si="62"/>
        <v>73</v>
      </c>
      <c r="V61" s="423" t="str">
        <f t="shared" si="62"/>
        <v/>
      </c>
      <c r="W61" s="423" t="str">
        <f t="shared" si="62"/>
        <v/>
      </c>
      <c r="X61" s="423" t="str">
        <f t="shared" si="62"/>
        <v/>
      </c>
      <c r="Y61" s="423">
        <f t="shared" ref="Y61:AH62" si="63">IF( ISERR( FIND( "Q4", Y$28 ) ), "", SUM( V56:Y56 ) )</f>
        <v>67</v>
      </c>
      <c r="Z61" s="423" t="str">
        <f t="shared" si="63"/>
        <v/>
      </c>
      <c r="AA61" s="423" t="str">
        <f t="shared" si="63"/>
        <v/>
      </c>
      <c r="AB61" s="423" t="str">
        <f t="shared" si="63"/>
        <v/>
      </c>
      <c r="AC61" s="423">
        <f t="shared" si="63"/>
        <v>73</v>
      </c>
      <c r="AD61" s="423" t="str">
        <f t="shared" si="63"/>
        <v/>
      </c>
      <c r="AE61" s="423" t="str">
        <f t="shared" si="63"/>
        <v/>
      </c>
      <c r="AF61" s="423" t="str">
        <f t="shared" si="63"/>
        <v/>
      </c>
      <c r="AG61" s="423">
        <f t="shared" si="63"/>
        <v>24</v>
      </c>
      <c r="AH61" s="423" t="str">
        <f t="shared" si="63"/>
        <v/>
      </c>
      <c r="AI61" s="423" t="str">
        <f t="shared" ref="AI61:AR62" si="64">IF( ISERR( FIND( "Q4", AI$28 ) ), "", SUM( AF56:AI56 ) )</f>
        <v/>
      </c>
      <c r="AJ61" s="423" t="str">
        <f t="shared" si="64"/>
        <v/>
      </c>
      <c r="AK61" s="423">
        <f t="shared" si="64"/>
        <v>23</v>
      </c>
      <c r="AL61" s="423" t="str">
        <f t="shared" si="64"/>
        <v/>
      </c>
      <c r="AM61" s="423" t="str">
        <f t="shared" si="64"/>
        <v/>
      </c>
      <c r="AN61" s="423" t="str">
        <f t="shared" si="64"/>
        <v/>
      </c>
      <c r="AO61" s="423">
        <f t="shared" si="64"/>
        <v>29</v>
      </c>
      <c r="AP61" s="423" t="str">
        <f t="shared" si="64"/>
        <v/>
      </c>
      <c r="AQ61" s="423" t="str">
        <f t="shared" si="64"/>
        <v/>
      </c>
      <c r="AR61" s="423" t="str">
        <f t="shared" si="64"/>
        <v/>
      </c>
      <c r="AS61" s="423">
        <f t="shared" ref="AS61:AW62" si="65">IF( ISERR( FIND( "Q4", AS$28 ) ), "", SUM( AP56:AS56 ) )</f>
        <v>39</v>
      </c>
      <c r="AT61" s="423" t="str">
        <f t="shared" si="65"/>
        <v/>
      </c>
      <c r="AU61" s="423" t="str">
        <f t="shared" si="65"/>
        <v/>
      </c>
      <c r="AV61" s="423" t="str">
        <f t="shared" si="65"/>
        <v/>
      </c>
      <c r="AW61" s="423">
        <f t="shared" si="65"/>
        <v>37</v>
      </c>
      <c r="AX61" s="423" t="str">
        <f t="shared" ref="AX61:AZ62" si="66">IF( ISERR( FIND( "Q4", AX$28 ) ), "", SUM( AQ56:AX56 ) )</f>
        <v/>
      </c>
      <c r="AY61" s="423" t="str">
        <f t="shared" si="66"/>
        <v/>
      </c>
      <c r="AZ61" s="423" t="str">
        <f t="shared" si="66"/>
        <v/>
      </c>
      <c r="BA61" s="423">
        <f t="shared" ref="BA61:BA62" si="67">IF( ISERR( FIND( "Q4", BA$28 ) ), "", SUM( AX56:BA56 ) )</f>
        <v>60</v>
      </c>
      <c r="BB61" s="423" t="str">
        <f t="shared" ref="BB61:BD62" si="68">IF( ISERR( FIND( "Q4", BB$28 ) ), "", SUM( AQ56:BB56 ) )</f>
        <v/>
      </c>
      <c r="BC61" s="423" t="str">
        <f t="shared" si="68"/>
        <v/>
      </c>
      <c r="BD61" s="423" t="str">
        <f t="shared" si="68"/>
        <v/>
      </c>
      <c r="BE61" s="423">
        <f t="shared" ref="BE61:BE62" si="69">IF( ISERR( FIND( "Q4", BE$28 ) ), "", SUM( BB56:BE56 ) )</f>
        <v>103</v>
      </c>
      <c r="BF61" s="423" t="str">
        <f t="shared" ref="BF61:BH62" si="70">IF( ISERR( FIND( "Q4", BF$28 ) ), "", SUM( AQ56:BF56 ) )</f>
        <v/>
      </c>
      <c r="BG61" s="423" t="str">
        <f t="shared" si="70"/>
        <v/>
      </c>
      <c r="BH61" s="423" t="str">
        <f t="shared" si="70"/>
        <v/>
      </c>
      <c r="BI61" s="423">
        <f t="shared" ref="BI61:BI62" si="71">IF( ISERR( FIND( "Q4", BI$28 ) ), "", SUM( BF56:BI56 ) )</f>
        <v>35</v>
      </c>
      <c r="BJ61" s="423" t="str">
        <f t="shared" ref="BJ61:BL62" si="72">IF( ISERR( FIND( "Q4", BJ$28 ) ), "", SUM( AQ56:BJ56 ) )</f>
        <v/>
      </c>
      <c r="BK61" s="423" t="str">
        <f t="shared" si="72"/>
        <v/>
      </c>
      <c r="BL61" s="423" t="str">
        <f t="shared" si="72"/>
        <v/>
      </c>
      <c r="BM61" s="423">
        <f>IF( ISERR( FIND( "Q4", BM$28 ) ), "", SUM( BJ56:BM56 ) )</f>
        <v>49</v>
      </c>
      <c r="BN61" s="423" t="str">
        <f t="shared" ref="BN61:BP62" si="73">IF( ISERR( FIND( "Q4", BN$28 ) ), "", SUM( AQ56:BN56 ) )</f>
        <v/>
      </c>
      <c r="BO61" s="423" t="str">
        <f t="shared" si="73"/>
        <v/>
      </c>
      <c r="BP61" s="423" t="str">
        <f t="shared" si="73"/>
        <v/>
      </c>
      <c r="BQ61" s="423">
        <f>IF( ISERR( FIND( "Q4", BQ$28 ) ), "", SUM( BN56:BQ56 ) )</f>
        <v>38</v>
      </c>
      <c r="BR61" s="423" t="str">
        <f t="shared" ref="BR61:BT62" si="74">IF( ISERR( FIND( "Q4", BR$28 ) ), "", SUM( AU56:BR56 ) )</f>
        <v/>
      </c>
      <c r="BS61" s="423" t="str">
        <f t="shared" si="74"/>
        <v/>
      </c>
      <c r="BT61" s="423" t="str">
        <f t="shared" si="74"/>
        <v/>
      </c>
      <c r="BU61" s="423">
        <f>IF( ISERR( FIND( "Q4", BU$28 ) ), "", SUM( BR56:BU56 ) )</f>
        <v>41</v>
      </c>
      <c r="BV61" s="423" t="str">
        <f t="shared" ref="BV61:BV62" si="75">IF( ISERR( FIND( "Q4", BV$28 ) ), "", SUM( AY56:BV56 ) )</f>
        <v/>
      </c>
      <c r="BW61" s="423" t="str">
        <f t="shared" ref="BW61:BW62" si="76">IF( ISERR( FIND( "Q4", BW$28 ) ), "", SUM( AZ56:BW56 ) )</f>
        <v/>
      </c>
      <c r="BX61" s="423" t="str">
        <f t="shared" ref="BX61:BX62" si="77">IF( ISERR( FIND( "Q4", BX$28 ) ), "", SUM( BA56:BX56 ) )</f>
        <v/>
      </c>
      <c r="BY61" s="423">
        <f>IF( ISERR( FIND( "Q4", BY$28 ) ), "", SUM( BV56:BY56 ) )</f>
        <v>55</v>
      </c>
      <c r="BZ61" s="423" t="str">
        <f t="shared" ref="BZ61:CC62" si="78">IF( ISERR( FIND( "Q4", BZ$28 ) ), "", SUM( BW56:BZ56 ) )</f>
        <v/>
      </c>
      <c r="CA61" s="423" t="str">
        <f t="shared" ca="1" si="78"/>
        <v/>
      </c>
      <c r="CB61" s="423" t="str">
        <f t="shared" ca="1" si="78"/>
        <v/>
      </c>
      <c r="CC61" s="423">
        <f t="shared" ca="1" si="78"/>
        <v>6</v>
      </c>
    </row>
    <row r="62" spans="1:81" s="427" customFormat="1" outlineLevel="1">
      <c r="A62" s="426" t="s">
        <v>394</v>
      </c>
      <c r="E62" s="427">
        <f t="shared" si="61"/>
        <v>-150</v>
      </c>
      <c r="F62" s="427" t="str">
        <f t="shared" si="61"/>
        <v/>
      </c>
      <c r="G62" s="427" t="str">
        <f t="shared" si="61"/>
        <v/>
      </c>
      <c r="H62" s="427" t="str">
        <f t="shared" si="61"/>
        <v/>
      </c>
      <c r="I62" s="427">
        <f t="shared" si="61"/>
        <v>-279</v>
      </c>
      <c r="J62" s="427" t="str">
        <f t="shared" si="61"/>
        <v/>
      </c>
      <c r="K62" s="427" t="str">
        <f t="shared" si="61"/>
        <v/>
      </c>
      <c r="L62" s="427" t="str">
        <f t="shared" si="61"/>
        <v/>
      </c>
      <c r="M62" s="427">
        <f t="shared" si="61"/>
        <v>-218</v>
      </c>
      <c r="N62" s="427" t="str">
        <f t="shared" si="61"/>
        <v/>
      </c>
      <c r="O62" s="427" t="str">
        <f t="shared" si="62"/>
        <v/>
      </c>
      <c r="P62" s="427" t="str">
        <f t="shared" si="62"/>
        <v/>
      </c>
      <c r="Q62" s="427">
        <f t="shared" si="62"/>
        <v>-59</v>
      </c>
      <c r="R62" s="427" t="str">
        <f t="shared" si="62"/>
        <v/>
      </c>
      <c r="S62" s="427" t="str">
        <f t="shared" si="62"/>
        <v/>
      </c>
      <c r="T62" s="427" t="str">
        <f t="shared" si="62"/>
        <v/>
      </c>
      <c r="U62" s="427">
        <f t="shared" si="62"/>
        <v>-48</v>
      </c>
      <c r="V62" s="427" t="str">
        <f t="shared" si="62"/>
        <v/>
      </c>
      <c r="W62" s="427" t="str">
        <f t="shared" si="62"/>
        <v/>
      </c>
      <c r="X62" s="427" t="str">
        <f t="shared" si="62"/>
        <v/>
      </c>
      <c r="Y62" s="427">
        <f t="shared" si="63"/>
        <v>-43</v>
      </c>
      <c r="Z62" s="427" t="str">
        <f t="shared" si="63"/>
        <v/>
      </c>
      <c r="AA62" s="427" t="str">
        <f t="shared" si="63"/>
        <v/>
      </c>
      <c r="AB62" s="427" t="str">
        <f t="shared" si="63"/>
        <v/>
      </c>
      <c r="AC62" s="427">
        <f t="shared" si="63"/>
        <v>-48</v>
      </c>
      <c r="AD62" s="427" t="str">
        <f t="shared" si="63"/>
        <v/>
      </c>
      <c r="AE62" s="427" t="str">
        <f t="shared" si="63"/>
        <v/>
      </c>
      <c r="AF62" s="427" t="str">
        <f t="shared" si="63"/>
        <v/>
      </c>
      <c r="AG62" s="427">
        <f t="shared" si="63"/>
        <v>-26</v>
      </c>
      <c r="AH62" s="427" t="str">
        <f t="shared" si="63"/>
        <v/>
      </c>
      <c r="AI62" s="427" t="str">
        <f t="shared" si="64"/>
        <v/>
      </c>
      <c r="AJ62" s="427" t="str">
        <f t="shared" si="64"/>
        <v/>
      </c>
      <c r="AK62" s="427">
        <f t="shared" si="64"/>
        <v>-34</v>
      </c>
      <c r="AL62" s="427" t="str">
        <f t="shared" si="64"/>
        <v/>
      </c>
      <c r="AM62" s="427" t="str">
        <f t="shared" si="64"/>
        <v/>
      </c>
      <c r="AN62" s="427" t="str">
        <f t="shared" si="64"/>
        <v/>
      </c>
      <c r="AO62" s="427">
        <f t="shared" si="64"/>
        <v>-51</v>
      </c>
      <c r="AP62" s="427" t="str">
        <f t="shared" si="64"/>
        <v/>
      </c>
      <c r="AQ62" s="427" t="str">
        <f t="shared" si="64"/>
        <v/>
      </c>
      <c r="AR62" s="427" t="str">
        <f t="shared" si="64"/>
        <v/>
      </c>
      <c r="AS62" s="427">
        <f t="shared" si="65"/>
        <v>-21</v>
      </c>
      <c r="AT62" s="427" t="str">
        <f t="shared" si="65"/>
        <v/>
      </c>
      <c r="AU62" s="427" t="str">
        <f t="shared" si="65"/>
        <v/>
      </c>
      <c r="AV62" s="427" t="str">
        <f t="shared" si="65"/>
        <v/>
      </c>
      <c r="AW62" s="427">
        <f t="shared" si="65"/>
        <v>-39</v>
      </c>
      <c r="AX62" s="427" t="str">
        <f t="shared" si="66"/>
        <v/>
      </c>
      <c r="AY62" s="427" t="str">
        <f t="shared" si="66"/>
        <v/>
      </c>
      <c r="AZ62" s="427" t="str">
        <f t="shared" si="66"/>
        <v/>
      </c>
      <c r="BA62" s="427">
        <f t="shared" si="67"/>
        <v>-20</v>
      </c>
      <c r="BB62" s="427" t="str">
        <f t="shared" si="68"/>
        <v/>
      </c>
      <c r="BC62" s="427" t="str">
        <f t="shared" si="68"/>
        <v/>
      </c>
      <c r="BD62" s="427" t="str">
        <f t="shared" si="68"/>
        <v/>
      </c>
      <c r="BE62" s="427">
        <f t="shared" si="69"/>
        <v>-3</v>
      </c>
      <c r="BF62" s="427" t="str">
        <f t="shared" si="70"/>
        <v/>
      </c>
      <c r="BG62" s="427" t="str">
        <f t="shared" si="70"/>
        <v/>
      </c>
      <c r="BH62" s="427" t="str">
        <f t="shared" si="70"/>
        <v/>
      </c>
      <c r="BI62" s="427">
        <f t="shared" si="71"/>
        <v>-15</v>
      </c>
      <c r="BJ62" s="427" t="str">
        <f t="shared" si="72"/>
        <v/>
      </c>
      <c r="BK62" s="427" t="str">
        <f t="shared" si="72"/>
        <v/>
      </c>
      <c r="BL62" s="427" t="str">
        <f t="shared" si="72"/>
        <v/>
      </c>
      <c r="BM62" s="427">
        <f>IF( ISERR( FIND( "Q4", BM$28 ) ), "", SUM( BJ57:BM57 ) )</f>
        <v>-18</v>
      </c>
      <c r="BN62" s="427" t="str">
        <f t="shared" si="73"/>
        <v/>
      </c>
      <c r="BO62" s="427" t="str">
        <f t="shared" si="73"/>
        <v/>
      </c>
      <c r="BP62" s="427" t="str">
        <f t="shared" si="73"/>
        <v/>
      </c>
      <c r="BQ62" s="427">
        <f>IF( ISERR( FIND( "Q4", BQ$28 ) ), "", SUM( BN57:BQ57 ) )</f>
        <v>-14</v>
      </c>
      <c r="BR62" s="427" t="str">
        <f t="shared" si="74"/>
        <v/>
      </c>
      <c r="BS62" s="427" t="str">
        <f t="shared" si="74"/>
        <v/>
      </c>
      <c r="BT62" s="427" t="str">
        <f t="shared" si="74"/>
        <v/>
      </c>
      <c r="BU62" s="427">
        <f t="shared" ref="BU62" si="79">IF( ISERR( FIND( "Q4", BU$28 ) ), "", SUM( BR57:BU57 ) )</f>
        <v>-52</v>
      </c>
      <c r="BV62" s="427" t="str">
        <f t="shared" si="75"/>
        <v/>
      </c>
      <c r="BW62" s="427" t="str">
        <f t="shared" si="76"/>
        <v/>
      </c>
      <c r="BX62" s="427" t="str">
        <f t="shared" si="77"/>
        <v/>
      </c>
      <c r="BY62" s="427">
        <f t="shared" ref="BY62" si="80">IF( ISERR( FIND( "Q4", BY$28 ) ), "", SUM( BV57:BY57 ) )</f>
        <v>-35</v>
      </c>
      <c r="BZ62" s="427" t="str">
        <f t="shared" si="78"/>
        <v/>
      </c>
      <c r="CA62" s="427" t="str">
        <f t="shared" ca="1" si="78"/>
        <v/>
      </c>
      <c r="CB62" s="427" t="str">
        <f t="shared" ca="1" si="78"/>
        <v/>
      </c>
      <c r="CC62" s="427">
        <f t="shared" ca="1" si="78"/>
        <v>-10</v>
      </c>
    </row>
    <row r="63" spans="1:81" s="200" customFormat="1" outlineLevel="1">
      <c r="A63" s="198" t="s">
        <v>416</v>
      </c>
      <c r="B63" s="199"/>
      <c r="C63" s="199"/>
      <c r="D63" s="199"/>
      <c r="E63" s="199">
        <f t="shared" ref="E63:AS63" si="81">IF( LEN( E61 ) = 0, "", ABS( E61 ) + ABS( E62 ) )</f>
        <v>207</v>
      </c>
      <c r="F63" s="199" t="str">
        <f t="shared" si="81"/>
        <v/>
      </c>
      <c r="G63" s="199" t="str">
        <f t="shared" si="81"/>
        <v/>
      </c>
      <c r="H63" s="199" t="str">
        <f t="shared" si="81"/>
        <v/>
      </c>
      <c r="I63" s="199">
        <f t="shared" si="81"/>
        <v>300</v>
      </c>
      <c r="J63" s="199" t="str">
        <f t="shared" si="81"/>
        <v/>
      </c>
      <c r="K63" s="199" t="str">
        <f t="shared" si="81"/>
        <v/>
      </c>
      <c r="L63" s="199" t="str">
        <f t="shared" si="81"/>
        <v/>
      </c>
      <c r="M63" s="199">
        <f t="shared" si="81"/>
        <v>253</v>
      </c>
      <c r="N63" s="199" t="str">
        <f t="shared" si="81"/>
        <v/>
      </c>
      <c r="O63" s="199" t="str">
        <f t="shared" si="81"/>
        <v/>
      </c>
      <c r="P63" s="199" t="str">
        <f t="shared" si="81"/>
        <v/>
      </c>
      <c r="Q63" s="199">
        <f t="shared" si="81"/>
        <v>110</v>
      </c>
      <c r="R63" s="199" t="str">
        <f t="shared" si="81"/>
        <v/>
      </c>
      <c r="S63" s="199" t="str">
        <f t="shared" si="81"/>
        <v/>
      </c>
      <c r="T63" s="199" t="str">
        <f t="shared" si="81"/>
        <v/>
      </c>
      <c r="U63" s="199">
        <f t="shared" si="81"/>
        <v>121</v>
      </c>
      <c r="V63" s="199" t="str">
        <f t="shared" si="81"/>
        <v/>
      </c>
      <c r="W63" s="199" t="str">
        <f t="shared" si="81"/>
        <v/>
      </c>
      <c r="X63" s="199" t="str">
        <f t="shared" si="81"/>
        <v/>
      </c>
      <c r="Y63" s="199">
        <f t="shared" si="81"/>
        <v>110</v>
      </c>
      <c r="Z63" s="199" t="str">
        <f t="shared" si="81"/>
        <v/>
      </c>
      <c r="AA63" s="199" t="str">
        <f t="shared" si="81"/>
        <v/>
      </c>
      <c r="AB63" s="199" t="str">
        <f t="shared" si="81"/>
        <v/>
      </c>
      <c r="AC63" s="199">
        <f t="shared" si="81"/>
        <v>121</v>
      </c>
      <c r="AD63" s="199" t="str">
        <f t="shared" si="81"/>
        <v/>
      </c>
      <c r="AE63" s="199" t="str">
        <f t="shared" si="81"/>
        <v/>
      </c>
      <c r="AF63" s="199" t="str">
        <f t="shared" si="81"/>
        <v/>
      </c>
      <c r="AG63" s="199">
        <f t="shared" si="81"/>
        <v>50</v>
      </c>
      <c r="AH63" s="199" t="str">
        <f t="shared" si="81"/>
        <v/>
      </c>
      <c r="AI63" s="199" t="str">
        <f t="shared" si="81"/>
        <v/>
      </c>
      <c r="AJ63" s="199" t="str">
        <f t="shared" si="81"/>
        <v/>
      </c>
      <c r="AK63" s="199">
        <f t="shared" si="81"/>
        <v>57</v>
      </c>
      <c r="AL63" s="199" t="str">
        <f t="shared" si="81"/>
        <v/>
      </c>
      <c r="AM63" s="199" t="str">
        <f t="shared" si="81"/>
        <v/>
      </c>
      <c r="AN63" s="199" t="str">
        <f t="shared" si="81"/>
        <v/>
      </c>
      <c r="AO63" s="199">
        <f t="shared" si="81"/>
        <v>80</v>
      </c>
      <c r="AP63" s="199" t="str">
        <f t="shared" si="81"/>
        <v/>
      </c>
      <c r="AQ63" s="199" t="str">
        <f t="shared" si="81"/>
        <v/>
      </c>
      <c r="AR63" s="199" t="str">
        <f t="shared" si="81"/>
        <v/>
      </c>
      <c r="AS63" s="199">
        <f t="shared" si="81"/>
        <v>60</v>
      </c>
      <c r="AT63" s="199" t="str">
        <f t="shared" ref="AT63:BU63" si="82">IF( LEN( AT61 ) = 0, "", ABS( AT61 ) + ABS( AT62 ) )</f>
        <v/>
      </c>
      <c r="AU63" s="199" t="str">
        <f t="shared" si="82"/>
        <v/>
      </c>
      <c r="AV63" s="199" t="str">
        <f t="shared" si="82"/>
        <v/>
      </c>
      <c r="AW63" s="199">
        <f t="shared" si="82"/>
        <v>76</v>
      </c>
      <c r="AX63" s="199" t="str">
        <f t="shared" ref="AX63:BQ63" si="83">IF( LEN( AX61 ) = 0, "", ABS( AX61 ) + ABS( AX62 ) )</f>
        <v/>
      </c>
      <c r="AY63" s="199" t="str">
        <f t="shared" si="83"/>
        <v/>
      </c>
      <c r="AZ63" s="199" t="str">
        <f t="shared" si="83"/>
        <v/>
      </c>
      <c r="BA63" s="199">
        <f t="shared" si="83"/>
        <v>80</v>
      </c>
      <c r="BB63" s="199" t="str">
        <f t="shared" si="83"/>
        <v/>
      </c>
      <c r="BC63" s="199" t="str">
        <f t="shared" si="83"/>
        <v/>
      </c>
      <c r="BD63" s="199" t="str">
        <f t="shared" si="83"/>
        <v/>
      </c>
      <c r="BE63" s="199">
        <f t="shared" si="83"/>
        <v>106</v>
      </c>
      <c r="BF63" s="199" t="str">
        <f t="shared" si="83"/>
        <v/>
      </c>
      <c r="BG63" s="199" t="str">
        <f t="shared" si="83"/>
        <v/>
      </c>
      <c r="BH63" s="199" t="str">
        <f t="shared" si="83"/>
        <v/>
      </c>
      <c r="BI63" s="199">
        <f t="shared" si="83"/>
        <v>50</v>
      </c>
      <c r="BJ63" s="199" t="str">
        <f t="shared" si="83"/>
        <v/>
      </c>
      <c r="BK63" s="199" t="str">
        <f t="shared" si="83"/>
        <v/>
      </c>
      <c r="BL63" s="199" t="str">
        <f t="shared" si="83"/>
        <v/>
      </c>
      <c r="BM63" s="199">
        <f t="shared" si="83"/>
        <v>67</v>
      </c>
      <c r="BN63" s="199" t="str">
        <f t="shared" si="83"/>
        <v/>
      </c>
      <c r="BO63" s="199" t="str">
        <f t="shared" si="83"/>
        <v/>
      </c>
      <c r="BP63" s="199" t="str">
        <f t="shared" si="83"/>
        <v/>
      </c>
      <c r="BQ63" s="199">
        <f t="shared" si="83"/>
        <v>52</v>
      </c>
      <c r="BR63" s="199" t="str">
        <f t="shared" si="82"/>
        <v/>
      </c>
      <c r="BS63" s="199" t="str">
        <f t="shared" si="82"/>
        <v/>
      </c>
      <c r="BT63" s="199" t="str">
        <f t="shared" si="82"/>
        <v/>
      </c>
      <c r="BU63" s="199">
        <f t="shared" si="82"/>
        <v>93</v>
      </c>
      <c r="BV63" s="199" t="str">
        <f t="shared" ref="BV63:CC63" si="84">IF( LEN( BV61 ) = 0, "", ABS( BV61 ) + ABS( BV62 ) )</f>
        <v/>
      </c>
      <c r="BW63" s="199" t="str">
        <f t="shared" si="84"/>
        <v/>
      </c>
      <c r="BX63" s="199" t="str">
        <f t="shared" si="84"/>
        <v/>
      </c>
      <c r="BY63" s="199">
        <f t="shared" si="84"/>
        <v>90</v>
      </c>
      <c r="BZ63" s="199" t="str">
        <f t="shared" si="84"/>
        <v/>
      </c>
      <c r="CA63" s="199" t="str">
        <f t="shared" ca="1" si="84"/>
        <v/>
      </c>
      <c r="CB63" s="199" t="str">
        <f t="shared" ca="1" si="84"/>
        <v/>
      </c>
      <c r="CC63" s="199">
        <f t="shared" ca="1" si="84"/>
        <v>16</v>
      </c>
    </row>
    <row r="64" spans="1:81" s="174" customFormat="1">
      <c r="B64" s="176"/>
      <c r="C64" s="176"/>
      <c r="D64" s="179"/>
      <c r="E64" s="179"/>
      <c r="F64" s="179"/>
      <c r="G64" s="178"/>
      <c r="H64" s="178"/>
      <c r="I64" s="178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-- 2019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Reg_Percent_2018</v>
      </c>
      <c r="G2" s="239" t="s">
        <v>577</v>
      </c>
      <c r="AJ2" s="240" t="str">
        <f>AJ4 &amp; AJ3</f>
        <v>'Credit_2019Q1'!d:d</v>
      </c>
      <c r="AK2" s="240" t="str">
        <f>AK4 &amp; AK3</f>
        <v>'Credit_2019Q1'!b1</v>
      </c>
      <c r="AL2" s="240" t="str">
        <f>AL4 &amp; AL3</f>
        <v>'Credit_2019Q1'!c1</v>
      </c>
      <c r="AQ2" s="236"/>
    </row>
    <row r="3" spans="1:61" ht="19" hidden="1" outlineLevel="1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'Credit_2019Q1'!</v>
      </c>
      <c r="AK4" s="236" t="str">
        <f t="shared" ref="AK4:AL4" si="0">$AQ$5</f>
        <v>'Credit_2019Q1'!</v>
      </c>
      <c r="AL4" s="236" t="str">
        <f t="shared" si="0"/>
        <v>'Credit_2019Q1'!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(45)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(10)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583</v>
      </c>
    </row>
    <row r="6" spans="1:61" ht="28.5" customHeight="1">
      <c r="A6" s="299" t="s">
        <v>0</v>
      </c>
      <c r="B6" s="300" t="s">
        <v>584</v>
      </c>
      <c r="C6" s="338" t="s">
        <v>470</v>
      </c>
      <c r="D6" s="301"/>
      <c r="E6" s="302">
        <f ca="1">INDIRECT( E3 &amp; G1 )</f>
        <v>43465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4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18.733333333333334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18.62857142857143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19.100000000000001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4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4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4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4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4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4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4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9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4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4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4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4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4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-- 2019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Reg_Percent_2018</v>
      </c>
      <c r="G2" s="239" t="s">
        <v>577</v>
      </c>
      <c r="AJ2" s="240" t="str">
        <f>AJ4 &amp; AJ3</f>
        <v>'Credit_2018Q4'!d:d</v>
      </c>
      <c r="AK2" s="240" t="str">
        <f>AK4 &amp; AK3</f>
        <v>'Credit_2018Q4'!b1</v>
      </c>
      <c r="AL2" s="240" t="str">
        <f>AL4 &amp; AL3</f>
        <v>'Credit_2018Q4'!c1</v>
      </c>
      <c r="AQ2" s="236"/>
    </row>
    <row r="3" spans="1:61" ht="19" hidden="1" outlineLevel="1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'Credit_2018Q4'!</v>
      </c>
      <c r="AK4" s="236" t="str">
        <f t="shared" ref="AK4:AL4" si="0">$AQ$5</f>
        <v>'Credit_2018Q4'!</v>
      </c>
      <c r="AL4" s="236" t="str">
        <f t="shared" si="0"/>
        <v>'Credit_2018Q4'!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(45)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(10)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576</v>
      </c>
    </row>
    <row r="6" spans="1:61" ht="28.5" customHeight="1">
      <c r="A6" s="299" t="s">
        <v>0</v>
      </c>
      <c r="B6" s="300" t="s">
        <v>578</v>
      </c>
      <c r="C6" s="338" t="s">
        <v>470</v>
      </c>
      <c r="D6" s="301"/>
      <c r="E6" s="302">
        <f ca="1">INDIRECT( E3 &amp; G1 )</f>
        <v>43465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6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18.733333333333334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18.62857142857143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19.100000000000001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20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21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22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23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24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4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25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4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>
        <f t="shared" ca="1" si="18"/>
        <v>1</v>
      </c>
      <c r="AJ24" s="236">
        <f t="shared" ca="1" si="19"/>
        <v>11</v>
      </c>
      <c r="AK24" s="236" t="str">
        <f t="shared" ca="1" si="20"/>
        <v>A-</v>
      </c>
      <c r="AL24" s="236">
        <f t="shared" ca="1" si="20"/>
        <v>20</v>
      </c>
      <c r="AM24" s="236" t="str">
        <f t="shared" ca="1" si="4"/>
        <v>Change</v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30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4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42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38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>
        <f t="shared" ca="1" si="18"/>
        <v>1</v>
      </c>
      <c r="AJ39" s="236">
        <f t="shared" ca="1" si="19"/>
        <v>29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>Change</v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9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4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4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47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4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48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4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49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4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50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4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52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4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4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4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-- 2018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Reg_Percent_2017</v>
      </c>
      <c r="G2" s="239" t="s">
        <v>567</v>
      </c>
      <c r="AJ2" s="240" t="str">
        <f>AJ4 &amp; AJ3</f>
        <v>'Credit_2018Q3'!d:d</v>
      </c>
      <c r="AK2" s="240" t="str">
        <f>AK4 &amp; AK3</f>
        <v>'Credit_2018Q3'!b1</v>
      </c>
      <c r="AL2" s="240" t="str">
        <f>AL4 &amp; AL3</f>
        <v>'Credit_2018Q3'!c1</v>
      </c>
      <c r="AQ2" s="236"/>
    </row>
    <row r="3" spans="1:61" ht="19" hidden="1" outlineLevel="1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'Credit_2018Q3'!</v>
      </c>
      <c r="AK4" s="236" t="str">
        <f t="shared" ref="AK4:AL4" si="0">$AQ$5</f>
        <v>'Credit_2018Q3'!</v>
      </c>
      <c r="AL4" s="236" t="str">
        <f t="shared" si="0"/>
        <v>'Credit_2018Q3'!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(47)</v>
      </c>
      <c r="M5" s="506"/>
      <c r="N5" s="314"/>
      <c r="O5" s="504" t="str">
        <f ca="1">"Regulated" &amp; CHAR( 10 ) &amp; "(" &amp; O14 &amp; ")"</f>
        <v>Regulated
(34)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574</v>
      </c>
    </row>
    <row r="6" spans="1:61" ht="28.5" customHeight="1">
      <c r="A6" s="299" t="s">
        <v>0</v>
      </c>
      <c r="B6" s="300" t="s">
        <v>572</v>
      </c>
      <c r="C6" s="338" t="s">
        <v>470</v>
      </c>
      <c r="D6" s="301"/>
      <c r="E6" s="302">
        <f ca="1">INDIRECT( E3 &amp; G1 )</f>
        <v>43100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0.38297872340425532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0.1702127659574468</v>
      </c>
      <c r="N11" s="318"/>
      <c r="O11" s="295">
        <f t="shared" ca="1" si="11"/>
        <v>7</v>
      </c>
      <c r="P11" s="296">
        <f t="shared" ca="1" si="12"/>
        <v>0.20588235294117646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19.021276595744681</v>
      </c>
      <c r="Z14" s="261"/>
      <c r="AA14" s="483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4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19.085106382978722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18.970588235294116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19.384615384615383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2</v>
      </c>
      <c r="AX24" s="287">
        <f t="shared" si="22"/>
        <v>34.200000000000003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34</v>
      </c>
      <c r="AW28" s="234">
        <f>COUNTIF( AV$7:AV28, AV28 )</f>
        <v>3</v>
      </c>
      <c r="AX28" s="287">
        <f t="shared" si="22"/>
        <v>34.299999999999997</v>
      </c>
      <c r="AY28" s="234">
        <f t="shared" si="23"/>
        <v>36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9" t="s">
        <v>298</v>
      </c>
      <c r="AV29" s="234">
        <f t="shared" si="21"/>
        <v>34</v>
      </c>
      <c r="AW29" s="234">
        <f>COUNTIF( AV$7:AV29, AV29 )</f>
        <v>4</v>
      </c>
      <c r="AX29" s="287">
        <f t="shared" si="22"/>
        <v>34.4</v>
      </c>
      <c r="AY29" s="234">
        <f t="shared" si="23"/>
        <v>37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34</v>
      </c>
      <c r="AW32" s="234">
        <f>COUNTIF( AV$7:AV32, AV32 )</f>
        <v>6</v>
      </c>
      <c r="AX32" s="287">
        <f t="shared" si="22"/>
        <v>34.6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4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7</v>
      </c>
      <c r="AX36" s="287">
        <f t="shared" si="22"/>
        <v>34.700000000000003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R</v>
      </c>
      <c r="F37" s="306"/>
      <c r="G37" s="307">
        <f t="shared" ca="1" si="1"/>
        <v>42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>
        <f t="shared" ca="1" si="3"/>
        <v>1</v>
      </c>
      <c r="AH37" s="236" t="str">
        <f t="shared" ca="1" si="18"/>
        <v/>
      </c>
      <c r="AJ37" s="236">
        <f t="shared" ca="1" si="19"/>
        <v>52</v>
      </c>
      <c r="AK37" s="236" t="str">
        <f t="shared" ca="1" si="20"/>
        <v>BBB-</v>
      </c>
      <c r="AL37" s="236">
        <f t="shared" ca="1" si="20"/>
        <v>17</v>
      </c>
      <c r="AM37" s="236" t="str">
        <f t="shared" ca="1" si="4"/>
        <v>Change</v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40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4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34</v>
      </c>
      <c r="AW38" s="234">
        <f>COUNTIF( AV$7:AV38, AV38 )</f>
        <v>8</v>
      </c>
      <c r="AX38" s="287">
        <f t="shared" si="22"/>
        <v>34.799999999999997</v>
      </c>
      <c r="AY38" s="234">
        <f t="shared" si="23"/>
        <v>41</v>
      </c>
      <c r="AZ38" s="236"/>
      <c r="BA38" s="236"/>
      <c r="BC38" s="234">
        <f t="shared" ca="1" si="24"/>
        <v>32</v>
      </c>
      <c r="BD38" s="288">
        <f t="shared" ca="1" si="6"/>
        <v>41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53</v>
      </c>
      <c r="AR39" s="286" t="s">
        <v>49</v>
      </c>
      <c r="AS39" s="286">
        <v>17</v>
      </c>
      <c r="AT39" s="289" t="s">
        <v>317</v>
      </c>
      <c r="AV39" s="234">
        <f t="shared" si="21"/>
        <v>42</v>
      </c>
      <c r="AW39" s="234">
        <f>COUNTIF( AV$7:AV39, AV39 )</f>
        <v>4</v>
      </c>
      <c r="AX39" s="287">
        <f t="shared" si="22"/>
        <v>42.4</v>
      </c>
      <c r="AY39" s="234">
        <f t="shared" si="23"/>
        <v>45</v>
      </c>
      <c r="AZ39" s="236"/>
      <c r="BA39" s="236"/>
      <c r="BC39" s="234">
        <f t="shared" ca="1" si="24"/>
        <v>33</v>
      </c>
      <c r="BD39" s="288">
        <f t="shared" ca="1" si="6"/>
        <v>43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22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4">
      <c r="A43" s="303" t="s">
        <v>51</v>
      </c>
      <c r="B43" s="304" t="s">
        <v>28</v>
      </c>
      <c r="C43" s="304">
        <v>18</v>
      </c>
      <c r="D43" s="304" t="s">
        <v>298</v>
      </c>
      <c r="E43" s="305" t="str">
        <f t="shared" ca="1" si="8"/>
        <v>R</v>
      </c>
      <c r="F43" s="306"/>
      <c r="G43" s="307">
        <f t="shared" ca="1" si="1"/>
        <v>26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23</v>
      </c>
      <c r="BF43" s="240" t="str">
        <f t="shared" ca="1" si="25"/>
        <v>FirstEnergy Corp.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FE</v>
      </c>
    </row>
    <row r="44" spans="1:61" ht="14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4">
      <c r="A45" s="303" t="s">
        <v>58</v>
      </c>
      <c r="B45" s="304" t="s">
        <v>28</v>
      </c>
      <c r="C45" s="304">
        <v>18</v>
      </c>
      <c r="D45" s="304" t="s">
        <v>445</v>
      </c>
      <c r="E45" s="305" t="str">
        <f t="shared" ca="1" si="8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IPALCO Enterprises,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**IPALCO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16</v>
      </c>
      <c r="AS46" s="286">
        <v>19</v>
      </c>
      <c r="AT46" s="286" t="s">
        <v>326</v>
      </c>
      <c r="AV46" s="234">
        <f t="shared" si="21"/>
        <v>16</v>
      </c>
      <c r="AW46" s="234">
        <f>COUNTIF( AV$7:AV46, AV46 )</f>
        <v>16</v>
      </c>
      <c r="AX46" s="287">
        <f t="shared" si="22"/>
        <v>17.600000000000001</v>
      </c>
      <c r="AY46" s="234">
        <f t="shared" si="23"/>
        <v>31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17</v>
      </c>
      <c r="AX47" s="287">
        <f t="shared" si="22"/>
        <v>17.7</v>
      </c>
      <c r="AY47" s="234">
        <f t="shared" si="23"/>
        <v>32</v>
      </c>
      <c r="AZ47" s="236"/>
      <c r="BA47" s="236"/>
      <c r="BC47" s="234">
        <f t="shared" ca="1" si="24"/>
        <v>41</v>
      </c>
      <c r="BD47" s="288">
        <f t="shared" ca="1" si="6"/>
        <v>32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4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18</v>
      </c>
      <c r="AX49" s="287">
        <f t="shared" si="22"/>
        <v>17.8</v>
      </c>
      <c r="AY49" s="234">
        <f t="shared" si="23"/>
        <v>33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4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4">
      <c r="A51" s="303" t="s">
        <v>53</v>
      </c>
      <c r="B51" s="304" t="s">
        <v>49</v>
      </c>
      <c r="C51" s="304">
        <v>17</v>
      </c>
      <c r="D51" s="304" t="s">
        <v>317</v>
      </c>
      <c r="E51" s="305" t="str">
        <f t="shared" ca="1" si="8"/>
        <v>R</v>
      </c>
      <c r="F51" s="306"/>
      <c r="G51" s="307">
        <f t="shared" ca="1" si="1"/>
        <v>36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>
        <f t="shared" ca="1" si="18"/>
        <v>1</v>
      </c>
      <c r="AJ51" s="236">
        <f t="shared" ca="1" si="19"/>
        <v>47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>Change</v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33</v>
      </c>
      <c r="BF51" s="240" t="str">
        <f t="shared" ca="1" si="25"/>
        <v>PG&amp;E Corporation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PCG</v>
      </c>
    </row>
    <row r="52" spans="1:61" ht="14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19.085106382978722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19.021276595744681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-- 2018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Reg_Percent_2017</v>
      </c>
      <c r="G2" s="239" t="s">
        <v>567</v>
      </c>
      <c r="AJ2" s="240" t="str">
        <f>AJ4 &amp; AJ3</f>
        <v>'Credit_2018Q2'!d:d</v>
      </c>
      <c r="AK2" s="240" t="str">
        <f>AK4 &amp; AK3</f>
        <v>'Credit_2018Q2'!b1</v>
      </c>
      <c r="AL2" s="240" t="str">
        <f>AL4 &amp; AL3</f>
        <v>'Credit_2018Q2'!c1</v>
      </c>
      <c r="AQ2" s="236"/>
    </row>
    <row r="3" spans="1:61" ht="19" hidden="1" outlineLevel="1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'Credit_2018Q2'!</v>
      </c>
      <c r="AK4" s="236" t="str">
        <f t="shared" ref="AK4:AL4" si="0">$AQ$5</f>
        <v>'Credit_2018Q2'!</v>
      </c>
      <c r="AL4" s="236" t="str">
        <f t="shared" si="0"/>
        <v>'Credit_2018Q2'!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(47)</v>
      </c>
      <c r="M5" s="506"/>
      <c r="N5" s="314"/>
      <c r="O5" s="504" t="str">
        <f ca="1">"Regulated" &amp; CHAR( 10 ) &amp; "(" &amp; O14 &amp; ")"</f>
        <v>Regulated
(34)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573</v>
      </c>
    </row>
    <row r="6" spans="1:61" ht="28.5" customHeight="1">
      <c r="A6" s="299" t="s">
        <v>0</v>
      </c>
      <c r="B6" s="300" t="s">
        <v>571</v>
      </c>
      <c r="C6" s="338" t="s">
        <v>470</v>
      </c>
      <c r="D6" s="301"/>
      <c r="E6" s="302">
        <f ca="1">INDIRECT( E3 &amp; G1 )</f>
        <v>43100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0.36170212765957449</v>
      </c>
      <c r="N10" s="318"/>
      <c r="O10" s="295">
        <f t="shared" ca="1" si="11"/>
        <v>10</v>
      </c>
      <c r="P10" s="296">
        <f t="shared" ca="1" si="12"/>
        <v>0.29411764705882354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0.19148936170212766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</v>
      </c>
      <c r="Z14" s="261"/>
      <c r="AA14" s="482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4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19.063829787234042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18.941176470588236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19.384615384615383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2</v>
      </c>
      <c r="AX24" s="287">
        <f t="shared" si="22"/>
        <v>33.200000000000003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>
        <f t="shared" ca="1" si="3"/>
        <v>1</v>
      </c>
      <c r="AH25" s="236" t="str">
        <f t="shared" ca="1" si="18"/>
        <v/>
      </c>
      <c r="AJ25" s="236">
        <f t="shared" ca="1" si="19"/>
        <v>38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4"/>
        <v>Change</v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3</v>
      </c>
      <c r="AX28" s="287">
        <f t="shared" si="22"/>
        <v>33.299999999999997</v>
      </c>
      <c r="AY28" s="234">
        <f t="shared" si="23"/>
        <v>35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33</v>
      </c>
      <c r="AW29" s="234">
        <f>COUNTIF( AV$7:AV29, AV29 )</f>
        <v>4</v>
      </c>
      <c r="AX29" s="287">
        <f t="shared" si="22"/>
        <v>33.4</v>
      </c>
      <c r="AY29" s="234">
        <f t="shared" si="23"/>
        <v>36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4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8"/>
        <v/>
      </c>
      <c r="AJ35" s="236">
        <f t="shared" ca="1" si="19"/>
        <v>46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>Change</v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4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43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33</v>
      </c>
      <c r="AW39" s="234">
        <f>COUNTIF( AV$7:AV39, AV39 )</f>
        <v>9</v>
      </c>
      <c r="AX39" s="287">
        <f t="shared" si="22"/>
        <v>33.9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11</v>
      </c>
      <c r="B41" s="304" t="s">
        <v>28</v>
      </c>
      <c r="C41" s="304">
        <v>18</v>
      </c>
      <c r="D41" s="304" t="s">
        <v>297</v>
      </c>
      <c r="E41" s="305" t="str">
        <f t="shared" ca="1" si="8"/>
        <v>MR</v>
      </c>
      <c r="F41" s="306"/>
      <c r="G41" s="307">
        <f t="shared" ca="1" si="1"/>
        <v>25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22</v>
      </c>
      <c r="BF41" s="240" t="str">
        <f t="shared" ca="1" si="25"/>
        <v>Exelon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EXC</v>
      </c>
    </row>
    <row r="42" spans="1:61" ht="14">
      <c r="A42" s="303" t="s">
        <v>51</v>
      </c>
      <c r="B42" s="304" t="s">
        <v>28</v>
      </c>
      <c r="C42" s="304">
        <v>18</v>
      </c>
      <c r="D42" s="304" t="s">
        <v>298</v>
      </c>
      <c r="E42" s="305" t="str">
        <f t="shared" ca="1" si="8"/>
        <v>R</v>
      </c>
      <c r="F42" s="306"/>
      <c r="G42" s="307">
        <f t="shared" ca="1" si="1"/>
        <v>26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>
        <f t="shared" ca="1" si="3"/>
        <v>1</v>
      </c>
      <c r="AH42" s="236" t="str">
        <f t="shared" ca="1" si="18"/>
        <v/>
      </c>
      <c r="AJ42" s="236">
        <f t="shared" ca="1" si="19"/>
        <v>50</v>
      </c>
      <c r="AK42" s="236" t="str">
        <f t="shared" ca="1" si="20"/>
        <v>BBB-</v>
      </c>
      <c r="AL42" s="236">
        <f t="shared" ca="1" si="20"/>
        <v>17</v>
      </c>
      <c r="AM42" s="236" t="str">
        <f t="shared" ca="1" si="4"/>
        <v>Change</v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23</v>
      </c>
      <c r="BF42" s="240" t="str">
        <f t="shared" ca="1" si="25"/>
        <v>FirstEnergy Corp.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FE</v>
      </c>
    </row>
    <row r="43" spans="1:61" ht="14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4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4</v>
      </c>
      <c r="AX45" s="287">
        <f t="shared" si="22"/>
        <v>42.4</v>
      </c>
      <c r="AY45" s="234">
        <f t="shared" si="23"/>
        <v>45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49</v>
      </c>
      <c r="AS46" s="286">
        <v>17</v>
      </c>
      <c r="AT46" s="286" t="s">
        <v>326</v>
      </c>
      <c r="AV46" s="234">
        <f t="shared" si="21"/>
        <v>42</v>
      </c>
      <c r="AW46" s="234">
        <f>COUNTIF( AV$7:AV46, AV46 )</f>
        <v>5</v>
      </c>
      <c r="AX46" s="287">
        <f t="shared" si="22"/>
        <v>42.5</v>
      </c>
      <c r="AY46" s="234">
        <f t="shared" si="23"/>
        <v>46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4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4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17</v>
      </c>
      <c r="AX49" s="287">
        <f t="shared" si="22"/>
        <v>17.7</v>
      </c>
      <c r="AY49" s="234">
        <f t="shared" si="23"/>
        <v>32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4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4">
      <c r="A51" s="303" t="s">
        <v>54</v>
      </c>
      <c r="B51" s="304" t="s">
        <v>49</v>
      </c>
      <c r="C51" s="304">
        <v>17</v>
      </c>
      <c r="D51" s="304" t="s">
        <v>448</v>
      </c>
      <c r="E51" s="305" t="str">
        <f t="shared" ca="1" si="8"/>
        <v>R</v>
      </c>
      <c r="F51" s="306"/>
      <c r="G51" s="307">
        <f t="shared" ca="1" si="1"/>
        <v>57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39</v>
      </c>
      <c r="BF51" s="240" t="str">
        <f t="shared" ca="1" si="25"/>
        <v>Puget Energy,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**PSD</v>
      </c>
    </row>
    <row r="52" spans="1:61" ht="14">
      <c r="A52" s="303" t="s">
        <v>13</v>
      </c>
      <c r="B52" s="304" t="s">
        <v>49</v>
      </c>
      <c r="C52" s="304">
        <v>17</v>
      </c>
      <c r="D52" s="304" t="s">
        <v>326</v>
      </c>
      <c r="E52" s="305" t="str">
        <f t="shared" ca="1" si="8"/>
        <v>R</v>
      </c>
      <c r="F52" s="306"/>
      <c r="G52" s="307">
        <f t="shared" ca="1" si="1"/>
        <v>42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>
        <f t="shared" ca="1" si="18"/>
        <v>1</v>
      </c>
      <c r="AJ52" s="236">
        <f t="shared" ca="1" si="19"/>
        <v>47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>Change</v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40</v>
      </c>
      <c r="BF52" s="240" t="str">
        <f t="shared" ca="1" si="25"/>
        <v>SCANA Corporation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SCG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19.063829787234042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19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-- 2018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Reg_Percent_2017</v>
      </c>
      <c r="G2" s="239" t="s">
        <v>567</v>
      </c>
      <c r="AJ2" s="240" t="str">
        <f>AJ4 &amp; AJ3</f>
        <v>'Credit_2018Q1'!d:d</v>
      </c>
      <c r="AK2" s="240" t="str">
        <f>AK4 &amp; AK3</f>
        <v>'Credit_2018Q1'!b1</v>
      </c>
      <c r="AL2" s="240" t="str">
        <f>AL4 &amp; AL3</f>
        <v>'Credit_2018Q1'!c1</v>
      </c>
      <c r="AQ2" s="236"/>
    </row>
    <row r="3" spans="1:61" ht="19" hidden="1" outlineLevel="1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'Credit_2018Q1'!</v>
      </c>
      <c r="AK4" s="236" t="str">
        <f t="shared" ref="AK4:AL4" si="0">$AQ$5</f>
        <v>'Credit_2018Q1'!</v>
      </c>
      <c r="AL4" s="236" t="str">
        <f t="shared" si="0"/>
        <v>'Credit_2018Q1'!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(47)</v>
      </c>
      <c r="M5" s="506"/>
      <c r="N5" s="314"/>
      <c r="O5" s="504" t="str">
        <f ca="1">"Regulated" &amp; CHAR( 10 ) &amp; "(" &amp; O14 &amp; ")"</f>
        <v>Regulated
(34)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569</v>
      </c>
    </row>
    <row r="6" spans="1:61" ht="28.5" customHeight="1">
      <c r="A6" s="299" t="s">
        <v>0</v>
      </c>
      <c r="B6" s="300" t="s">
        <v>570</v>
      </c>
      <c r="C6" s="338" t="s">
        <v>470</v>
      </c>
      <c r="D6" s="301"/>
      <c r="E6" s="302">
        <f ca="1">INDIRECT( E3 &amp; G1 )</f>
        <v>43100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0.31914893617021278</v>
      </c>
      <c r="N10" s="318"/>
      <c r="O10" s="295">
        <f t="shared" ca="1" si="11"/>
        <v>8</v>
      </c>
      <c r="P10" s="296">
        <f t="shared" ca="1" si="12"/>
        <v>0.23529411764705882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11</v>
      </c>
      <c r="M11" s="296">
        <f t="shared" si="10"/>
        <v>0.23404255319148937</v>
      </c>
      <c r="N11" s="318"/>
      <c r="O11" s="295">
        <f t="shared" ca="1" si="11"/>
        <v>10</v>
      </c>
      <c r="P11" s="296">
        <f t="shared" ca="1" si="12"/>
        <v>0.29411764705882354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11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31</v>
      </c>
      <c r="AW12" s="234">
        <f>COUNTIF( AV$7:AV12, AV12 )</f>
        <v>1</v>
      </c>
      <c r="AX12" s="287">
        <f t="shared" si="22"/>
        <v>31.1</v>
      </c>
      <c r="AY12" s="234">
        <f t="shared" si="23"/>
        <v>31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18.957446808510639</v>
      </c>
      <c r="Z14" s="261"/>
      <c r="AA14" s="465">
        <f ca="1">SUM(AA8:AA13)</f>
        <v>47</v>
      </c>
      <c r="AE14" s="254"/>
      <c r="AF14" s="236">
        <f t="shared" si="2"/>
        <v>1</v>
      </c>
      <c r="AG14" s="236">
        <f t="shared" ca="1" si="3"/>
        <v>1</v>
      </c>
      <c r="AH14" s="236" t="str">
        <f t="shared" ca="1" si="18"/>
        <v/>
      </c>
      <c r="AJ14" s="236">
        <f t="shared" ca="1" si="19"/>
        <v>38</v>
      </c>
      <c r="AK14" s="236" t="str">
        <f t="shared" ca="1" si="20"/>
        <v>BBB+</v>
      </c>
      <c r="AL14" s="236">
        <f t="shared" ca="1" si="20"/>
        <v>19</v>
      </c>
      <c r="AM14" s="236" t="str">
        <f t="shared" ca="1" si="4"/>
        <v>Change</v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31</v>
      </c>
      <c r="AW14" s="234">
        <f>COUNTIF( AV$7:AV14, AV14 )</f>
        <v>2</v>
      </c>
      <c r="AX14" s="287">
        <f t="shared" si="22"/>
        <v>31.2</v>
      </c>
      <c r="AY14" s="234">
        <f t="shared" si="23"/>
        <v>32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4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19.021276595744681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18.882352941176471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19.384615384615383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31</v>
      </c>
      <c r="AW24" s="234">
        <f>COUNTIF( AV$7:AV24, AV24 )</f>
        <v>3</v>
      </c>
      <c r="AX24" s="287">
        <f t="shared" si="22"/>
        <v>31.3</v>
      </c>
      <c r="AY24" s="234">
        <f t="shared" si="23"/>
        <v>33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31</v>
      </c>
      <c r="AW28" s="234">
        <f>COUNTIF( AV$7:AV28, AV28 )</f>
        <v>4</v>
      </c>
      <c r="AX28" s="287">
        <f t="shared" si="22"/>
        <v>31.4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42</v>
      </c>
      <c r="AW29" s="234">
        <f>COUNTIF( AV$7:AV29, AV29 )</f>
        <v>3</v>
      </c>
      <c r="AX29" s="287">
        <f t="shared" si="22"/>
        <v>42.3</v>
      </c>
      <c r="AY29" s="234">
        <f t="shared" si="23"/>
        <v>44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4</v>
      </c>
      <c r="AX30" s="287">
        <f t="shared" si="22"/>
        <v>42.4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31</v>
      </c>
      <c r="AW31" s="234">
        <f>COUNTIF( AV$7:AV31, AV31 )</f>
        <v>5</v>
      </c>
      <c r="AX31" s="287">
        <f t="shared" si="22"/>
        <v>31.5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>
        <f t="shared" ca="1" si="18"/>
        <v>1</v>
      </c>
      <c r="AJ32" s="236">
        <f t="shared" ca="1" si="19"/>
        <v>15</v>
      </c>
      <c r="AK32" s="236" t="str">
        <f t="shared" ca="1" si="20"/>
        <v>A-</v>
      </c>
      <c r="AL32" s="236">
        <f t="shared" ca="1" si="20"/>
        <v>20</v>
      </c>
      <c r="AM32" s="236" t="str">
        <f t="shared" ca="1" si="4"/>
        <v>Change</v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31</v>
      </c>
      <c r="AW32" s="234">
        <f>COUNTIF( AV$7:AV32, AV32 )</f>
        <v>6</v>
      </c>
      <c r="AX32" s="287">
        <f t="shared" si="22"/>
        <v>31.6</v>
      </c>
      <c r="AY32" s="234">
        <f t="shared" si="23"/>
        <v>36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9</v>
      </c>
      <c r="AX33" s="287">
        <f t="shared" si="22"/>
        <v>16.899999999999999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45</v>
      </c>
      <c r="B34" s="304" t="s">
        <v>16</v>
      </c>
      <c r="C34" s="304">
        <v>19</v>
      </c>
      <c r="D34" s="304" t="s">
        <v>318</v>
      </c>
      <c r="E34" s="305" t="str">
        <f t="shared" ca="1" si="8"/>
        <v>MR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38</v>
      </c>
      <c r="BF34" s="240" t="str">
        <f t="shared" ca="1" si="7"/>
        <v>Public Service Enterprise Group Incorporated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PEG</v>
      </c>
    </row>
    <row r="35" spans="1:61" ht="14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10</v>
      </c>
      <c r="AX35" s="287">
        <f t="shared" si="22"/>
        <v>17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41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45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31</v>
      </c>
      <c r="AW36" s="234">
        <f>COUNTIF( AV$7:AV36, AV36 )</f>
        <v>7</v>
      </c>
      <c r="AX36" s="287">
        <f t="shared" si="22"/>
        <v>31.7</v>
      </c>
      <c r="AY36" s="234">
        <f t="shared" si="23"/>
        <v>37</v>
      </c>
      <c r="AZ36" s="236"/>
      <c r="BA36" s="236"/>
      <c r="BC36" s="234">
        <f t="shared" ca="1" si="24"/>
        <v>30</v>
      </c>
      <c r="BD36" s="288">
        <f t="shared" ca="1" si="6"/>
        <v>43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UTL</v>
      </c>
    </row>
    <row r="37" spans="1:61" ht="14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11</v>
      </c>
      <c r="AX37" s="287">
        <f t="shared" si="22"/>
        <v>17.100000000000001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6</v>
      </c>
      <c r="BF37" s="240" t="str">
        <f t="shared" ca="1" si="7"/>
        <v>Avista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AVA</v>
      </c>
    </row>
    <row r="38" spans="1:61" ht="14">
      <c r="A38" s="303" t="s">
        <v>48</v>
      </c>
      <c r="B38" s="304" t="s">
        <v>28</v>
      </c>
      <c r="C38" s="304">
        <v>18</v>
      </c>
      <c r="D38" s="304" t="s">
        <v>279</v>
      </c>
      <c r="E38" s="305" t="str">
        <f t="shared" ca="1" si="8"/>
        <v>R</v>
      </c>
      <c r="F38" s="306"/>
      <c r="G38" s="307">
        <f t="shared" ca="1" si="1"/>
        <v>13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31</v>
      </c>
      <c r="AW38" s="234">
        <f>COUNTIF( AV$7:AV38, AV38 )</f>
        <v>8</v>
      </c>
      <c r="AX38" s="287">
        <f t="shared" si="22"/>
        <v>31.8</v>
      </c>
      <c r="AY38" s="234">
        <f t="shared" si="23"/>
        <v>38</v>
      </c>
      <c r="AZ38" s="236"/>
      <c r="BA38" s="236"/>
      <c r="BC38" s="234">
        <f t="shared" ca="1" si="24"/>
        <v>32</v>
      </c>
      <c r="BD38" s="288">
        <f t="shared" ca="1" si="6"/>
        <v>8</v>
      </c>
      <c r="BF38" s="240" t="str">
        <f t="shared" ca="1" si="7"/>
        <v>Black Hills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BKH</v>
      </c>
    </row>
    <row r="39" spans="1:61" ht="14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41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31</v>
      </c>
      <c r="AW39" s="234">
        <f>COUNTIF( AV$7:AV39, AV39 )</f>
        <v>9</v>
      </c>
      <c r="AX39" s="287">
        <f t="shared" si="22"/>
        <v>31.9</v>
      </c>
      <c r="AY39" s="234">
        <f t="shared" si="23"/>
        <v>39</v>
      </c>
      <c r="AZ39" s="236"/>
      <c r="BA39" s="236"/>
      <c r="BC39" s="234">
        <f t="shared" ca="1" si="24"/>
        <v>33</v>
      </c>
      <c r="BD39" s="288">
        <f t="shared" ca="1" si="6"/>
        <v>18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4">
      <c r="A40" s="303" t="s">
        <v>11</v>
      </c>
      <c r="B40" s="304" t="s">
        <v>28</v>
      </c>
      <c r="C40" s="304">
        <v>18</v>
      </c>
      <c r="D40" s="304" t="s">
        <v>297</v>
      </c>
      <c r="E40" s="305" t="str">
        <f t="shared" ca="1" si="8"/>
        <v>MR</v>
      </c>
      <c r="F40" s="306"/>
      <c r="G40" s="307">
        <f t="shared" ca="1" si="1"/>
        <v>25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42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22</v>
      </c>
      <c r="BF40" s="240" t="str">
        <f t="shared" ca="1" si="25"/>
        <v>Exelon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EXC</v>
      </c>
    </row>
    <row r="41" spans="1:61" ht="14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8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12</v>
      </c>
      <c r="AX41" s="287">
        <f t="shared" si="22"/>
        <v>17.2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25</v>
      </c>
      <c r="BF41" s="240" t="str">
        <f t="shared" ca="1" si="25"/>
        <v>IDACORP, Inc.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IDA</v>
      </c>
    </row>
    <row r="42" spans="1:61" ht="14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8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31</v>
      </c>
      <c r="AW42" s="234">
        <f>COUNTIF( AV$7:AV42, AV42 )</f>
        <v>10</v>
      </c>
      <c r="AX42" s="287">
        <f t="shared" si="22"/>
        <v>32</v>
      </c>
      <c r="AY42" s="234">
        <f t="shared" si="23"/>
        <v>40</v>
      </c>
      <c r="AZ42" s="236"/>
      <c r="BA42" s="236"/>
      <c r="BC42" s="234">
        <f t="shared" ca="1" si="24"/>
        <v>36</v>
      </c>
      <c r="BD42" s="288">
        <f t="shared" ca="1" si="6"/>
        <v>26</v>
      </c>
      <c r="BF42" s="240" t="str">
        <f t="shared" ca="1" si="25"/>
        <v>IPALCO Enterprises,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**IPALCO</v>
      </c>
    </row>
    <row r="43" spans="1:61" ht="14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8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30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4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8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13</v>
      </c>
      <c r="AX44" s="287">
        <f t="shared" si="22"/>
        <v>17.3</v>
      </c>
      <c r="AY44" s="234">
        <f t="shared" si="23"/>
        <v>28</v>
      </c>
      <c r="AZ44" s="236"/>
      <c r="BA44" s="236"/>
      <c r="BC44" s="234">
        <f t="shared" ca="1" si="24"/>
        <v>38</v>
      </c>
      <c r="BD44" s="288">
        <f t="shared" ca="1" si="6"/>
        <v>32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4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8"/>
        <v>R</v>
      </c>
      <c r="F45" s="306"/>
      <c r="G45" s="307">
        <f t="shared" ca="1" si="1"/>
        <v>36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>
        <f t="shared" ca="1" si="18"/>
        <v>1</v>
      </c>
      <c r="AJ45" s="236">
        <f t="shared" ca="1" si="19"/>
        <v>33</v>
      </c>
      <c r="AK45" s="236" t="str">
        <f t="shared" ca="1" si="20"/>
        <v>BBB+</v>
      </c>
      <c r="AL45" s="236">
        <f t="shared" ca="1" si="20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33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4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8"/>
        <v>R</v>
      </c>
      <c r="F46" s="306"/>
      <c r="G46" s="307">
        <f t="shared" ca="1" si="1"/>
        <v>39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31</v>
      </c>
      <c r="AW46" s="234">
        <f>COUNTIF( AV$7:AV46, AV46 )</f>
        <v>11</v>
      </c>
      <c r="AX46" s="287">
        <f t="shared" si="22"/>
        <v>32.1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6"/>
        <v>36</v>
      </c>
      <c r="BF46" s="240" t="str">
        <f t="shared" ca="1" si="25"/>
        <v>Portland General Electric Company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POR</v>
      </c>
    </row>
    <row r="47" spans="1:61" ht="14">
      <c r="A47" s="303" t="s">
        <v>13</v>
      </c>
      <c r="B47" s="304" t="s">
        <v>28</v>
      </c>
      <c r="C47" s="304">
        <v>18</v>
      </c>
      <c r="D47" s="304" t="s">
        <v>326</v>
      </c>
      <c r="E47" s="305" t="str">
        <f t="shared" ca="1" si="8"/>
        <v>R</v>
      </c>
      <c r="F47" s="306"/>
      <c r="G47" s="307">
        <f t="shared" ca="1" si="1"/>
        <v>42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14</v>
      </c>
      <c r="AX47" s="287">
        <f t="shared" si="22"/>
        <v>17.399999999999999</v>
      </c>
      <c r="AY47" s="234">
        <f t="shared" si="23"/>
        <v>29</v>
      </c>
      <c r="AZ47" s="236"/>
      <c r="BA47" s="236"/>
      <c r="BC47" s="234">
        <f t="shared" ca="1" si="24"/>
        <v>41</v>
      </c>
      <c r="BD47" s="288">
        <f t="shared" ca="1" si="6"/>
        <v>40</v>
      </c>
      <c r="BF47" s="240" t="str">
        <f t="shared" ca="1" si="25"/>
        <v>SCANA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SCG</v>
      </c>
    </row>
    <row r="48" spans="1:61" ht="14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4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15</v>
      </c>
      <c r="AX49" s="287">
        <f t="shared" si="22"/>
        <v>17.5</v>
      </c>
      <c r="AY49" s="234">
        <f t="shared" si="23"/>
        <v>30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23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19.021276595744681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18.957446808510639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-- 2018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Reg_Percent_2017</v>
      </c>
      <c r="G2" s="239" t="s">
        <v>567</v>
      </c>
      <c r="AJ2" s="240" t="str">
        <f>AJ4 &amp; AJ3</f>
        <v>'Credit_2017Q4'!d:d</v>
      </c>
      <c r="AK2" s="240" t="str">
        <f>AK4 &amp; AK3</f>
        <v>'Credit_2017Q4'!b1</v>
      </c>
      <c r="AL2" s="240" t="str">
        <f>AL4 &amp; AL3</f>
        <v>'Credit_2017Q4'!c1</v>
      </c>
      <c r="AQ2" s="236"/>
    </row>
    <row r="3" spans="1:61" ht="19" hidden="1" outlineLevel="1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'Credit_2017Q4'!</v>
      </c>
      <c r="AK4" s="236" t="str">
        <f t="shared" ref="AK4:AL4" si="0">$AQ$5</f>
        <v>'Credit_2017Q4'!</v>
      </c>
      <c r="AL4" s="236" t="str">
        <f t="shared" si="0"/>
        <v>'Credit_2017Q4'!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(48)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564</v>
      </c>
    </row>
    <row r="6" spans="1:61" ht="28.5" customHeight="1">
      <c r="A6" s="299" t="s">
        <v>0</v>
      </c>
      <c r="B6" s="300" t="s">
        <v>568</v>
      </c>
      <c r="C6" s="338" t="s">
        <v>470</v>
      </c>
      <c r="D6" s="301"/>
      <c r="E6" s="302">
        <f ca="1">INDIRECT( E3 &amp; G1 )</f>
        <v>43100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6.25E-2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0.27083333333333331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0.35416666666666669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10</v>
      </c>
      <c r="M11" s="296">
        <f t="shared" si="10"/>
        <v>0.20833333333333334</v>
      </c>
      <c r="N11" s="318"/>
      <c r="O11" s="295">
        <f t="shared" ca="1" si="11"/>
        <v>9</v>
      </c>
      <c r="P11" s="296">
        <f t="shared" ca="1" si="12"/>
        <v>0.25714285714285712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10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0.10416666666666667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48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18.979166666666668</v>
      </c>
      <c r="Z14" s="261"/>
      <c r="AA14" s="464">
        <f ca="1">SUM(AA8:AA13)</f>
        <v>48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2</v>
      </c>
      <c r="AX14" s="287">
        <f t="shared" si="22"/>
        <v>33.200000000000003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34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19.041666666666668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18.914285714285715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19.384615384615383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19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20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21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43</v>
      </c>
      <c r="AW20" s="234">
        <f>COUNTIF( AV$7:AV20, AV20 )</f>
        <v>2</v>
      </c>
      <c r="AX20" s="287">
        <f t="shared" si="22"/>
        <v>43.2</v>
      </c>
      <c r="AY20" s="234">
        <f t="shared" si="23"/>
        <v>44</v>
      </c>
      <c r="AZ20" s="236"/>
      <c r="BA20" s="236"/>
      <c r="BC20" s="234">
        <f t="shared" ca="1" si="24"/>
        <v>14</v>
      </c>
      <c r="BD20" s="288">
        <f t="shared" ca="1" si="6"/>
        <v>46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9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3</v>
      </c>
      <c r="AX24" s="287">
        <f t="shared" si="22"/>
        <v>33.299999999999997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33</v>
      </c>
      <c r="AW27" s="234">
        <f>COUNTIF( AV$7:AV27, AV27 )</f>
        <v>4</v>
      </c>
      <c r="AX27" s="287">
        <f t="shared" si="22"/>
        <v>33.4</v>
      </c>
      <c r="AY27" s="234">
        <f t="shared" si="23"/>
        <v>36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3</v>
      </c>
      <c r="AX28" s="287">
        <f t="shared" si="22"/>
        <v>43.3</v>
      </c>
      <c r="AY28" s="234">
        <f t="shared" si="23"/>
        <v>45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50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4</v>
      </c>
      <c r="AX30" s="287">
        <f t="shared" si="22"/>
        <v>43.4</v>
      </c>
      <c r="AY30" s="234">
        <f t="shared" si="23"/>
        <v>46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8"/>
        <v>1</v>
      </c>
      <c r="AJ33" s="236">
        <f t="shared" ca="1" si="19"/>
        <v>16</v>
      </c>
      <c r="AK33" s="236" t="str">
        <f t="shared" ca="1" si="20"/>
        <v>A-</v>
      </c>
      <c r="AL33" s="236">
        <f t="shared" ca="1" si="20"/>
        <v>20</v>
      </c>
      <c r="AM33" s="236" t="str">
        <f t="shared" ca="1" si="4"/>
        <v>Change</v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33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43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478" t="s">
        <v>59</v>
      </c>
      <c r="B38" s="479" t="s">
        <v>16</v>
      </c>
      <c r="C38" s="479">
        <v>19</v>
      </c>
      <c r="D38" s="443" t="s">
        <v>566</v>
      </c>
      <c r="E38" s="480" t="str">
        <f t="shared" ca="1" si="8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>
        <f t="shared" ca="1" si="18"/>
        <v>1</v>
      </c>
      <c r="AJ38" s="236" t="e">
        <f t="shared" ca="1" si="19"/>
        <v>#N/A</v>
      </c>
      <c r="AK38" s="236" t="str">
        <f t="shared" ca="1" si="20"/>
        <v/>
      </c>
      <c r="AL38" s="236" t="str">
        <f t="shared" ca="1" si="20"/>
        <v/>
      </c>
      <c r="AM38" s="236" t="str">
        <f t="shared" ca="1" si="4"/>
        <v>Change</v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45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16</v>
      </c>
      <c r="AS39" s="286">
        <v>19</v>
      </c>
      <c r="AT39" s="286" t="s">
        <v>317</v>
      </c>
      <c r="AV39" s="234">
        <f t="shared" si="21"/>
        <v>16</v>
      </c>
      <c r="AW39" s="234">
        <f>COUNTIF( AV$7:AV39, AV39 )</f>
        <v>12</v>
      </c>
      <c r="AX39" s="287">
        <f t="shared" si="22"/>
        <v>17.2</v>
      </c>
      <c r="AY39" s="234">
        <f t="shared" si="23"/>
        <v>27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33</v>
      </c>
      <c r="AW42" s="234">
        <f>COUNTIF( AV$7:AV42, AV42 )</f>
        <v>9</v>
      </c>
      <c r="AX42" s="287">
        <f t="shared" si="22"/>
        <v>33.9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21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4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4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>
        <f t="shared" ca="1" si="3"/>
        <v>1</v>
      </c>
      <c r="AH44" s="236" t="str">
        <f t="shared" ca="1" si="18"/>
        <v/>
      </c>
      <c r="AJ44" s="236">
        <f t="shared" ca="1" si="19"/>
        <v>52</v>
      </c>
      <c r="AK44" s="236" t="str">
        <f t="shared" ca="1" si="20"/>
        <v>BBB-</v>
      </c>
      <c r="AL44" s="236">
        <f t="shared" ca="1" si="20"/>
        <v>17</v>
      </c>
      <c r="AM44" s="236" t="str">
        <f t="shared" ca="1" si="4"/>
        <v>Change</v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14</v>
      </c>
      <c r="AX44" s="287">
        <f t="shared" si="22"/>
        <v>17.399999999999999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43</v>
      </c>
      <c r="AW45" s="234">
        <f>COUNTIF( AV$7:AV45, AV45 )</f>
        <v>5</v>
      </c>
      <c r="AX45" s="287">
        <f t="shared" si="22"/>
        <v>43.5</v>
      </c>
      <c r="AY45" s="234">
        <f t="shared" si="23"/>
        <v>47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33</v>
      </c>
      <c r="AW46" s="234">
        <f>COUNTIF( AV$7:AV46, AV46 )</f>
        <v>10</v>
      </c>
      <c r="AX46" s="287">
        <f t="shared" si="22"/>
        <v>34</v>
      </c>
      <c r="AY46" s="234">
        <f t="shared" si="23"/>
        <v>42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15</v>
      </c>
      <c r="AX47" s="287">
        <f t="shared" si="22"/>
        <v>17.5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4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R</v>
      </c>
      <c r="F48" s="306"/>
      <c r="G48" s="307">
        <f t="shared" ca="1" si="1"/>
        <v>42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40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53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16</v>
      </c>
      <c r="AX49" s="287">
        <f t="shared" si="22"/>
        <v>17.600000000000001</v>
      </c>
      <c r="AY49" s="234">
        <f t="shared" si="23"/>
        <v>31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8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>
        <f t="shared" ca="1" si="3"/>
        <v>1</v>
      </c>
      <c r="AH50" s="236" t="str">
        <f t="shared" ca="1" si="18"/>
        <v/>
      </c>
      <c r="AJ50" s="236">
        <f t="shared" ca="1" si="19"/>
        <v>54</v>
      </c>
      <c r="AK50" s="236" t="str">
        <f t="shared" ca="1" si="20"/>
        <v>BB</v>
      </c>
      <c r="AL50" s="236">
        <f t="shared" ca="1" si="20"/>
        <v>15</v>
      </c>
      <c r="AM50" s="236" t="str">
        <f t="shared" ca="1" si="4"/>
        <v>Change</v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14</v>
      </c>
      <c r="BF50" s="240" t="str">
        <f t="shared" ca="1" si="25"/>
        <v>DPL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**DPL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R</v>
      </c>
      <c r="F51" s="306"/>
      <c r="G51" s="307">
        <f t="shared" ca="1" si="1"/>
        <v>26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59</v>
      </c>
      <c r="AR51" s="286" t="s">
        <v>16</v>
      </c>
      <c r="AS51" s="286">
        <v>19</v>
      </c>
      <c r="AT51" s="286" t="s">
        <v>336</v>
      </c>
      <c r="AV51" s="234">
        <f t="shared" si="21"/>
        <v>16</v>
      </c>
      <c r="AW51" s="234">
        <f>COUNTIF( AV$7:AV51, AV51 )</f>
        <v>17</v>
      </c>
      <c r="AX51" s="287">
        <f t="shared" si="22"/>
        <v>17.7</v>
      </c>
      <c r="AY51" s="234">
        <f t="shared" si="23"/>
        <v>32</v>
      </c>
      <c r="AZ51" s="236"/>
      <c r="BA51" s="236"/>
      <c r="BC51" s="234">
        <f t="shared" ca="1" si="24"/>
        <v>45</v>
      </c>
      <c r="BD51" s="288">
        <f t="shared" ca="1" si="6"/>
        <v>22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MR</v>
      </c>
      <c r="F52" s="306"/>
      <c r="G52" s="307">
        <f t="shared" ca="1" si="1"/>
        <v>27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26</v>
      </c>
      <c r="AR52" s="286" t="s">
        <v>10</v>
      </c>
      <c r="AS52" s="286">
        <v>20</v>
      </c>
      <c r="AT52" s="286" t="s">
        <v>335</v>
      </c>
      <c r="AV52" s="234">
        <f t="shared" si="21"/>
        <v>3</v>
      </c>
      <c r="AW52" s="234">
        <f>COUNTIF( AV$7:AV52, AV52 )</f>
        <v>12</v>
      </c>
      <c r="AX52" s="287">
        <f t="shared" si="22"/>
        <v>4.2</v>
      </c>
      <c r="AY52" s="234">
        <f t="shared" si="23"/>
        <v>14</v>
      </c>
      <c r="AZ52" s="236"/>
      <c r="BA52" s="236"/>
      <c r="BC52" s="234">
        <f t="shared" ca="1" si="24"/>
        <v>46</v>
      </c>
      <c r="BD52" s="288">
        <f t="shared" ca="1" si="6"/>
        <v>24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57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257</v>
      </c>
      <c r="AR53" s="286" t="s">
        <v>10</v>
      </c>
      <c r="AS53" s="286">
        <v>20</v>
      </c>
      <c r="AT53" s="286" t="s">
        <v>337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39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1</v>
      </c>
      <c r="AX54" s="287">
        <f t="shared" si="22"/>
        <v>99.1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2</v>
      </c>
      <c r="AX55" s="287">
        <f t="shared" si="22"/>
        <v>99.2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3</v>
      </c>
      <c r="AX56" s="287">
        <f t="shared" si="22"/>
        <v>99.3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4</v>
      </c>
      <c r="AX57" s="287">
        <f t="shared" si="22"/>
        <v>99.4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5</v>
      </c>
      <c r="AX58" s="287">
        <f t="shared" si="22"/>
        <v>99.5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6</v>
      </c>
      <c r="AX59" s="287">
        <f t="shared" si="22"/>
        <v>99.6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7</v>
      </c>
      <c r="AX60" s="287">
        <f t="shared" si="22"/>
        <v>99.7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8</v>
      </c>
      <c r="AX61" s="287">
        <f t="shared" si="22"/>
        <v>99.8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9</v>
      </c>
      <c r="AX62" s="287">
        <f t="shared" si="22"/>
        <v>99.9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10</v>
      </c>
      <c r="AX63" s="287">
        <f t="shared" si="22"/>
        <v>100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19.041666666666668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18.979166666666668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-- 2017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Reg_Percent_2016</v>
      </c>
      <c r="G2" s="239" t="s">
        <v>552</v>
      </c>
      <c r="AJ2" s="240" t="str">
        <f>AJ4 &amp; AJ3</f>
        <v>'Credit_2017Q3'!d:d</v>
      </c>
      <c r="AK2" s="240" t="str">
        <f>AK4 &amp; AK3</f>
        <v>'Credit_2017Q3'!b1</v>
      </c>
      <c r="AL2" s="240" t="str">
        <f>AL4 &amp; AL3</f>
        <v>'Credit_2017Q3'!c1</v>
      </c>
      <c r="AQ2" s="236"/>
    </row>
    <row r="3" spans="1:61" ht="19" hidden="1" outlineLevel="1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'Credit_2017Q3'!</v>
      </c>
      <c r="AK4" s="236" t="str">
        <f t="shared" ref="AK4:AL4" si="0">$AQ$5</f>
        <v>'Credit_2017Q3'!</v>
      </c>
      <c r="AL4" s="236" t="str">
        <f t="shared" si="0"/>
        <v>'Credit_2017Q3'!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(49)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(14)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562</v>
      </c>
    </row>
    <row r="6" spans="1:61" ht="28.5" customHeight="1">
      <c r="A6" s="299" t="s">
        <v>0</v>
      </c>
      <c r="B6" s="300" t="s">
        <v>555</v>
      </c>
      <c r="C6" s="338" t="s">
        <v>470</v>
      </c>
      <c r="D6" s="301"/>
      <c r="E6" s="302">
        <f ca="1">INDIRECT( E3 &amp; G1 )</f>
        <v>42735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4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58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0.34693877551020408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0.18367346938775511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2</v>
      </c>
      <c r="S11" s="296">
        <f t="shared" ca="1" si="14"/>
        <v>0.14285714285714285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63">
        <f ca="1">SUM(AA8:AA13)</f>
        <v>49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34</v>
      </c>
      <c r="AW14" s="234">
        <f>COUNTIF( AV$7:AV14, AV14 )</f>
        <v>2</v>
      </c>
      <c r="AX14" s="287">
        <f t="shared" si="22"/>
        <v>34.200000000000003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19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19.057142857142857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18.857142857142858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4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4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4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4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9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4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4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4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4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3</v>
      </c>
      <c r="AX24" s="287">
        <f t="shared" si="22"/>
        <v>34.299999999999997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4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34</v>
      </c>
      <c r="AW27" s="234">
        <f>COUNTIF( AV$7:AV27, AV27 )</f>
        <v>4</v>
      </c>
      <c r="AX27" s="287">
        <f t="shared" si="22"/>
        <v>34.4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9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4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4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4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**EFH</v>
      </c>
    </row>
    <row r="35" spans="1:61" ht="14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6</v>
      </c>
      <c r="AX36" s="287">
        <f t="shared" si="22"/>
        <v>34.6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4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46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4">
      <c r="A39" s="303" t="s">
        <v>59</v>
      </c>
      <c r="B39" s="304" t="s">
        <v>16</v>
      </c>
      <c r="C39" s="304">
        <v>19</v>
      </c>
      <c r="D39" s="304" t="s">
        <v>336</v>
      </c>
      <c r="E39" s="305" t="str">
        <f t="shared" ca="1" si="8"/>
        <v>R</v>
      </c>
      <c r="F39" s="306"/>
      <c r="G39" s="307">
        <f t="shared" ca="1" si="1"/>
        <v>49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34</v>
      </c>
      <c r="AW39" s="234">
        <f>COUNTIF( AV$7:AV39, AV39 )</f>
        <v>7</v>
      </c>
      <c r="AX39" s="287">
        <f t="shared" si="22"/>
        <v>34.700000000000003</v>
      </c>
      <c r="AY39" s="234">
        <f t="shared" si="23"/>
        <v>40</v>
      </c>
      <c r="AZ39" s="236"/>
      <c r="BA39" s="236"/>
      <c r="BC39" s="234">
        <f t="shared" ca="1" si="24"/>
        <v>33</v>
      </c>
      <c r="BD39" s="288">
        <f t="shared" ca="1" si="6"/>
        <v>46</v>
      </c>
      <c r="BF39" s="240" t="str">
        <f t="shared" ref="BF39:BI63" ca="1" si="25">OFFSET( AQ$6, $BD39, 0 )</f>
        <v>Westar Energy, Inc.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WR</v>
      </c>
    </row>
    <row r="40" spans="1:61" ht="14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4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4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21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4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34</v>
      </c>
      <c r="AW43" s="234">
        <f>COUNTIF( AV$7:AV43, AV43 )</f>
        <v>8</v>
      </c>
      <c r="AX43" s="287">
        <f t="shared" si="22"/>
        <v>34.799999999999997</v>
      </c>
      <c r="AY43" s="234">
        <f t="shared" si="23"/>
        <v>41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4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34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36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33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40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28</v>
      </c>
      <c r="AS47" s="286">
        <v>18</v>
      </c>
      <c r="AT47" s="286" t="s">
        <v>326</v>
      </c>
      <c r="AV47" s="234">
        <f t="shared" si="21"/>
        <v>34</v>
      </c>
      <c r="AW47" s="234">
        <f>COUNTIF( AV$7:AV47, AV47 )</f>
        <v>9</v>
      </c>
      <c r="AX47" s="287">
        <f t="shared" si="22"/>
        <v>34.9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6"/>
        <v>37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4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MR</v>
      </c>
      <c r="F48" s="306"/>
      <c r="G48" s="307">
        <f t="shared" ca="1" si="1"/>
        <v>43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8"/>
        <v>1</v>
      </c>
      <c r="AJ48" s="236">
        <f t="shared" ca="1" si="19"/>
        <v>37</v>
      </c>
      <c r="AK48" s="236" t="str">
        <f t="shared" ca="1" si="20"/>
        <v>BBB+</v>
      </c>
      <c r="AL48" s="236">
        <f t="shared" ca="1" si="20"/>
        <v>19</v>
      </c>
      <c r="AM48" s="236" t="str">
        <f t="shared" ca="1" si="4"/>
        <v>Change</v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15</v>
      </c>
      <c r="AX48" s="287">
        <f t="shared" si="22"/>
        <v>18.5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41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16</v>
      </c>
      <c r="AX50" s="287">
        <f t="shared" si="22"/>
        <v>18.600000000000001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17</v>
      </c>
      <c r="AX52" s="287">
        <f t="shared" si="22"/>
        <v>18.7</v>
      </c>
      <c r="AY52" s="234">
        <f t="shared" si="23"/>
        <v>33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64</v>
      </c>
      <c r="B54" s="304" t="s">
        <v>61</v>
      </c>
      <c r="C54" s="304">
        <v>15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</v>
      </c>
      <c r="BH54" s="240">
        <f t="shared" ca="1" si="25"/>
        <v>15</v>
      </c>
      <c r="BI54" s="240" t="str">
        <f t="shared" ca="1" si="25"/>
        <v>**DPL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-- 2017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Reg_Percent_2016</v>
      </c>
      <c r="G2" s="239" t="s">
        <v>552</v>
      </c>
      <c r="AJ2" s="240" t="str">
        <f>AJ4 &amp; AJ3</f>
        <v>'Credit_2017Q2'!d:d</v>
      </c>
      <c r="AK2" s="240" t="str">
        <f>AK4 &amp; AK3</f>
        <v>'Credit_2017Q2'!b1</v>
      </c>
      <c r="AL2" s="240" t="str">
        <f>AL4 &amp; AL3</f>
        <v>'Credit_2017Q2'!c1</v>
      </c>
      <c r="AQ2" s="236"/>
    </row>
    <row r="3" spans="1:61" ht="19" hidden="1" outlineLevel="1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'Credit_2017Q2'!</v>
      </c>
      <c r="AK4" s="236" t="str">
        <f t="shared" ref="AK4:AL4" si="0">$AQ$5</f>
        <v>'Credit_2017Q2'!</v>
      </c>
      <c r="AL4" s="236" t="str">
        <f t="shared" si="0"/>
        <v>'Credit_2017Q2'!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(49)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(14)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560</v>
      </c>
    </row>
    <row r="6" spans="1:61" ht="28.5" customHeight="1">
      <c r="A6" s="299" t="s">
        <v>0</v>
      </c>
      <c r="B6" s="300" t="s">
        <v>554</v>
      </c>
      <c r="C6" s="338" t="s">
        <v>470</v>
      </c>
      <c r="D6" s="301"/>
      <c r="E6" s="302">
        <f ca="1">INDIRECT( E3 &amp; G1 )</f>
        <v>42735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2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18.979591836734695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19.028571428571428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18.857142857142858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4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4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4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4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4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4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4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4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9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4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4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4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4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4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4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9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-- 2017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Reg_Percent_2016</v>
      </c>
      <c r="G2" s="239" t="s">
        <v>552</v>
      </c>
      <c r="AJ2" s="240" t="str">
        <f>AJ4 &amp; AJ3</f>
        <v>'Credit_2017Q1'!d:d</v>
      </c>
      <c r="AK2" s="240" t="str">
        <f>AK4 &amp; AK3</f>
        <v>'Credit_2017Q1'!b1</v>
      </c>
      <c r="AL2" s="240" t="str">
        <f>AL4 &amp; AL3</f>
        <v>'Credit_2017Q1'!c1</v>
      </c>
      <c r="AQ2" s="236"/>
    </row>
    <row r="3" spans="1:61" ht="19" hidden="1" outlineLevel="1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'Credit_2017Q1'!</v>
      </c>
      <c r="AK4" s="236" t="str">
        <f t="shared" ref="AK4:AL4" si="0">$AQ$5</f>
        <v>'Credit_2017Q1'!</v>
      </c>
      <c r="AL4" s="236" t="str">
        <f t="shared" si="0"/>
        <v>'Credit_2017Q1'!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(49)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(14)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559</v>
      </c>
    </row>
    <row r="6" spans="1:61" ht="28.5" customHeight="1">
      <c r="A6" s="299" t="s">
        <v>0</v>
      </c>
      <c r="B6" s="300" t="s">
        <v>553</v>
      </c>
      <c r="C6" s="338" t="s">
        <v>470</v>
      </c>
      <c r="D6" s="301"/>
      <c r="E6" s="302">
        <f ca="1">INDIRECT( E3 &amp; G1 )</f>
        <v>42735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1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18.979591836734695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19.028571428571428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18.857142857142858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0</v>
      </c>
      <c r="AG16" s="236">
        <f t="shared" ca="1" si="3"/>
        <v>1</v>
      </c>
      <c r="AH16" s="236" t="str">
        <f t="shared" ca="1" si="18"/>
        <v/>
      </c>
      <c r="AJ16" s="236">
        <f t="shared" ca="1" si="19"/>
        <v>34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4"/>
        <v>Change</v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4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4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4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4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4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4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4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4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4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4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4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Resources,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4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4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4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4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4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4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4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4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4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-- 2017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Reg_Percent_2016</v>
      </c>
      <c r="G2" s="239" t="s">
        <v>552</v>
      </c>
      <c r="AJ2" s="240" t="str">
        <f>AJ4 &amp; AJ3</f>
        <v>'Credit_2016Q4'!d:d</v>
      </c>
      <c r="AK2" s="240" t="str">
        <f>AK4 &amp; AK3</f>
        <v>'Credit_2016Q4'!b1</v>
      </c>
      <c r="AL2" s="240" t="str">
        <f>AL4 &amp; AL3</f>
        <v>'Credit_2016Q4'!c1</v>
      </c>
      <c r="AQ2" s="236"/>
    </row>
    <row r="3" spans="1:61" ht="19" hidden="1" outlineLevel="1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'Credit_2016Q4'!</v>
      </c>
      <c r="AK4" s="236" t="str">
        <f t="shared" ref="AK4:AL4" si="0">$AQ$5</f>
        <v>'Credit_2016Q4'!</v>
      </c>
      <c r="AL4" s="236" t="str">
        <f t="shared" si="0"/>
        <v>'Credit_2016Q4'!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(49)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(14)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549</v>
      </c>
    </row>
    <row r="6" spans="1:61" ht="28.5" customHeight="1">
      <c r="A6" s="299" t="s">
        <v>0</v>
      </c>
      <c r="B6" s="300" t="s">
        <v>550</v>
      </c>
      <c r="C6" s="338" t="s">
        <v>470</v>
      </c>
      <c r="D6" s="301"/>
      <c r="E6" s="302">
        <f ca="1">INDIRECT( E3 &amp; G1 )</f>
        <v>42735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0.26530612244897961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19</v>
      </c>
      <c r="M10" s="296">
        <f t="shared" si="10"/>
        <v>0.38775510204081631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19</v>
      </c>
      <c r="AE10" s="254"/>
      <c r="AF10" s="236">
        <f t="shared" si="2"/>
        <v>0</v>
      </c>
      <c r="AG10" s="236">
        <f t="shared" ca="1" si="3"/>
        <v>1</v>
      </c>
      <c r="AH10" s="236" t="str">
        <f t="shared" ca="1" si="18"/>
        <v/>
      </c>
      <c r="AJ10" s="236">
        <f t="shared" ca="1" si="19"/>
        <v>23</v>
      </c>
      <c r="AK10" s="236" t="str">
        <f t="shared" ca="1" si="20"/>
        <v>BBB+</v>
      </c>
      <c r="AL10" s="236">
        <f t="shared" ca="1" si="20"/>
        <v>19</v>
      </c>
      <c r="AM10" s="236" t="str">
        <f t="shared" ca="1" si="4"/>
        <v>Change</v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4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4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54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38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18.959183673469386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19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18.857142857142858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35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38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4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45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4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47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4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50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48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4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4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23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556</v>
      </c>
      <c r="B33" s="304" t="s">
        <v>16</v>
      </c>
      <c r="C33" s="304">
        <v>19</v>
      </c>
      <c r="D33" s="304" t="s">
        <v>444</v>
      </c>
      <c r="E33" s="305" t="str">
        <f t="shared" ca="1" si="8"/>
        <v>R</v>
      </c>
      <c r="F33" s="306"/>
      <c r="G33" s="307">
        <f t="shared" ca="1" si="1"/>
        <v>56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si="3"/>
        <v/>
      </c>
      <c r="AH33" s="236" t="str">
        <f t="shared" si="18"/>
        <v/>
      </c>
      <c r="AJ33" s="236">
        <f t="shared" ca="1" si="19"/>
        <v>62</v>
      </c>
      <c r="AK33" s="460" t="s">
        <v>16</v>
      </c>
      <c r="AL33" s="460">
        <v>19</v>
      </c>
      <c r="AM33" s="236" t="str">
        <f t="shared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32</v>
      </c>
      <c r="BF33" s="240" t="str">
        <f t="shared" ca="1" si="7"/>
        <v>Oncor Electric Delivery Company LLC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**EFH</v>
      </c>
    </row>
    <row r="34" spans="1:61" ht="14">
      <c r="A34" s="303" t="s">
        <v>53</v>
      </c>
      <c r="B34" s="304" t="s">
        <v>16</v>
      </c>
      <c r="C34" s="304">
        <v>19</v>
      </c>
      <c r="D34" s="304" t="s">
        <v>317</v>
      </c>
      <c r="E34" s="305" t="str">
        <f t="shared" ca="1" si="8"/>
        <v>R</v>
      </c>
      <c r="F34" s="306"/>
      <c r="G34" s="307">
        <f t="shared" ca="1" si="1"/>
        <v>37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34</v>
      </c>
      <c r="BF34" s="240" t="str">
        <f t="shared" ca="1" si="7"/>
        <v>PG&amp;E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PCG</v>
      </c>
    </row>
    <row r="35" spans="1:61" ht="14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4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4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4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16</v>
      </c>
      <c r="AW38" s="234">
        <f>COUNTIF( AV$7:AV38, AV38 )</f>
        <v>12</v>
      </c>
      <c r="AX38" s="287">
        <f t="shared" si="22"/>
        <v>17.2</v>
      </c>
      <c r="AY38" s="234">
        <f t="shared" si="23"/>
        <v>27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16</v>
      </c>
      <c r="AW40" s="234">
        <f>COUNTIF( AV$7:AV40, AV40 )</f>
        <v>13</v>
      </c>
      <c r="AX40" s="287">
        <f t="shared" si="22"/>
        <v>17.3</v>
      </c>
      <c r="AY40" s="234">
        <f t="shared" si="23"/>
        <v>28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8</v>
      </c>
      <c r="AX41" s="287">
        <f t="shared" si="22"/>
        <v>3.8</v>
      </c>
      <c r="AY41" s="234">
        <f t="shared" si="23"/>
        <v>10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9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9</v>
      </c>
      <c r="AX44" s="287">
        <f t="shared" si="22"/>
        <v>3.9</v>
      </c>
      <c r="AY44" s="234">
        <f t="shared" si="23"/>
        <v>11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16</v>
      </c>
      <c r="AW45" s="234">
        <f>COUNTIF( AV$7:AV45, AV45 )</f>
        <v>15</v>
      </c>
      <c r="AX45" s="287">
        <f t="shared" si="22"/>
        <v>17.5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16</v>
      </c>
      <c r="AW48" s="234">
        <f>COUNTIF( AV$7:AV48, AV48 )</f>
        <v>17</v>
      </c>
      <c r="AX48" s="287">
        <f t="shared" si="22"/>
        <v>17.7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4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16</v>
      </c>
      <c r="AW50" s="234">
        <f>COUNTIF( AV$7:AV50, AV50 )</f>
        <v>18</v>
      </c>
      <c r="AX50" s="287">
        <f t="shared" si="22"/>
        <v>17.8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11</v>
      </c>
      <c r="AX51" s="287">
        <f t="shared" si="22"/>
        <v>4.0999999999999996</v>
      </c>
      <c r="AY51" s="234">
        <f t="shared" si="23"/>
        <v>13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16</v>
      </c>
      <c r="AW52" s="234">
        <f>COUNTIF( AV$7:AV52, AV52 )</f>
        <v>19</v>
      </c>
      <c r="AX52" s="287">
        <f t="shared" si="22"/>
        <v>17.899999999999999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12</v>
      </c>
      <c r="AX53" s="287">
        <f t="shared" si="22"/>
        <v>4.2</v>
      </c>
      <c r="AY53" s="234">
        <f t="shared" si="23"/>
        <v>14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>
        <f t="shared" ca="1" si="18"/>
        <v>1</v>
      </c>
      <c r="AJ54" s="236">
        <f t="shared" ca="1" si="19"/>
        <v>55</v>
      </c>
      <c r="AK54" s="236" t="str">
        <f t="shared" ca="1" si="20"/>
        <v>BB</v>
      </c>
      <c r="AL54" s="236">
        <f t="shared" ca="1" si="20"/>
        <v>15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13</v>
      </c>
      <c r="AX54" s="287">
        <f t="shared" si="22"/>
        <v>4.3</v>
      </c>
      <c r="AY54" s="234">
        <f t="shared" si="23"/>
        <v>15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4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18.959183673469386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92D050"/>
    <pageSetUpPr fitToPage="1"/>
  </sheetPr>
  <dimension ref="C1:V19"/>
  <sheetViews>
    <sheetView showGridLines="0" zoomScale="90" zoomScaleNormal="90" workbookViewId="0"/>
  </sheetViews>
  <sheetFormatPr baseColWidth="10" defaultColWidth="9.1640625" defaultRowHeight="13"/>
  <cols>
    <col min="1" max="2" width="2.6640625" style="1" customWidth="1"/>
    <col min="3" max="3" width="25.1640625" style="1" customWidth="1"/>
    <col min="4" max="8" width="9.1640625" style="1"/>
    <col min="9" max="10" width="8.5" style="1" customWidth="1"/>
    <col min="11" max="16384" width="9.1640625" style="1"/>
  </cols>
  <sheetData>
    <row r="1" spans="3:22" ht="18">
      <c r="C1" s="18" t="s">
        <v>271</v>
      </c>
      <c r="D1" s="4"/>
      <c r="E1" s="4"/>
      <c r="F1" s="4"/>
      <c r="G1" s="4"/>
    </row>
    <row r="2" spans="3:22" ht="18">
      <c r="C2" s="18"/>
      <c r="D2" s="4"/>
      <c r="E2" s="4"/>
      <c r="F2" s="4"/>
      <c r="G2" s="4"/>
    </row>
    <row r="3" spans="3:22" ht="18">
      <c r="C3" s="18"/>
      <c r="D3" s="4"/>
      <c r="E3" s="4"/>
      <c r="F3" s="4"/>
      <c r="G3" s="4"/>
    </row>
    <row r="5" spans="3:22">
      <c r="C5" s="494" t="s">
        <v>216</v>
      </c>
      <c r="D5" s="494"/>
      <c r="E5" s="494"/>
      <c r="F5" s="494"/>
      <c r="G5" s="495"/>
      <c r="H5" s="495"/>
      <c r="I5" s="495"/>
      <c r="J5" s="15"/>
    </row>
    <row r="6" spans="3:22">
      <c r="C6" s="55"/>
      <c r="D6" s="55"/>
      <c r="E6" s="55"/>
      <c r="F6" s="55"/>
      <c r="G6" s="55"/>
      <c r="H6" s="55"/>
      <c r="I6" s="55"/>
    </row>
    <row r="7" spans="3:22">
      <c r="C7" s="492" t="s">
        <v>557</v>
      </c>
      <c r="D7" s="493"/>
      <c r="E7" s="493"/>
      <c r="F7" s="493"/>
      <c r="G7" s="56"/>
      <c r="H7" s="56"/>
      <c r="I7" s="55"/>
    </row>
    <row r="8" spans="3:22">
      <c r="C8" s="55"/>
      <c r="D8" s="55"/>
      <c r="E8" s="55"/>
      <c r="F8" s="55"/>
      <c r="G8" s="55"/>
      <c r="H8" s="55"/>
      <c r="I8" s="57"/>
    </row>
    <row r="9" spans="3:22">
      <c r="C9" s="54" t="s">
        <v>217</v>
      </c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1">
        <v>2008</v>
      </c>
      <c r="K9" s="61">
        <v>2009</v>
      </c>
      <c r="L9" s="61">
        <v>2010</v>
      </c>
      <c r="M9" s="61">
        <v>2011</v>
      </c>
      <c r="N9" s="61">
        <v>2012</v>
      </c>
      <c r="O9" s="61">
        <v>2013</v>
      </c>
      <c r="P9" s="61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</row>
    <row r="10" spans="3:22">
      <c r="C10" s="55"/>
      <c r="D10" s="61"/>
      <c r="E10" s="61"/>
      <c r="F10" s="61"/>
      <c r="G10" s="55"/>
      <c r="H10" s="55"/>
      <c r="I10" s="57"/>
      <c r="J10" s="55"/>
      <c r="K10" s="55"/>
    </row>
    <row r="11" spans="3:22">
      <c r="C11" s="420" t="s">
        <v>89</v>
      </c>
      <c r="D11" s="412">
        <v>57</v>
      </c>
      <c r="E11" s="412">
        <v>62</v>
      </c>
      <c r="F11" s="412">
        <v>34</v>
      </c>
      <c r="G11" s="412">
        <v>22</v>
      </c>
      <c r="H11" s="413">
        <v>31</v>
      </c>
      <c r="I11" s="413">
        <v>41</v>
      </c>
      <c r="J11" s="413">
        <v>17</v>
      </c>
      <c r="K11" s="413">
        <v>14</v>
      </c>
      <c r="L11" s="413">
        <v>24</v>
      </c>
      <c r="M11" s="413">
        <f>'II. Upgrades &amp; Downgrades'!AS50</f>
        <v>25</v>
      </c>
      <c r="N11" s="413">
        <f>'II. Upgrades &amp; Downgrades'!AW50</f>
        <v>26</v>
      </c>
      <c r="O11" s="413">
        <f>'II. Upgrades &amp; Downgrades'!BA50</f>
        <v>23</v>
      </c>
      <c r="P11" s="413">
        <f>'II. Upgrades &amp; Downgrades'!BE50</f>
        <v>14</v>
      </c>
      <c r="Q11" s="413">
        <f>'II. Upgrades &amp; Downgrades'!BI50</f>
        <v>11</v>
      </c>
      <c r="R11" s="413">
        <f>'II. Upgrades &amp; Downgrades'!BM50</f>
        <v>16</v>
      </c>
      <c r="S11" s="413">
        <f>'II. Upgrades &amp; Downgrades'!BQ50</f>
        <v>15</v>
      </c>
      <c r="T11" s="413">
        <f>'II. Upgrades &amp; Downgrades'!BU50</f>
        <v>33</v>
      </c>
      <c r="U11" s="413">
        <f>'II. Upgrades &amp; Downgrades'!BY50</f>
        <v>36</v>
      </c>
      <c r="V11" s="413">
        <f ca="1">'II. Upgrades &amp; Downgrades'!CC50</f>
        <v>7</v>
      </c>
    </row>
    <row r="12" spans="3:22">
      <c r="C12" s="419" t="s">
        <v>218</v>
      </c>
      <c r="D12" s="405">
        <v>118</v>
      </c>
      <c r="E12" s="405">
        <v>79</v>
      </c>
      <c r="F12" s="405">
        <v>42</v>
      </c>
      <c r="G12" s="405">
        <v>46</v>
      </c>
      <c r="H12" s="406">
        <v>39</v>
      </c>
      <c r="I12" s="406">
        <v>32</v>
      </c>
      <c r="J12" s="406">
        <v>6</v>
      </c>
      <c r="K12" s="406">
        <v>23</v>
      </c>
      <c r="L12" s="406">
        <v>20</v>
      </c>
      <c r="M12" s="406">
        <f>'II. Upgrades &amp; Downgrades'!AS51</f>
        <v>11</v>
      </c>
      <c r="N12" s="406">
        <f>'II. Upgrades &amp; Downgrades'!AW51</f>
        <v>20</v>
      </c>
      <c r="O12" s="406">
        <f>'II. Upgrades &amp; Downgrades'!BA51</f>
        <v>17</v>
      </c>
      <c r="P12" s="406">
        <f>'II. Upgrades &amp; Downgrades'!BE51</f>
        <v>85</v>
      </c>
      <c r="Q12" s="406">
        <f>'II. Upgrades &amp; Downgrades'!BI51</f>
        <v>12</v>
      </c>
      <c r="R12" s="406">
        <f>'II. Upgrades &amp; Downgrades'!BM51</f>
        <v>13</v>
      </c>
      <c r="S12" s="406">
        <f>'II. Upgrades &amp; Downgrades'!BQ51</f>
        <v>12</v>
      </c>
      <c r="T12" s="406">
        <f>'II. Upgrades &amp; Downgrades'!BU51</f>
        <v>23</v>
      </c>
      <c r="U12" s="406">
        <f>'II. Upgrades &amp; Downgrades'!BY51</f>
        <v>20</v>
      </c>
      <c r="V12" s="406">
        <f ca="1">'II. Upgrades &amp; Downgrades'!CC51</f>
        <v>6</v>
      </c>
    </row>
    <row r="13" spans="3:22">
      <c r="C13" s="421" t="s">
        <v>98</v>
      </c>
      <c r="D13" s="418">
        <v>125</v>
      </c>
      <c r="E13" s="418">
        <v>112</v>
      </c>
      <c r="F13" s="417">
        <v>34</v>
      </c>
      <c r="G13" s="417">
        <v>53</v>
      </c>
      <c r="H13" s="418">
        <v>40</v>
      </c>
      <c r="I13" s="418">
        <v>48</v>
      </c>
      <c r="J13" s="418">
        <v>27</v>
      </c>
      <c r="K13" s="418">
        <v>20</v>
      </c>
      <c r="L13" s="418">
        <v>36</v>
      </c>
      <c r="M13" s="418">
        <f>'II. Upgrades &amp; Downgrades'!AS52</f>
        <v>24</v>
      </c>
      <c r="N13" s="418">
        <f>'II. Upgrades &amp; Downgrades'!AW52</f>
        <v>30</v>
      </c>
      <c r="O13" s="418">
        <f>'II. Upgrades &amp; Downgrades'!BA52</f>
        <v>40</v>
      </c>
      <c r="P13" s="418">
        <f>'II. Upgrades &amp; Downgrades'!BE52</f>
        <v>7</v>
      </c>
      <c r="Q13" s="418">
        <f>'II. Upgrades &amp; Downgrades'!BI52</f>
        <v>27</v>
      </c>
      <c r="R13" s="418">
        <f>'II. Upgrades &amp; Downgrades'!BM52</f>
        <v>38</v>
      </c>
      <c r="S13" s="418">
        <f>'II. Upgrades &amp; Downgrades'!BQ52</f>
        <v>25</v>
      </c>
      <c r="T13" s="418">
        <f>'II. Upgrades &amp; Downgrades'!BU52</f>
        <v>37</v>
      </c>
      <c r="U13" s="418">
        <f>'II. Upgrades &amp; Downgrades'!BY52</f>
        <v>34</v>
      </c>
      <c r="V13" s="418">
        <f ca="1">'II. Upgrades &amp; Downgrades'!CC52</f>
        <v>3</v>
      </c>
    </row>
    <row r="14" spans="3:22" s="175" customFormat="1">
      <c r="C14" s="407" t="s">
        <v>219</v>
      </c>
      <c r="D14" s="408">
        <f t="shared" ref="D14:J14" si="0">SUM(D11:D13)</f>
        <v>300</v>
      </c>
      <c r="E14" s="408">
        <f t="shared" si="0"/>
        <v>253</v>
      </c>
      <c r="F14" s="407">
        <f t="shared" si="0"/>
        <v>110</v>
      </c>
      <c r="G14" s="407">
        <f t="shared" si="0"/>
        <v>121</v>
      </c>
      <c r="H14" s="407">
        <f t="shared" si="0"/>
        <v>110</v>
      </c>
      <c r="I14" s="408">
        <f t="shared" si="0"/>
        <v>121</v>
      </c>
      <c r="J14" s="408">
        <f t="shared" si="0"/>
        <v>50</v>
      </c>
      <c r="K14" s="408">
        <f t="shared" ref="K14:T14" si="1">SUM(K11:K13)</f>
        <v>57</v>
      </c>
      <c r="L14" s="408">
        <f t="shared" si="1"/>
        <v>80</v>
      </c>
      <c r="M14" s="408">
        <f t="shared" si="1"/>
        <v>60</v>
      </c>
      <c r="N14" s="408">
        <f t="shared" si="1"/>
        <v>76</v>
      </c>
      <c r="O14" s="408">
        <f t="shared" si="1"/>
        <v>80</v>
      </c>
      <c r="P14" s="408">
        <f t="shared" ref="P14:R14" si="2">SUM(P11:P13)</f>
        <v>106</v>
      </c>
      <c r="Q14" s="408">
        <f t="shared" si="2"/>
        <v>50</v>
      </c>
      <c r="R14" s="408">
        <f t="shared" si="2"/>
        <v>67</v>
      </c>
      <c r="S14" s="408">
        <f t="shared" ref="S14" si="3">SUM(S11:S13)</f>
        <v>52</v>
      </c>
      <c r="T14" s="408">
        <f t="shared" si="1"/>
        <v>93</v>
      </c>
      <c r="U14" s="408">
        <f>'II. Upgrades &amp; Downgrades'!BY53</f>
        <v>90</v>
      </c>
      <c r="V14" s="408">
        <f ca="1">'II. Upgrades &amp; Downgrades'!CC53</f>
        <v>16</v>
      </c>
    </row>
    <row r="15" spans="3:22">
      <c r="C15" s="55"/>
      <c r="D15" s="55"/>
      <c r="E15" s="55"/>
      <c r="F15" s="55"/>
      <c r="G15" s="55"/>
      <c r="H15" s="55"/>
      <c r="I15" s="55"/>
    </row>
    <row r="16" spans="3:22">
      <c r="C16" s="54" t="s">
        <v>548</v>
      </c>
      <c r="D16" s="55"/>
      <c r="E16" s="55"/>
      <c r="F16" s="55"/>
      <c r="G16" s="55"/>
      <c r="H16" s="55"/>
      <c r="I16" s="55"/>
    </row>
    <row r="17" spans="3:9">
      <c r="C17" s="70"/>
      <c r="D17" s="55"/>
      <c r="E17" s="55"/>
      <c r="F17" s="55"/>
      <c r="G17" s="55"/>
      <c r="H17" s="55"/>
      <c r="I17" s="55"/>
    </row>
    <row r="18" spans="3:9">
      <c r="C18" s="55"/>
      <c r="D18" s="55"/>
      <c r="E18" s="55"/>
      <c r="F18" s="55"/>
      <c r="G18" s="55"/>
      <c r="H18" s="55"/>
      <c r="I18" s="55"/>
    </row>
    <row r="19" spans="3:9">
      <c r="C19" s="55"/>
      <c r="D19" s="55"/>
      <c r="E19" s="55"/>
      <c r="F19" s="55"/>
      <c r="G19" s="55"/>
      <c r="H19" s="55"/>
      <c r="I19" s="55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-- 2016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Reg_Percent_2015</v>
      </c>
      <c r="G2" s="239" t="s">
        <v>538</v>
      </c>
      <c r="AJ2" s="240" t="str">
        <f>AJ4 &amp; AJ3</f>
        <v>'Credit_2016Q3'!d:d</v>
      </c>
      <c r="AK2" s="240" t="str">
        <f>AK4 &amp; AK3</f>
        <v>'Credit_2016Q3'!b1</v>
      </c>
      <c r="AL2" s="240" t="str">
        <f>AL4 &amp; AL3</f>
        <v>'Credit_2016Q3'!c1</v>
      </c>
      <c r="AQ2" s="236"/>
    </row>
    <row r="3" spans="1:61" ht="19" hidden="1" outlineLevel="1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'Credit_2016Q3'!</v>
      </c>
      <c r="AK4" s="236" t="str">
        <f t="shared" ref="AK4:AL4" si="0">$AQ$5</f>
        <v>'Credit_2016Q3'!</v>
      </c>
      <c r="AL4" s="236" t="str">
        <f t="shared" si="0"/>
        <v>'Credit_2016Q3'!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(50)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(12)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544</v>
      </c>
    </row>
    <row r="6" spans="1:61" ht="28.5" customHeight="1">
      <c r="A6" s="299" t="s">
        <v>0</v>
      </c>
      <c r="B6" s="300" t="s">
        <v>536</v>
      </c>
      <c r="C6" s="338" t="s">
        <v>470</v>
      </c>
      <c r="D6" s="301"/>
      <c r="E6" s="302">
        <f ca="1">INDIRECT( E3 &amp; G1 )</f>
        <v>42369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3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18.940000000000001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19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17.5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4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4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9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4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4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4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-- 2016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Reg_Percent_2015</v>
      </c>
      <c r="G2" s="239" t="s">
        <v>538</v>
      </c>
      <c r="AJ2" s="240" t="str">
        <f>AJ4 &amp; AJ3</f>
        <v>'Credit_2016Q2'!d:d</v>
      </c>
      <c r="AK2" s="240" t="str">
        <f>AK4 &amp; AK3</f>
        <v>'Credit_2016Q2'!b1</v>
      </c>
      <c r="AL2" s="240" t="str">
        <f>AL4 &amp; AL3</f>
        <v>'Credit_2016Q2'!c1</v>
      </c>
      <c r="AQ2" s="236"/>
    </row>
    <row r="3" spans="1:61" ht="19" hidden="1" outlineLevel="1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'Credit_2016Q2'!</v>
      </c>
      <c r="AK4" s="236" t="str">
        <f t="shared" ref="AK4:AL4" si="0">$AQ$5</f>
        <v>'Credit_2016Q2'!</v>
      </c>
      <c r="AL4" s="236" t="str">
        <f t="shared" si="0"/>
        <v>'Credit_2016Q2'!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(50)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(12)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542</v>
      </c>
    </row>
    <row r="6" spans="1:61" ht="28.5" customHeight="1">
      <c r="A6" s="299" t="s">
        <v>0</v>
      </c>
      <c r="B6" s="300" t="s">
        <v>535</v>
      </c>
      <c r="C6" s="338" t="s">
        <v>470</v>
      </c>
      <c r="D6" s="301"/>
      <c r="E6" s="302">
        <f ca="1">INDIRECT( E3 &amp; G1 )</f>
        <v>42369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2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18.940000000000001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19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17.5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38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4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4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43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4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4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4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4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>
        <f t="shared" ca="1" si="3"/>
        <v>1</v>
      </c>
      <c r="AH33" s="236" t="str">
        <f t="shared" ca="1" si="18"/>
        <v/>
      </c>
      <c r="AJ33" s="236">
        <f t="shared" ca="1" si="19"/>
        <v>48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4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4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31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9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4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4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4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4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4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9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4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4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-- 2016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Reg_Percent_2015</v>
      </c>
      <c r="G2" s="239" t="s">
        <v>538</v>
      </c>
      <c r="AJ2" s="240" t="str">
        <f>AJ4 &amp; AJ3</f>
        <v>'Credit_2016Q1'!d:d</v>
      </c>
      <c r="AK2" s="240" t="str">
        <f>AK4 &amp; AK3</f>
        <v>'Credit_2016Q1'!b1</v>
      </c>
      <c r="AL2" s="240" t="str">
        <f>AL4 &amp; AL3</f>
        <v>'Credit_2016Q1'!c1</v>
      </c>
      <c r="AQ2" s="236"/>
    </row>
    <row r="3" spans="1:61" ht="19" hidden="1" outlineLevel="1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'Credit_2016Q1'!</v>
      </c>
      <c r="AK4" s="236" t="str">
        <f t="shared" ref="AK4:AL4" si="0">$AQ$5</f>
        <v>'Credit_2016Q1'!</v>
      </c>
      <c r="AL4" s="236" t="str">
        <f t="shared" si="0"/>
        <v>'Credit_2016Q1'!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(50)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(12)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539</v>
      </c>
    </row>
    <row r="6" spans="1:61" ht="28.5" customHeight="1">
      <c r="A6" s="299" t="s">
        <v>0</v>
      </c>
      <c r="B6" s="300" t="s">
        <v>534</v>
      </c>
      <c r="C6" s="338" t="s">
        <v>470</v>
      </c>
      <c r="D6" s="301"/>
      <c r="E6" s="302">
        <f ca="1">INDIRECT( E3 &amp; G1 )</f>
        <v>42369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10</v>
      </c>
      <c r="P10" s="296">
        <f t="shared" ca="1" si="12"/>
        <v>0.27777777777777779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12</v>
      </c>
      <c r="M11" s="296">
        <f t="shared" si="10"/>
        <v>0.24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12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3</v>
      </c>
      <c r="AX11" s="287">
        <f t="shared" si="22"/>
        <v>15.3</v>
      </c>
      <c r="AY11" s="234">
        <f t="shared" si="23"/>
        <v>17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2</v>
      </c>
      <c r="AX12" s="287">
        <f t="shared" si="22"/>
        <v>32.200000000000003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51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3</v>
      </c>
      <c r="AX14" s="287">
        <f t="shared" si="22"/>
        <v>32.299999999999997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18.88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18.916666666666668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17.5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531</v>
      </c>
      <c r="B23" s="304" t="s">
        <v>16</v>
      </c>
      <c r="C23" s="304">
        <v>19</v>
      </c>
      <c r="D23" s="304" t="s">
        <v>529</v>
      </c>
      <c r="E23" s="305" t="str">
        <f t="shared" ca="1" si="8"/>
        <v>MR</v>
      </c>
      <c r="F23" s="306"/>
      <c r="G23" s="307">
        <f t="shared" ca="1" si="1"/>
        <v>11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39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5</v>
      </c>
      <c r="BF23" s="240" t="str">
        <f t="shared" ca="1" si="7"/>
        <v>AVANGRID,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AGR</v>
      </c>
    </row>
    <row r="24" spans="1:61" ht="14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4</v>
      </c>
      <c r="AX24" s="287">
        <f t="shared" si="22"/>
        <v>32.4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4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5</v>
      </c>
      <c r="AX25" s="287">
        <f t="shared" si="22"/>
        <v>32.5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6</v>
      </c>
      <c r="AX26" s="287">
        <f t="shared" si="22"/>
        <v>32.6</v>
      </c>
      <c r="AY26" s="234">
        <f t="shared" si="23"/>
        <v>37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7</v>
      </c>
      <c r="AX28" s="287">
        <f t="shared" si="22"/>
        <v>32.700000000000003</v>
      </c>
      <c r="AY28" s="234">
        <f t="shared" si="23"/>
        <v>38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9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4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8</v>
      </c>
      <c r="AX32" s="287">
        <f t="shared" si="22"/>
        <v>32.799999999999997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4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4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4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4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9</v>
      </c>
      <c r="AX37" s="287">
        <f t="shared" si="22"/>
        <v>32.9</v>
      </c>
      <c r="AY37" s="234">
        <f t="shared" si="23"/>
        <v>40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4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10</v>
      </c>
      <c r="AX39" s="287">
        <f t="shared" si="22"/>
        <v>33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11</v>
      </c>
      <c r="AX40" s="287">
        <f t="shared" si="22"/>
        <v>33.1</v>
      </c>
      <c r="AY40" s="234">
        <f t="shared" si="23"/>
        <v>42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4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12</v>
      </c>
      <c r="AX43" s="287">
        <f t="shared" si="22"/>
        <v>33.200000000000003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20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D</v>
      </c>
      <c r="F44" s="306"/>
      <c r="G44" s="307">
        <f t="shared" ca="1" si="1"/>
        <v>26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22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30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31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38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34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23</v>
      </c>
      <c r="AK50" s="236" t="str">
        <f t="shared" ca="1" si="20"/>
        <v>BBB+</v>
      </c>
      <c r="AL50" s="236">
        <f t="shared" ca="1" si="20"/>
        <v>19</v>
      </c>
      <c r="AM50" s="236" t="str">
        <f t="shared" ca="1" si="4"/>
        <v>Change</v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>
        <f t="shared" ca="1" si="3"/>
        <v>1</v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BB+</v>
      </c>
      <c r="AL53" s="236">
        <f t="shared" ca="1" si="20"/>
        <v>16</v>
      </c>
      <c r="AM53" s="236" t="str">
        <f t="shared" ca="1" si="4"/>
        <v>Change</v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4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4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-- 2016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Reg_Percent_2015</v>
      </c>
      <c r="G2" s="239" t="s">
        <v>538</v>
      </c>
      <c r="AJ2" s="240" t="str">
        <f>AJ4 &amp; AJ3</f>
        <v>'Credit_2015Q4'!d:d</v>
      </c>
      <c r="AK2" s="240" t="str">
        <f>AK4 &amp; AK3</f>
        <v>'Credit_2015Q4'!b1</v>
      </c>
      <c r="AL2" s="240" t="str">
        <f>AL4 &amp; AL3</f>
        <v>'Credit_2015Q4'!c1</v>
      </c>
      <c r="AQ2" s="236"/>
    </row>
    <row r="3" spans="1:61" ht="19" hidden="1" outlineLevel="1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'Credit_2015Q4'!</v>
      </c>
      <c r="AK4" s="236" t="str">
        <f t="shared" ref="AK4:AL4" si="0">$AQ$5</f>
        <v>'Credit_2015Q4'!</v>
      </c>
      <c r="AL4" s="236" t="str">
        <f t="shared" si="0"/>
        <v>'Credit_2015Q4'!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(50)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(12)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532</v>
      </c>
    </row>
    <row r="6" spans="1:61" ht="28.5" customHeight="1">
      <c r="A6" s="299" t="s">
        <v>0</v>
      </c>
      <c r="B6" s="300" t="s">
        <v>533</v>
      </c>
      <c r="C6" s="338" t="s">
        <v>470</v>
      </c>
      <c r="D6" s="301"/>
      <c r="E6" s="302">
        <f ca="1">INDIRECT( E3 &amp; G1 )</f>
        <v>42369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23</v>
      </c>
      <c r="AK7" s="236" t="str">
        <f ca="1">IF( ISNA( $AJ7 ), "", OFFSET( INDIRECT( AK$2 ), $AJ7-1, 0 ) )</f>
        <v>BBB+</v>
      </c>
      <c r="AL7" s="236">
        <f ca="1">IF( ISNA( $AJ7 ), "", OFFSET( INDIRECT( AL$2 ), $AJ7-1, 0 ) )</f>
        <v>19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11</v>
      </c>
      <c r="P10" s="296">
        <f t="shared" ca="1" si="12"/>
        <v>0.30555555555555558</v>
      </c>
      <c r="Q10" s="318"/>
      <c r="R10" s="295">
        <f t="shared" ca="1" si="13"/>
        <v>6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0.26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1</v>
      </c>
      <c r="S11" s="296">
        <f t="shared" ca="1" si="14"/>
        <v>8.3333333333333329E-2</v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28</v>
      </c>
      <c r="AS11" s="286">
        <v>18</v>
      </c>
      <c r="AT11" s="286" t="s">
        <v>529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0.06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3</v>
      </c>
      <c r="AX12" s="287">
        <f t="shared" si="22"/>
        <v>32.299999999999997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0.04</v>
      </c>
      <c r="N13" s="319"/>
      <c r="O13" s="297">
        <f t="shared" ca="1" si="11"/>
        <v>1</v>
      </c>
      <c r="P13" s="298">
        <f t="shared" ca="1" si="12"/>
        <v>2.7777777777777776E-2</v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46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4</v>
      </c>
      <c r="AX14" s="287">
        <f t="shared" si="22"/>
        <v>32.4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18.88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18.944444444444443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18.916666666666668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17.5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3</v>
      </c>
      <c r="AX16" s="287">
        <f t="shared" si="22"/>
        <v>15.3</v>
      </c>
      <c r="AY16" s="234">
        <f t="shared" si="23"/>
        <v>17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10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4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>
        <f t="shared" ca="1" si="18"/>
        <v>1</v>
      </c>
      <c r="AJ25" s="236">
        <f t="shared" ca="1" si="19"/>
        <v>11</v>
      </c>
      <c r="AK25" s="236" t="str">
        <f t="shared" ca="1" si="20"/>
        <v>A-</v>
      </c>
      <c r="AL25" s="236">
        <f t="shared" ca="1" si="20"/>
        <v>20</v>
      </c>
      <c r="AM25" s="236" t="str">
        <f t="shared" ca="1" si="4"/>
        <v>Change</v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7</v>
      </c>
      <c r="AX26" s="287">
        <f t="shared" si="22"/>
        <v>32.700000000000003</v>
      </c>
      <c r="AY26" s="234">
        <f t="shared" si="23"/>
        <v>38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9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8</v>
      </c>
      <c r="AX28" s="287">
        <f t="shared" si="22"/>
        <v>32.799999999999997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45</v>
      </c>
      <c r="AW29" s="234">
        <f>COUNTIF( AV$7:AV29, AV29 )</f>
        <v>1</v>
      </c>
      <c r="AX29" s="287">
        <f t="shared" si="22"/>
        <v>45.1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45</v>
      </c>
      <c r="AW31" s="234">
        <f>COUNTIF( AV$7:AV31, AV31 )</f>
        <v>2</v>
      </c>
      <c r="AX31" s="287">
        <f t="shared" si="22"/>
        <v>45.2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4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4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48</v>
      </c>
      <c r="AW33" s="234">
        <f>COUNTIF( AV$7:AV33, AV33 )</f>
        <v>1</v>
      </c>
      <c r="AX33" s="287">
        <f t="shared" si="22"/>
        <v>48.1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4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4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4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4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4">
      <c r="A39" s="303" t="s">
        <v>531</v>
      </c>
      <c r="B39" s="304" t="s">
        <v>28</v>
      </c>
      <c r="C39" s="304">
        <v>18</v>
      </c>
      <c r="D39" s="304" t="s">
        <v>529</v>
      </c>
      <c r="E39" s="305" t="str">
        <f t="shared" ca="1" si="8"/>
        <v>MR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AVANGRID,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AGR</v>
      </c>
    </row>
    <row r="40" spans="1:61" ht="14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12</v>
      </c>
      <c r="AX40" s="287">
        <f t="shared" si="22"/>
        <v>33.200000000000003</v>
      </c>
      <c r="AY40" s="234">
        <f t="shared" si="23"/>
        <v>43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4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4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4">
      <c r="A43" s="303" t="s">
        <v>35</v>
      </c>
      <c r="B43" s="304" t="s">
        <v>28</v>
      </c>
      <c r="C43" s="304">
        <v>18</v>
      </c>
      <c r="D43" s="304" t="s">
        <v>292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Empire District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EDE</v>
      </c>
    </row>
    <row r="44" spans="1:61" ht="14">
      <c r="A44" s="303" t="s">
        <v>36</v>
      </c>
      <c r="B44" s="304" t="s">
        <v>28</v>
      </c>
      <c r="C44" s="304">
        <v>18</v>
      </c>
      <c r="D44" s="304" t="s">
        <v>296</v>
      </c>
      <c r="E44" s="305" t="str">
        <f t="shared" ca="1" si="8"/>
        <v>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9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20</v>
      </c>
      <c r="BF44" s="240" t="str">
        <f t="shared" ca="1" si="25"/>
        <v>Entergy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ETR</v>
      </c>
    </row>
    <row r="45" spans="1:61" ht="14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45</v>
      </c>
      <c r="AW46" s="234">
        <f>COUNTIF( AV$7:AV46, AV46 )</f>
        <v>3</v>
      </c>
      <c r="AX46" s="287">
        <f t="shared" si="22"/>
        <v>45.3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38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34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4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4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61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4">
      <c r="A54" s="303" t="s">
        <v>58</v>
      </c>
      <c r="B54" s="304" t="s">
        <v>56</v>
      </c>
      <c r="C54" s="304">
        <v>16</v>
      </c>
      <c r="D54" s="304" t="s">
        <v>445</v>
      </c>
      <c r="E54" s="305" t="str">
        <f t="shared" ca="1" si="8"/>
        <v>R</v>
      </c>
      <c r="F54" s="306"/>
      <c r="G54" s="307">
        <f t="shared" ca="1" si="1"/>
        <v>59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27</v>
      </c>
      <c r="BF54" s="240" t="str">
        <f t="shared" ca="1" si="25"/>
        <v>IPALCO Enterprises, Inc.</v>
      </c>
      <c r="BG54" s="240" t="str">
        <f t="shared" ca="1" si="25"/>
        <v>BB+</v>
      </c>
      <c r="BH54" s="240">
        <f t="shared" ca="1" si="25"/>
        <v>16</v>
      </c>
      <c r="BI54" s="240" t="str">
        <f t="shared" ca="1" si="25"/>
        <v>**IPALCO</v>
      </c>
    </row>
    <row r="55" spans="1:61" ht="14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-- 2015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Reg_Percent_2014</v>
      </c>
      <c r="G2" s="239" t="s">
        <v>525</v>
      </c>
      <c r="AJ2" s="240" t="str">
        <f>AJ4 &amp; AJ3</f>
        <v>'Credit_2015Q3'!d:d</v>
      </c>
      <c r="AK2" s="240" t="str">
        <f>AK4 &amp; AK3</f>
        <v>'Credit_2015Q3'!b1</v>
      </c>
      <c r="AL2" s="240" t="str">
        <f>AL4 &amp; AL3</f>
        <v>'Credit_2015Q3'!c1</v>
      </c>
      <c r="AQ2" s="236"/>
    </row>
    <row r="3" spans="1:61" ht="19" hidden="1" outlineLevel="1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'Credit_2015Q3'!</v>
      </c>
      <c r="AK4" s="236" t="str">
        <f t="shared" ref="AK4:AL4" si="0">$AQ$5</f>
        <v>'Credit_2015Q3'!</v>
      </c>
      <c r="AL4" s="236" t="str">
        <f t="shared" si="0"/>
        <v>'Credit_2015Q3'!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(51)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527</v>
      </c>
    </row>
    <row r="6" spans="1:61" ht="28.5" customHeight="1">
      <c r="A6" s="299" t="s">
        <v>0</v>
      </c>
      <c r="B6" s="300" t="s">
        <v>518</v>
      </c>
      <c r="C6" s="338" t="s">
        <v>470</v>
      </c>
      <c r="D6" s="301"/>
      <c r="E6" s="302">
        <f ca="1">INDIRECT( E3 &amp; G1 )</f>
        <v>42004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3.9215686274509803E-2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0.25490196078431371</v>
      </c>
      <c r="N9" s="318"/>
      <c r="O9" s="295">
        <f t="shared" ca="1" si="11"/>
        <v>8</v>
      </c>
      <c r="P9" s="296">
        <f t="shared" ca="1" si="12"/>
        <v>0.22222222222222221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9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0.35294117647058826</v>
      </c>
      <c r="N10" s="318"/>
      <c r="O10" s="295">
        <f t="shared" ca="1" si="11"/>
        <v>12</v>
      </c>
      <c r="P10" s="296">
        <f t="shared" ca="1" si="12"/>
        <v>0.33333333333333331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33</v>
      </c>
      <c r="AW10" s="234">
        <f>COUNTIF( AV$7:AV10, AV10 )</f>
        <v>1</v>
      </c>
      <c r="AX10" s="287">
        <f t="shared" si="22"/>
        <v>33.1</v>
      </c>
      <c r="AY10" s="234">
        <f t="shared" si="23"/>
        <v>33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0.25490196078431371</v>
      </c>
      <c r="N11" s="318"/>
      <c r="O11" s="295">
        <f t="shared" ca="1" si="11"/>
        <v>12</v>
      </c>
      <c r="P11" s="296">
        <f t="shared" ca="1" si="12"/>
        <v>0.33333333333333331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530</v>
      </c>
      <c r="AR11" s="286" t="s">
        <v>28</v>
      </c>
      <c r="AS11" s="286">
        <v>18</v>
      </c>
      <c r="AT11" s="286" t="s">
        <v>529</v>
      </c>
      <c r="AV11" s="234">
        <f t="shared" si="21"/>
        <v>33</v>
      </c>
      <c r="AW11" s="234">
        <f>COUNTIF( AV$7:AV11, AV11 )</f>
        <v>2</v>
      </c>
      <c r="AX11" s="287">
        <f t="shared" si="22"/>
        <v>33.200000000000003</v>
      </c>
      <c r="AY11" s="234">
        <f t="shared" si="23"/>
        <v>34</v>
      </c>
      <c r="AZ11" s="236"/>
      <c r="BA11" s="236"/>
      <c r="BC11" s="234">
        <f t="shared" ca="1" si="24"/>
        <v>5</v>
      </c>
      <c r="BD11" s="288">
        <f t="shared" ca="1" si="6"/>
        <v>13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5.8823529411764705E-2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3</v>
      </c>
      <c r="AX12" s="287">
        <f t="shared" si="22"/>
        <v>33.299999999999997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3.9215686274509803E-2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16</v>
      </c>
      <c r="AS13" s="286">
        <v>19</v>
      </c>
      <c r="AT13" s="286" t="s">
        <v>446</v>
      </c>
      <c r="AV13" s="234">
        <f t="shared" si="21"/>
        <v>15</v>
      </c>
      <c r="AW13" s="234">
        <f>COUNTIF( AV$7:AV13, AV13 )</f>
        <v>3</v>
      </c>
      <c r="AX13" s="287">
        <f t="shared" si="22"/>
        <v>15.3</v>
      </c>
      <c r="AY13" s="234">
        <f t="shared" si="23"/>
        <v>17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51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18.843137254901961</v>
      </c>
      <c r="Z14" s="261"/>
      <c r="AA14" s="442">
        <f ca="1">SUM(AA8:AA13)</f>
        <v>51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4</v>
      </c>
      <c r="AX14" s="287">
        <f t="shared" si="22"/>
        <v>33.4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2</v>
      </c>
      <c r="AW15" s="234">
        <f>COUNTIF( AV$7:AV15, AV15 )</f>
        <v>2</v>
      </c>
      <c r="AX15" s="287">
        <f t="shared" si="22"/>
        <v>2.2000000000000002</v>
      </c>
      <c r="AY15" s="234">
        <f t="shared" si="23"/>
        <v>3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18.862745098039216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18.694444444444443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19.46153846153846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18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4</v>
      </c>
      <c r="AX16" s="287">
        <f t="shared" si="22"/>
        <v>15.4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47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10</v>
      </c>
      <c r="AS19" s="286">
        <v>20</v>
      </c>
      <c r="AT19" s="286" t="s">
        <v>86</v>
      </c>
      <c r="AV19" s="234">
        <f t="shared" si="21"/>
        <v>2</v>
      </c>
      <c r="AW19" s="234">
        <f>COUNTIF( AV$7:AV19, AV19 )</f>
        <v>4</v>
      </c>
      <c r="AX19" s="287">
        <f t="shared" si="22"/>
        <v>2.4</v>
      </c>
      <c r="AY19" s="234">
        <f t="shared" si="23"/>
        <v>5</v>
      </c>
      <c r="AZ19" s="236"/>
      <c r="BA19" s="236"/>
      <c r="BC19" s="234">
        <f t="shared" ca="1" si="24"/>
        <v>13</v>
      </c>
      <c r="BD19" s="288">
        <f t="shared" ca="1" si="6"/>
        <v>49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50</v>
      </c>
      <c r="AW20" s="234">
        <f>COUNTIF( AV$7:AV20, AV20 )</f>
        <v>1</v>
      </c>
      <c r="AX20" s="287">
        <f t="shared" si="22"/>
        <v>50.1</v>
      </c>
      <c r="AY20" s="234">
        <f t="shared" si="23"/>
        <v>50</v>
      </c>
      <c r="AZ20" s="236"/>
      <c r="BA20" s="236"/>
      <c r="BC20" s="234">
        <f t="shared" ca="1" si="24"/>
        <v>14</v>
      </c>
      <c r="BD20" s="288">
        <f t="shared" ca="1" si="6"/>
        <v>50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5</v>
      </c>
      <c r="AX22" s="287">
        <f t="shared" si="22"/>
        <v>2.5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7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4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5</v>
      </c>
      <c r="AX24" s="287">
        <f t="shared" si="22"/>
        <v>33.5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33</v>
      </c>
      <c r="AW25" s="234">
        <f>COUNTIF( AV$7:AV25, AV25 )</f>
        <v>6</v>
      </c>
      <c r="AX25" s="287">
        <f t="shared" si="22"/>
        <v>33.6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33</v>
      </c>
      <c r="AW26" s="234">
        <f>COUNTIF( AV$7:AV26, AV26 )</f>
        <v>7</v>
      </c>
      <c r="AX26" s="287">
        <f t="shared" si="22"/>
        <v>33.700000000000003</v>
      </c>
      <c r="AY26" s="234">
        <f t="shared" si="23"/>
        <v>39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8</v>
      </c>
      <c r="AX28" s="287">
        <f t="shared" si="22"/>
        <v>33.799999999999997</v>
      </c>
      <c r="AY28" s="234">
        <f t="shared" si="23"/>
        <v>40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46</v>
      </c>
      <c r="AW29" s="234">
        <f>COUNTIF( AV$7:AV29, AV29 )</f>
        <v>1</v>
      </c>
      <c r="AX29" s="287">
        <f t="shared" si="22"/>
        <v>46.1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46</v>
      </c>
      <c r="AW31" s="234">
        <f>COUNTIF( AV$7:AV31, AV31 )</f>
        <v>2</v>
      </c>
      <c r="AX31" s="287">
        <f t="shared" si="22"/>
        <v>46.2</v>
      </c>
      <c r="AY31" s="234">
        <f t="shared" si="23"/>
        <v>47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4">
      <c r="A32" s="303" t="s">
        <v>42</v>
      </c>
      <c r="B32" s="304" t="s">
        <v>16</v>
      </c>
      <c r="C32" s="304">
        <v>19</v>
      </c>
      <c r="D32" s="304" t="s">
        <v>320</v>
      </c>
      <c r="E32" s="305" t="str">
        <f t="shared" ca="1" si="8"/>
        <v>R</v>
      </c>
      <c r="F32" s="306"/>
      <c r="G32" s="307">
        <f t="shared" ca="1" si="1"/>
        <v>41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>
        <f t="shared" ca="1" si="3"/>
        <v>1</v>
      </c>
      <c r="AH32" s="236" t="str">
        <f t="shared" ca="1" si="18"/>
        <v/>
      </c>
      <c r="AJ32" s="236">
        <f t="shared" ca="1" si="19"/>
        <v>50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4"/>
        <v>Change</v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33</v>
      </c>
      <c r="AW32" s="234">
        <f>COUNTIF( AV$7:AV32, AV32 )</f>
        <v>9</v>
      </c>
      <c r="AX32" s="287">
        <f t="shared" si="22"/>
        <v>33.9</v>
      </c>
      <c r="AY32" s="234">
        <f t="shared" si="23"/>
        <v>41</v>
      </c>
      <c r="AZ32" s="236"/>
      <c r="BA32" s="236"/>
      <c r="BC32" s="234">
        <f t="shared" ca="1" si="24"/>
        <v>26</v>
      </c>
      <c r="BD32" s="288">
        <f t="shared" ca="1" si="6"/>
        <v>37</v>
      </c>
      <c r="BF32" s="240" t="str">
        <f t="shared" ca="1" si="7"/>
        <v>PNM Resources,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PNM</v>
      </c>
    </row>
    <row r="33" spans="1:61" ht="14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49</v>
      </c>
      <c r="AW33" s="234">
        <f>COUNTIF( AV$7:AV33, AV33 )</f>
        <v>1</v>
      </c>
      <c r="AX33" s="287">
        <f t="shared" si="22"/>
        <v>49.1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6"/>
        <v>40</v>
      </c>
      <c r="BF33" s="240" t="str">
        <f t="shared" ca="1" si="7"/>
        <v>Public Service Enterprise Group Incorporated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PEG</v>
      </c>
    </row>
    <row r="34" spans="1:61" ht="14">
      <c r="A34" s="303" t="s">
        <v>13</v>
      </c>
      <c r="B34" s="304" t="s">
        <v>16</v>
      </c>
      <c r="C34" s="304">
        <v>19</v>
      </c>
      <c r="D34" s="304" t="s">
        <v>326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9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SCANA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SCG</v>
      </c>
    </row>
    <row r="35" spans="1:61" ht="14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43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4">
      <c r="A36" s="303" t="s">
        <v>62</v>
      </c>
      <c r="B36" s="304" t="s">
        <v>16</v>
      </c>
      <c r="C36" s="304">
        <v>19</v>
      </c>
      <c r="D36" s="304" t="s">
        <v>329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TECO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TE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50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33</v>
      </c>
      <c r="AW37" s="234">
        <f>COUNTIF( AV$7:AV37, AV37 )</f>
        <v>10</v>
      </c>
      <c r="AX37" s="287">
        <f t="shared" si="22"/>
        <v>34</v>
      </c>
      <c r="AY37" s="234">
        <f t="shared" si="23"/>
        <v>42</v>
      </c>
      <c r="AZ37" s="236"/>
      <c r="BA37" s="236"/>
      <c r="BC37" s="234">
        <f t="shared" ca="1" si="24"/>
        <v>31</v>
      </c>
      <c r="BD37" s="288">
        <f t="shared" ca="1" si="6"/>
        <v>46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*UTL</v>
      </c>
    </row>
    <row r="38" spans="1:61" ht="14">
      <c r="A38" s="303" t="s">
        <v>59</v>
      </c>
      <c r="B38" s="304" t="s">
        <v>16</v>
      </c>
      <c r="C38" s="304">
        <v>19</v>
      </c>
      <c r="D38" s="304" t="s">
        <v>336</v>
      </c>
      <c r="E38" s="305" t="str">
        <f t="shared" ca="1" si="8"/>
        <v>R</v>
      </c>
      <c r="F38" s="306"/>
      <c r="G38" s="307">
        <f t="shared" ca="1" si="1"/>
        <v>52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48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4">
      <c r="A39" s="303" t="s">
        <v>258</v>
      </c>
      <c r="B39" s="304" t="s">
        <v>28</v>
      </c>
      <c r="C39" s="304">
        <v>18</v>
      </c>
      <c r="D39" s="304" t="s">
        <v>274</v>
      </c>
      <c r="E39" s="305" t="str">
        <f t="shared" ca="1" si="8"/>
        <v>R</v>
      </c>
      <c r="F39" s="306"/>
      <c r="G39" s="307">
        <f t="shared" ca="1" si="1"/>
        <v>10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33</v>
      </c>
      <c r="AW39" s="234">
        <f>COUNTIF( AV$7:AV39, AV39 )</f>
        <v>11</v>
      </c>
      <c r="AX39" s="287">
        <f t="shared" si="22"/>
        <v>34.1</v>
      </c>
      <c r="AY39" s="234">
        <f t="shared" si="23"/>
        <v>43</v>
      </c>
      <c r="AZ39" s="236"/>
      <c r="BA39" s="236"/>
      <c r="BC39" s="234">
        <f t="shared" ca="1" si="24"/>
        <v>33</v>
      </c>
      <c r="BD39" s="288">
        <f t="shared" ca="1" si="6"/>
        <v>4</v>
      </c>
      <c r="BF39" s="240" t="str">
        <f t="shared" ref="BF39:BI63" ca="1" si="25">OFFSET( AQ$6, $BD39, 0 )</f>
        <v>American Electric Power Company,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AEP</v>
      </c>
    </row>
    <row r="40" spans="1:61" ht="14">
      <c r="A40" s="303" t="s">
        <v>530</v>
      </c>
      <c r="B40" s="304" t="s">
        <v>28</v>
      </c>
      <c r="C40" s="304">
        <v>18</v>
      </c>
      <c r="D40" s="304" t="s">
        <v>529</v>
      </c>
      <c r="E40" s="305" t="str">
        <f t="shared" ca="1" si="8"/>
        <v>R</v>
      </c>
      <c r="F40" s="306"/>
      <c r="G40" s="307">
        <f t="shared" ca="1" si="1"/>
        <v>56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45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5</v>
      </c>
      <c r="BF40" s="240" t="str">
        <f t="shared" ca="1" si="25"/>
        <v xml:space="preserve">AVANGRID, Inc. 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AGR</v>
      </c>
    </row>
    <row r="41" spans="1:61" ht="14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33</v>
      </c>
      <c r="AW41" s="234">
        <f>COUNTIF( AV$7:AV41, AV41 )</f>
        <v>12</v>
      </c>
      <c r="AX41" s="287">
        <f t="shared" si="22"/>
        <v>34.200000000000003</v>
      </c>
      <c r="AY41" s="234">
        <f t="shared" si="23"/>
        <v>44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4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9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4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16</v>
      </c>
      <c r="AS43" s="286">
        <v>19</v>
      </c>
      <c r="AT43" s="286" t="s">
        <v>320</v>
      </c>
      <c r="AV43" s="234">
        <f t="shared" si="21"/>
        <v>15</v>
      </c>
      <c r="AW43" s="234">
        <f>COUNTIF( AV$7:AV43, AV43 )</f>
        <v>12</v>
      </c>
      <c r="AX43" s="287">
        <f t="shared" si="22"/>
        <v>16.2</v>
      </c>
      <c r="AY43" s="234">
        <f t="shared" si="23"/>
        <v>26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4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22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33</v>
      </c>
      <c r="AW44" s="234">
        <f>COUNTIF( AV$7:AV44, AV44 )</f>
        <v>13</v>
      </c>
      <c r="AX44" s="287">
        <f t="shared" si="22"/>
        <v>34.299999999999997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4">
      <c r="A45" s="303" t="s">
        <v>36</v>
      </c>
      <c r="B45" s="304" t="s">
        <v>28</v>
      </c>
      <c r="C45" s="304">
        <v>18</v>
      </c>
      <c r="D45" s="304" t="s">
        <v>296</v>
      </c>
      <c r="E45" s="305" t="str">
        <f t="shared" ca="1" si="8"/>
        <v>R</v>
      </c>
      <c r="F45" s="306"/>
      <c r="G45" s="307">
        <f t="shared" ca="1" si="1"/>
        <v>23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20</v>
      </c>
      <c r="BF45" s="240" t="str">
        <f t="shared" ca="1" si="25"/>
        <v>Entergy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ETR</v>
      </c>
    </row>
    <row r="46" spans="1:61" ht="14">
      <c r="A46" s="303" t="s">
        <v>11</v>
      </c>
      <c r="B46" s="304" t="s">
        <v>28</v>
      </c>
      <c r="C46" s="304">
        <v>18</v>
      </c>
      <c r="D46" s="304" t="s">
        <v>297</v>
      </c>
      <c r="E46" s="305" t="str">
        <f t="shared" ca="1" si="8"/>
        <v>MR</v>
      </c>
      <c r="F46" s="306"/>
      <c r="G46" s="307">
        <f t="shared" ca="1" si="1"/>
        <v>24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13</v>
      </c>
      <c r="AX46" s="287">
        <f t="shared" si="22"/>
        <v>16.3</v>
      </c>
      <c r="AY46" s="234">
        <f t="shared" si="23"/>
        <v>27</v>
      </c>
      <c r="AZ46" s="236"/>
      <c r="BA46" s="236"/>
      <c r="BC46" s="234">
        <f t="shared" ca="1" si="24"/>
        <v>40</v>
      </c>
      <c r="BD46" s="288">
        <f t="shared" ca="1" si="6"/>
        <v>22</v>
      </c>
      <c r="BF46" s="240" t="str">
        <f t="shared" ca="1" si="25"/>
        <v>Exelon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EXC</v>
      </c>
    </row>
    <row r="47" spans="1:61" ht="14">
      <c r="A47" s="303" t="s">
        <v>20</v>
      </c>
      <c r="B47" s="304" t="s">
        <v>28</v>
      </c>
      <c r="C47" s="304">
        <v>18</v>
      </c>
      <c r="D47" s="304" t="s">
        <v>302</v>
      </c>
      <c r="E47" s="305" t="str">
        <f t="shared" ca="1" si="8"/>
        <v>R</v>
      </c>
      <c r="F47" s="306"/>
      <c r="G47" s="307">
        <f t="shared" ca="1" si="1"/>
        <v>28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46</v>
      </c>
      <c r="AW47" s="234">
        <f>COUNTIF( AV$7:AV47, AV47 )</f>
        <v>3</v>
      </c>
      <c r="AX47" s="287">
        <f t="shared" si="22"/>
        <v>46.3</v>
      </c>
      <c r="AY47" s="234">
        <f t="shared" si="23"/>
        <v>48</v>
      </c>
      <c r="AZ47" s="236"/>
      <c r="BA47" s="236"/>
      <c r="BC47" s="234">
        <f t="shared" ca="1" si="24"/>
        <v>41</v>
      </c>
      <c r="BD47" s="288">
        <f t="shared" ca="1" si="6"/>
        <v>26</v>
      </c>
      <c r="BF47" s="240" t="str">
        <f t="shared" ca="1" si="25"/>
        <v>IDACORP, Inc.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IDA</v>
      </c>
    </row>
    <row r="48" spans="1:61" ht="14">
      <c r="A48" s="303" t="s">
        <v>66</v>
      </c>
      <c r="B48" s="304" t="s">
        <v>28</v>
      </c>
      <c r="C48" s="304">
        <v>18</v>
      </c>
      <c r="D48" s="304" t="s">
        <v>314</v>
      </c>
      <c r="E48" s="305" t="str">
        <f t="shared" ca="1" si="8"/>
        <v>R</v>
      </c>
      <c r="F48" s="306"/>
      <c r="G48" s="307">
        <f t="shared" ca="1" si="1"/>
        <v>35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31</v>
      </c>
      <c r="BF48" s="240" t="str">
        <f t="shared" ca="1" si="25"/>
        <v>NorthWestern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NWE</v>
      </c>
    </row>
    <row r="49" spans="1:61" ht="14">
      <c r="A49" s="303" t="s">
        <v>22</v>
      </c>
      <c r="B49" s="304" t="s">
        <v>28</v>
      </c>
      <c r="C49" s="304">
        <v>18</v>
      </c>
      <c r="D49" s="304" t="s">
        <v>316</v>
      </c>
      <c r="E49" s="305" t="str">
        <f t="shared" ca="1" si="8"/>
        <v>R</v>
      </c>
      <c r="F49" s="306"/>
      <c r="G49" s="307">
        <f t="shared" ca="1" si="1"/>
        <v>37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15</v>
      </c>
      <c r="AX49" s="287">
        <f t="shared" si="22"/>
        <v>16.5</v>
      </c>
      <c r="AY49" s="234">
        <f t="shared" si="23"/>
        <v>29</v>
      </c>
      <c r="AZ49" s="236"/>
      <c r="BA49" s="236"/>
      <c r="BC49" s="234">
        <f t="shared" ca="1" si="24"/>
        <v>43</v>
      </c>
      <c r="BD49" s="288">
        <f t="shared" ca="1" si="6"/>
        <v>33</v>
      </c>
      <c r="BF49" s="240" t="str">
        <f t="shared" ca="1" si="25"/>
        <v>Otter Tail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OTTR</v>
      </c>
    </row>
    <row r="50" spans="1:61" ht="14">
      <c r="A50" s="303" t="s">
        <v>53</v>
      </c>
      <c r="B50" s="304" t="s">
        <v>28</v>
      </c>
      <c r="C50" s="304">
        <v>18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39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35</v>
      </c>
      <c r="BF50" s="240" t="str">
        <f t="shared" ca="1" si="25"/>
        <v>PG&amp;E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PCG</v>
      </c>
    </row>
    <row r="51" spans="1:61" ht="14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76</v>
      </c>
      <c r="AR52" s="286" t="s">
        <v>16</v>
      </c>
      <c r="AS52" s="286">
        <v>19</v>
      </c>
      <c r="AT52" s="286" t="s">
        <v>447</v>
      </c>
      <c r="AV52" s="234">
        <f t="shared" si="21"/>
        <v>15</v>
      </c>
      <c r="AW52" s="234">
        <f>COUNTIF( AV$7:AV52, AV52 )</f>
        <v>17</v>
      </c>
      <c r="AX52" s="287">
        <f t="shared" si="22"/>
        <v>16.7</v>
      </c>
      <c r="AY52" s="234">
        <f t="shared" si="23"/>
        <v>31</v>
      </c>
      <c r="AZ52" s="236"/>
      <c r="BA52" s="236"/>
      <c r="BC52" s="234">
        <f t="shared" ca="1" si="24"/>
        <v>46</v>
      </c>
      <c r="BD52" s="288">
        <f t="shared" ca="1" si="6"/>
        <v>23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14</v>
      </c>
      <c r="AR53" s="286" t="s">
        <v>10</v>
      </c>
      <c r="AS53" s="286">
        <v>20</v>
      </c>
      <c r="AT53" s="286" t="s">
        <v>334</v>
      </c>
      <c r="AV53" s="234">
        <f t="shared" si="21"/>
        <v>2</v>
      </c>
      <c r="AW53" s="234">
        <f>COUNTIF( AV$7:AV53, AV53 )</f>
        <v>11</v>
      </c>
      <c r="AX53" s="287">
        <f t="shared" si="22"/>
        <v>3.1</v>
      </c>
      <c r="AY53" s="234">
        <f t="shared" si="23"/>
        <v>12</v>
      </c>
      <c r="AZ53" s="236"/>
      <c r="BA53" s="236"/>
      <c r="BC53" s="234">
        <f t="shared" ca="1" si="24"/>
        <v>47</v>
      </c>
      <c r="BD53" s="288">
        <f t="shared" ca="1" si="6"/>
        <v>25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59</v>
      </c>
      <c r="AR54" s="286" t="s">
        <v>16</v>
      </c>
      <c r="AS54" s="286">
        <v>19</v>
      </c>
      <c r="AT54" s="286" t="s">
        <v>336</v>
      </c>
      <c r="AV54" s="234">
        <f t="shared" si="21"/>
        <v>15</v>
      </c>
      <c r="AW54" s="234">
        <f>COUNTIF( AV$7:AV54, AV54 )</f>
        <v>18</v>
      </c>
      <c r="AX54" s="287">
        <f t="shared" si="22"/>
        <v>16.8</v>
      </c>
      <c r="AY54" s="234">
        <f t="shared" si="23"/>
        <v>32</v>
      </c>
      <c r="AZ54" s="236"/>
      <c r="BA54" s="236"/>
      <c r="BC54" s="234">
        <f t="shared" ca="1" si="24"/>
        <v>48</v>
      </c>
      <c r="BD54" s="288">
        <f t="shared" ca="1" si="6"/>
        <v>41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4">
      <c r="A55" s="303" t="s">
        <v>58</v>
      </c>
      <c r="B55" s="304" t="s">
        <v>56</v>
      </c>
      <c r="C55" s="304">
        <v>16</v>
      </c>
      <c r="D55" s="304" t="s">
        <v>445</v>
      </c>
      <c r="E55" s="305" t="str">
        <f t="shared" ca="1" si="8"/>
        <v>R</v>
      </c>
      <c r="F55" s="306"/>
      <c r="G55" s="307">
        <f t="shared" ca="1" si="1"/>
        <v>59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4"/>
        <v/>
      </c>
      <c r="AQ55" s="286" t="s">
        <v>26</v>
      </c>
      <c r="AR55" s="286" t="s">
        <v>10</v>
      </c>
      <c r="AS55" s="286">
        <v>20</v>
      </c>
      <c r="AT55" s="286" t="s">
        <v>335</v>
      </c>
      <c r="AV55" s="234">
        <f t="shared" si="21"/>
        <v>2</v>
      </c>
      <c r="AW55" s="234">
        <f>COUNTIF( AV$7:AV55, AV55 )</f>
        <v>12</v>
      </c>
      <c r="AX55" s="287">
        <f t="shared" si="22"/>
        <v>3.2</v>
      </c>
      <c r="AY55" s="234">
        <f t="shared" si="23"/>
        <v>13</v>
      </c>
      <c r="AZ55" s="236"/>
      <c r="BA55" s="236"/>
      <c r="BC55" s="234">
        <f t="shared" ca="1" si="24"/>
        <v>49</v>
      </c>
      <c r="BD55" s="288">
        <f t="shared" ca="1" si="6"/>
        <v>27</v>
      </c>
      <c r="BF55" s="240" t="str">
        <f t="shared" ca="1" si="25"/>
        <v>IPALCO Enterprises, Inc.</v>
      </c>
      <c r="BG55" s="240" t="str">
        <f t="shared" ca="1" si="25"/>
        <v>BB+</v>
      </c>
      <c r="BH55" s="240">
        <f t="shared" ca="1" si="25"/>
        <v>16</v>
      </c>
      <c r="BI55" s="240" t="str">
        <f t="shared" ca="1" si="25"/>
        <v>**IPALCO</v>
      </c>
    </row>
    <row r="56" spans="1:61" ht="14">
      <c r="A56" s="303" t="s">
        <v>64</v>
      </c>
      <c r="B56" s="304" t="s">
        <v>61</v>
      </c>
      <c r="C56" s="304">
        <v>15</v>
      </c>
      <c r="D56" s="304" t="s">
        <v>442</v>
      </c>
      <c r="E56" s="305" t="str">
        <f t="shared" ca="1" si="8"/>
        <v>R</v>
      </c>
      <c r="F56" s="306"/>
      <c r="G56" s="307">
        <f t="shared" ca="1" si="1"/>
        <v>57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</v>
      </c>
      <c r="AL56" s="236">
        <f t="shared" ca="1" si="20"/>
        <v>15</v>
      </c>
      <c r="AM56" s="236" t="str">
        <f t="shared" ca="1" si="4"/>
        <v/>
      </c>
      <c r="AQ56" s="286" t="s">
        <v>257</v>
      </c>
      <c r="AR56" s="286" t="s">
        <v>10</v>
      </c>
      <c r="AS56" s="286">
        <v>20</v>
      </c>
      <c r="AT56" s="286" t="s">
        <v>337</v>
      </c>
      <c r="AV56" s="234">
        <f t="shared" si="21"/>
        <v>2</v>
      </c>
      <c r="AW56" s="234">
        <f>COUNTIF( AV$7:AV56, AV56 )</f>
        <v>13</v>
      </c>
      <c r="AX56" s="287">
        <f t="shared" si="22"/>
        <v>3.3</v>
      </c>
      <c r="AY56" s="234">
        <f t="shared" si="23"/>
        <v>14</v>
      </c>
      <c r="AZ56" s="236"/>
      <c r="BA56" s="236"/>
      <c r="BC56" s="234">
        <f t="shared" ca="1" si="24"/>
        <v>50</v>
      </c>
      <c r="BD56" s="288">
        <f t="shared" ca="1" si="6"/>
        <v>14</v>
      </c>
      <c r="BF56" s="240" t="str">
        <f t="shared" ca="1" si="25"/>
        <v>DPL Inc.</v>
      </c>
      <c r="BG56" s="240" t="str">
        <f t="shared" ca="1" si="25"/>
        <v>BB</v>
      </c>
      <c r="BH56" s="240">
        <f t="shared" ca="1" si="25"/>
        <v>15</v>
      </c>
      <c r="BI56" s="240" t="str">
        <f t="shared" ca="1" si="25"/>
        <v>**DPL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1</v>
      </c>
      <c r="AX57" s="287">
        <f t="shared" si="22"/>
        <v>99.1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2</v>
      </c>
      <c r="AX58" s="287">
        <f t="shared" si="22"/>
        <v>99.2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3</v>
      </c>
      <c r="AX59" s="287">
        <f t="shared" si="22"/>
        <v>99.3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4</v>
      </c>
      <c r="AX60" s="287">
        <f t="shared" si="22"/>
        <v>99.4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5</v>
      </c>
      <c r="AX61" s="287">
        <f t="shared" si="22"/>
        <v>99.5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6</v>
      </c>
      <c r="AX62" s="287">
        <f t="shared" si="22"/>
        <v>99.6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7</v>
      </c>
      <c r="AX63" s="287">
        <f t="shared" si="22"/>
        <v>99.7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18.862745098039216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18.843137254901961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-- 2015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Reg_Percent_2014</v>
      </c>
      <c r="G2" s="239" t="s">
        <v>525</v>
      </c>
      <c r="AJ2" s="240" t="str">
        <f>AJ4 &amp; AJ3</f>
        <v>'Credit_2015Q2'!d:d</v>
      </c>
      <c r="AK2" s="240" t="str">
        <f>AK4 &amp; AK3</f>
        <v>'Credit_2015Q2'!b1</v>
      </c>
      <c r="AL2" s="240" t="str">
        <f>AL4 &amp; AL3</f>
        <v>'Credit_2015Q2'!c1</v>
      </c>
      <c r="AQ2" s="236"/>
    </row>
    <row r="3" spans="1:61" ht="19" hidden="1" outlineLevel="1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'Credit_2015Q2'!</v>
      </c>
      <c r="AK4" s="236" t="str">
        <f t="shared" ref="AK4:AL4" si="0">$AQ$5</f>
        <v>'Credit_2015Q2'!</v>
      </c>
      <c r="AL4" s="236" t="str">
        <f t="shared" si="0"/>
        <v>'Credit_2015Q2'!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(52)</v>
      </c>
      <c r="M5" s="506"/>
      <c r="N5" s="314"/>
      <c r="O5" s="504" t="str">
        <f ca="1">"Regulated" &amp; CHAR( 10 ) &amp; "(" &amp; O14 &amp; ")"</f>
        <v>Regulated
(37)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519</v>
      </c>
    </row>
    <row r="6" spans="1:61" ht="28.5" customHeight="1">
      <c r="A6" s="299" t="s">
        <v>0</v>
      </c>
      <c r="B6" s="300" t="s">
        <v>517</v>
      </c>
      <c r="C6" s="338" t="s">
        <v>470</v>
      </c>
      <c r="D6" s="301"/>
      <c r="E6" s="302">
        <f ca="1">INDIRECT( E3 &amp; G1 )</f>
        <v>42004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3.8461538461538464E-2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2.7027027027027029E-2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</v>
      </c>
      <c r="N9" s="318"/>
      <c r="O9" s="295">
        <f t="shared" ca="1" si="11"/>
        <v>8</v>
      </c>
      <c r="P9" s="296">
        <f t="shared" ca="1" si="12"/>
        <v>0.21621621621621623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15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18.807692307692307</v>
      </c>
      <c r="Z14" s="261"/>
      <c r="AA14" s="441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18.826923076923077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18.648648648648649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19.46153846153846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18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>
        <f t="shared" ca="1" si="18"/>
        <v>1</v>
      </c>
      <c r="AJ17" s="236">
        <f t="shared" ca="1" si="19"/>
        <v>8</v>
      </c>
      <c r="AK17" s="236" t="str">
        <f t="shared" ca="1" si="20"/>
        <v>A</v>
      </c>
      <c r="AL17" s="236">
        <f t="shared" ca="1" si="20"/>
        <v>21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526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WEC Energy Group,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2</v>
      </c>
      <c r="AW21" s="234">
        <f>COUNTIF( AV$7:AV21, AV21 )</f>
        <v>5</v>
      </c>
      <c r="AX21" s="287">
        <f t="shared" si="22"/>
        <v>2.5</v>
      </c>
      <c r="AY21" s="234">
        <f t="shared" si="23"/>
        <v>6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4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4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4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4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4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4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4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9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4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451</v>
      </c>
      <c r="B45" s="304" t="s">
        <v>28</v>
      </c>
      <c r="C45" s="304">
        <v>18</v>
      </c>
      <c r="D45" s="443" t="s">
        <v>529</v>
      </c>
      <c r="E45" s="305" t="str">
        <f t="shared" ca="1" si="8"/>
        <v>R</v>
      </c>
      <c r="F45" s="306"/>
      <c r="G45" s="307">
        <f t="shared" ca="1" si="1"/>
        <v>56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460"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4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4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4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11</v>
      </c>
      <c r="AX54" s="287">
        <f t="shared" si="22"/>
        <v>3.1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61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59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526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12</v>
      </c>
      <c r="AX56" s="287">
        <f t="shared" si="22"/>
        <v>3.2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57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13</v>
      </c>
      <c r="AX57" s="287">
        <f t="shared" si="22"/>
        <v>3.3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18.826923076923077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18.807692307692307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-- 2015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'Credit_2015Q1'!d:d</v>
      </c>
      <c r="AK2" s="240" t="str">
        <f>AK4 &amp; AK3</f>
        <v>'Credit_2015Q1'!b1</v>
      </c>
      <c r="AL2" s="240" t="str">
        <f>AL4 &amp; AL3</f>
        <v>'Credit_2015Q1'!c1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'Credit_2015Q1'!</v>
      </c>
      <c r="AK4" s="236" t="str">
        <f t="shared" ref="AK4:AL4" si="0">$AQ$5</f>
        <v>'Credit_2015Q1'!</v>
      </c>
      <c r="AL4" s="236" t="str">
        <f t="shared" si="0"/>
        <v>'Credit_2015Q1'!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(52)</v>
      </c>
      <c r="M5" s="506"/>
      <c r="N5" s="314"/>
      <c r="O5" s="504" t="str">
        <f ca="1">"Regulated" &amp; CHAR( 10 ) &amp; "(" &amp; O14 &amp; ")"</f>
        <v>Regulated
(37)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516</v>
      </c>
    </row>
    <row r="6" spans="1:61" ht="28.5" customHeight="1">
      <c r="A6" s="299" t="s">
        <v>0</v>
      </c>
      <c r="B6" s="300" t="s">
        <v>514</v>
      </c>
      <c r="C6" s="338" t="s">
        <v>470</v>
      </c>
      <c r="D6" s="301"/>
      <c r="E6" s="302">
        <f ca="1">INDIRECT( E3 &amp; G1 )</f>
        <v>41639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12</v>
      </c>
      <c r="AK7" s="236" t="str">
        <f ca="1">IF( ISNA( $AJ7 ), "", OFFSET( INDIRECT( AK$2 ), $AJ7-1, 0 ) )</f>
        <v>A-</v>
      </c>
      <c r="AL7" s="236">
        <f ca="1">IF( ISNA( $AJ7 ), "", OFFSET( INDIRECT( AL$2 ), $AJ7-1, 0 ) )</f>
        <v>20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4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47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5.7692307692307696E-2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5.4054054054054057E-2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44</v>
      </c>
      <c r="BF8" s="240" t="str">
        <f t="shared" ca="1" si="7"/>
        <v>Southern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SO</v>
      </c>
    </row>
    <row r="9" spans="1:61" ht="14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0.23076923076923078</v>
      </c>
      <c r="N9" s="318"/>
      <c r="O9" s="295">
        <f t="shared" ca="1" si="11"/>
        <v>7</v>
      </c>
      <c r="P9" s="296">
        <f t="shared" ca="1" si="12"/>
        <v>0.1891891891891892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4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13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8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4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11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4">
      <c r="A12" s="303" t="s">
        <v>18</v>
      </c>
      <c r="B12" s="304" t="s">
        <v>10</v>
      </c>
      <c r="C12" s="304">
        <v>20</v>
      </c>
      <c r="D12" s="304" t="s">
        <v>86</v>
      </c>
      <c r="E12" s="305" t="str">
        <f t="shared" ca="1" si="8"/>
        <v>MR</v>
      </c>
      <c r="F12" s="306"/>
      <c r="G12" s="307">
        <f t="shared" ca="1" si="1"/>
        <v>17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Dominion Resources,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</v>
      </c>
    </row>
    <row r="13" spans="1:61" ht="14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8"/>
        <v/>
      </c>
      <c r="AJ13" s="236">
        <f t="shared" ca="1" si="19"/>
        <v>26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4"/>
        <v>Change</v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15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18.826923076923077</v>
      </c>
      <c r="Z14" s="261"/>
      <c r="AA14" s="437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3</v>
      </c>
      <c r="AW14" s="234">
        <f>COUNTIF( AV$7:AV14, AV14 )</f>
        <v>2</v>
      </c>
      <c r="AX14" s="287">
        <f t="shared" si="22"/>
        <v>3.2</v>
      </c>
      <c r="AY14" s="234">
        <f t="shared" si="23"/>
        <v>4</v>
      </c>
      <c r="AZ14" s="236"/>
      <c r="BA14" s="236"/>
      <c r="BC14" s="234">
        <f t="shared" ca="1" si="24"/>
        <v>8</v>
      </c>
      <c r="BD14" s="288">
        <f t="shared" ca="1" si="6"/>
        <v>29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32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18.846153846153847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18.675675675675677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19.46153846153846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18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36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MR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>
        <f t="shared" ca="1" si="3"/>
        <v>1</v>
      </c>
      <c r="AH17" s="236" t="str">
        <f t="shared" ca="1" si="18"/>
        <v/>
      </c>
      <c r="AJ17" s="236">
        <f t="shared" ca="1" si="19"/>
        <v>51</v>
      </c>
      <c r="AK17" s="236" t="str">
        <f t="shared" ca="1" si="20"/>
        <v>BBB</v>
      </c>
      <c r="AL17" s="236">
        <f t="shared" ca="1" si="20"/>
        <v>18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3</v>
      </c>
      <c r="AW17" s="234">
        <f>COUNTIF( AV$7:AV17, AV17 )</f>
        <v>3</v>
      </c>
      <c r="AX17" s="287">
        <f t="shared" si="22"/>
        <v>3.3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6"/>
        <v>39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4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52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4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54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4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55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4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3</v>
      </c>
      <c r="AW21" s="234">
        <f>COUNTIF( AV$7:AV21, AV21 )</f>
        <v>5</v>
      </c>
      <c r="AX21" s="287">
        <f t="shared" si="22"/>
        <v>3.5</v>
      </c>
      <c r="AY21" s="234">
        <f t="shared" si="23"/>
        <v>7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4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4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4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9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9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>
        <f t="shared" ca="1" si="3"/>
        <v>1</v>
      </c>
      <c r="AH30" s="236" t="str">
        <f t="shared" ca="1" si="18"/>
        <v/>
      </c>
      <c r="AJ30" s="236">
        <f t="shared" ca="1" si="19"/>
        <v>55</v>
      </c>
      <c r="AK30" s="236" t="str">
        <f t="shared" ca="1" si="20"/>
        <v>BBB-</v>
      </c>
      <c r="AL30" s="236">
        <f t="shared" ca="1" si="20"/>
        <v>17</v>
      </c>
      <c r="AM30" s="236" t="str">
        <f t="shared" ca="1" si="4"/>
        <v>Change</v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4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4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4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4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4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6</v>
      </c>
      <c r="AX35" s="287">
        <f t="shared" si="22"/>
        <v>3.6</v>
      </c>
      <c r="AY35" s="234">
        <f t="shared" si="23"/>
        <v>8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4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9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4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4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7</v>
      </c>
      <c r="AX38" s="287">
        <f t="shared" si="22"/>
        <v>3.7</v>
      </c>
      <c r="AY38" s="234">
        <f t="shared" si="23"/>
        <v>9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4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4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4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4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3</v>
      </c>
      <c r="AW42" s="234">
        <f>COUNTIF( AV$7:AV42, AV42 )</f>
        <v>8</v>
      </c>
      <c r="AX42" s="287">
        <f t="shared" si="22"/>
        <v>3.8</v>
      </c>
      <c r="AY42" s="234">
        <f t="shared" si="23"/>
        <v>10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4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4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4">
      <c r="A45" s="303" t="s">
        <v>451</v>
      </c>
      <c r="B45" s="304" t="s">
        <v>28</v>
      </c>
      <c r="C45" s="304">
        <v>18</v>
      </c>
      <c r="D45" s="304" t="s">
        <v>443</v>
      </c>
      <c r="E45" s="305" t="str">
        <f t="shared" ca="1" si="8"/>
        <v>R</v>
      </c>
      <c r="F45" s="306"/>
      <c r="G45" s="307">
        <f t="shared" ca="1" si="1"/>
        <v>57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3</v>
      </c>
      <c r="AW45" s="234">
        <f>COUNTIF( AV$7:AV45, AV45 )</f>
        <v>9</v>
      </c>
      <c r="AX45" s="287">
        <f t="shared" si="22"/>
        <v>3.9</v>
      </c>
      <c r="AY45" s="234">
        <f t="shared" si="23"/>
        <v>11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4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4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4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4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4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2</v>
      </c>
      <c r="AS50" s="286">
        <v>21</v>
      </c>
      <c r="AT50" s="286" t="s">
        <v>327</v>
      </c>
      <c r="AV50" s="234">
        <f t="shared" si="21"/>
        <v>1</v>
      </c>
      <c r="AW50" s="234">
        <f>COUNTIF( AV$7:AV50, AV50 )</f>
        <v>2</v>
      </c>
      <c r="AX50" s="287">
        <f t="shared" si="22"/>
        <v>1.2</v>
      </c>
      <c r="AY50" s="234">
        <f t="shared" si="23"/>
        <v>2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4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4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3</v>
      </c>
      <c r="AW54" s="234">
        <f>COUNTIF( AV$7:AV54, AV54 )</f>
        <v>10</v>
      </c>
      <c r="AX54" s="287">
        <f t="shared" si="22"/>
        <v>4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3</v>
      </c>
      <c r="AW56" s="234">
        <f>COUNTIF( AV$7:AV56, AV56 )</f>
        <v>11</v>
      </c>
      <c r="AX56" s="287">
        <f t="shared" si="22"/>
        <v>4.0999999999999996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3</v>
      </c>
      <c r="AW57" s="234">
        <f>COUNTIF( AV$7:AV57, AV57 )</f>
        <v>12</v>
      </c>
      <c r="AX57" s="287">
        <f t="shared" si="22"/>
        <v>4.2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18.846153846153847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18.826923076923077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-- 2015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'Credit_2014Q4'!d:d</v>
      </c>
      <c r="AK2" s="240" t="str">
        <f>AK4 &amp; AK3</f>
        <v>'Credit_2014Q4'!b1</v>
      </c>
      <c r="AL2" s="240" t="str">
        <f>AL4 &amp; AL3</f>
        <v>'Credit_2014Q4'!c1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'Credit_2014Q4'!</v>
      </c>
      <c r="AK4" s="236" t="str">
        <f t="shared" ref="AK4:AL4" si="0">$AQ$5</f>
        <v>'Credit_2014Q4'!</v>
      </c>
      <c r="AL4" s="236" t="str">
        <f t="shared" si="0"/>
        <v>'Credit_2014Q4'!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(53)</v>
      </c>
      <c r="M5" s="506"/>
      <c r="N5" s="314"/>
      <c r="O5" s="504" t="str">
        <f ca="1">"Regulated" &amp; CHAR( 10 ) &amp; "(" &amp; O14 &amp; ")"</f>
        <v>Regulated
(38)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510</v>
      </c>
    </row>
    <row r="6" spans="1:61" ht="28.5" customHeight="1">
      <c r="A6" s="299" t="s">
        <v>0</v>
      </c>
      <c r="B6" s="300" t="s">
        <v>513</v>
      </c>
      <c r="C6" s="338" t="s">
        <v>470</v>
      </c>
      <c r="D6" s="301"/>
      <c r="E6" s="302">
        <f ca="1">INDIRECT( E3 &amp; G1 )</f>
        <v>41639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4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7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18.754716981132077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18.657894736842106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19.153846153846153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18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4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4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4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4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9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4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9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4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4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*UTL</v>
      </c>
    </row>
    <row r="36" spans="1:61" ht="14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4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4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4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4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4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4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4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4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9" t="s">
        <v>447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4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4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-- 2014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'Credit_2014Q3'!d:d</v>
      </c>
      <c r="AK2" s="240" t="str">
        <f>AK4 &amp; AK3</f>
        <v>'Credit_2014Q3'!b1</v>
      </c>
      <c r="AL2" s="240" t="str">
        <f>AL4 &amp; AL3</f>
        <v>'Credit_2014Q3'!c1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'Credit_2014Q3'!</v>
      </c>
      <c r="AK4" s="236" t="str">
        <f t="shared" ref="AK4:AL4" si="0">$AQ$5</f>
        <v>'Credit_2014Q3'!</v>
      </c>
      <c r="AL4" s="236" t="str">
        <f t="shared" si="0"/>
        <v>'Credit_2014Q3'!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(53)</v>
      </c>
      <c r="M5" s="506"/>
      <c r="N5" s="314"/>
      <c r="O5" s="504" t="str">
        <f ca="1">"Regulated" &amp; CHAR( 10 ) &amp; "(" &amp; O14 &amp; ")"</f>
        <v>Regulated
(38)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508</v>
      </c>
    </row>
    <row r="6" spans="1:61" ht="28.5" customHeight="1">
      <c r="A6" s="299" t="s">
        <v>0</v>
      </c>
      <c r="B6" s="300" t="s">
        <v>503</v>
      </c>
      <c r="C6" s="338" t="s">
        <v>470</v>
      </c>
      <c r="D6" s="301"/>
      <c r="E6" s="302">
        <f ca="1">INDIRECT( E3 &amp; G1 )</f>
        <v>41639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4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6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18.754716981132077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18.657894736842106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19.153846153846153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18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9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>
        <f t="shared" ca="1" si="3"/>
        <v>1</v>
      </c>
      <c r="AH24" s="236" t="str">
        <f t="shared" ca="1" si="18"/>
        <v/>
      </c>
      <c r="AJ24" s="236">
        <f t="shared" ca="1" si="19"/>
        <v>38</v>
      </c>
      <c r="AK24" s="236" t="str">
        <f t="shared" ca="1" si="20"/>
        <v>BBB</v>
      </c>
      <c r="AL24" s="236">
        <f t="shared" ca="1" si="20"/>
        <v>18</v>
      </c>
      <c r="AM24" s="236" t="str">
        <f t="shared" ca="1" si="4"/>
        <v>Change</v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4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4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4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4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4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4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4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4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6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4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4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>
        <f t="shared" ca="1" si="18"/>
        <v>1</v>
      </c>
      <c r="AJ35" s="236" t="e">
        <f t="shared" ca="1" si="19"/>
        <v>#N/A</v>
      </c>
      <c r="AK35" s="236" t="str">
        <f t="shared" ca="1" si="20"/>
        <v/>
      </c>
      <c r="AL35" s="236" t="str">
        <f t="shared" ca="1" si="20"/>
        <v/>
      </c>
      <c r="AM35" s="236" t="str">
        <f t="shared" ca="1" si="4"/>
        <v>Change</v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UTL</v>
      </c>
    </row>
    <row r="36" spans="1:61" ht="14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4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4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4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4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4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4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4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4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4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4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9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4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4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52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6" t="s">
        <v>333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4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4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56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57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64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-- 2014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'Credit_2014Q2'!d:d</v>
      </c>
      <c r="AK2" s="240" t="str">
        <f>AK4 &amp; AK3</f>
        <v>'Credit_2014Q2'!b1</v>
      </c>
      <c r="AL2" s="240" t="str">
        <f>AL4 &amp; AL3</f>
        <v>'Credit_2014Q2'!c1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'Credit_2014Q2'!</v>
      </c>
      <c r="AK4" s="236" t="str">
        <f t="shared" ref="AK4:AL4" si="0">$AQ$5</f>
        <v>'Credit_2014Q2'!</v>
      </c>
      <c r="AL4" s="236" t="str">
        <f t="shared" si="0"/>
        <v>'Credit_2014Q2'!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(53)</v>
      </c>
      <c r="M5" s="506"/>
      <c r="N5" s="314"/>
      <c r="O5" s="504" t="str">
        <f ca="1">"Regulated" &amp; CHAR( 10 ) &amp; "(" &amp; O14 &amp; ")"</f>
        <v>Regulated
(38)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507</v>
      </c>
    </row>
    <row r="6" spans="1:61" ht="28.5" customHeight="1">
      <c r="A6" s="299" t="s">
        <v>0</v>
      </c>
      <c r="B6" s="300" t="s">
        <v>502</v>
      </c>
      <c r="C6" s="338" t="s">
        <v>470</v>
      </c>
      <c r="D6" s="301"/>
      <c r="E6" s="302">
        <f ca="1">INDIRECT( E3 &amp; G1 )</f>
        <v>41639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5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18.716981132075471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18.605263157894736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19.153846153846153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18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9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4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4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11</v>
      </c>
      <c r="AR26" s="286" t="s">
        <v>28</v>
      </c>
      <c r="AS26" s="286">
        <v>18</v>
      </c>
      <c r="AT26" s="289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4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</v>
      </c>
      <c r="AR27" s="286" t="s">
        <v>49</v>
      </c>
      <c r="AS27" s="286">
        <v>17</v>
      </c>
      <c r="AT27" s="289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4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4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4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4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4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4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4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4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4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4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4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4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4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4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4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4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4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9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4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4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62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63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92D050"/>
    <pageSetUpPr fitToPage="1"/>
  </sheetPr>
  <dimension ref="C1:V43"/>
  <sheetViews>
    <sheetView showGridLines="0" zoomScale="90" zoomScaleNormal="90" workbookViewId="0"/>
  </sheetViews>
  <sheetFormatPr baseColWidth="10" defaultColWidth="9.1640625" defaultRowHeight="12"/>
  <cols>
    <col min="1" max="2" width="1.5" style="60" customWidth="1"/>
    <col min="3" max="3" width="25.1640625" style="60" customWidth="1"/>
    <col min="4" max="16384" width="9.1640625" style="60"/>
  </cols>
  <sheetData>
    <row r="1" spans="3:22" ht="18">
      <c r="C1" s="18" t="s">
        <v>272</v>
      </c>
    </row>
    <row r="4" spans="3:22">
      <c r="C4" s="63"/>
      <c r="D4" s="64"/>
      <c r="E4" s="64"/>
      <c r="F4" s="64"/>
      <c r="G4" s="64"/>
    </row>
    <row r="5" spans="3:22">
      <c r="C5" s="494" t="s">
        <v>243</v>
      </c>
      <c r="D5" s="494"/>
      <c r="E5" s="494"/>
      <c r="F5" s="494"/>
      <c r="G5" s="59"/>
      <c r="H5" s="59"/>
    </row>
    <row r="7" spans="3:22">
      <c r="C7" s="492" t="s">
        <v>557</v>
      </c>
      <c r="D7" s="493"/>
      <c r="E7" s="493"/>
      <c r="F7" s="493"/>
      <c r="G7" s="58"/>
      <c r="H7" s="58"/>
    </row>
    <row r="8" spans="3:22">
      <c r="I8" s="64"/>
    </row>
    <row r="9" spans="3:22">
      <c r="C9" s="54"/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2">
        <v>2008</v>
      </c>
      <c r="K9" s="62">
        <v>2009</v>
      </c>
      <c r="L9" s="62">
        <v>2010</v>
      </c>
      <c r="M9" s="62">
        <v>2011</v>
      </c>
      <c r="N9" s="62">
        <v>2012</v>
      </c>
      <c r="O9" s="62">
        <v>2013</v>
      </c>
      <c r="P9" s="62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</row>
    <row r="10" spans="3:22">
      <c r="D10" s="62"/>
      <c r="E10" s="62"/>
      <c r="F10" s="61"/>
      <c r="H10" s="64"/>
      <c r="I10" s="64"/>
    </row>
    <row r="11" spans="3:22">
      <c r="C11" s="409" t="s">
        <v>220</v>
      </c>
      <c r="D11" s="410">
        <v>21</v>
      </c>
      <c r="E11" s="410">
        <v>35</v>
      </c>
      <c r="F11" s="411">
        <v>51</v>
      </c>
      <c r="G11" s="412">
        <v>73</v>
      </c>
      <c r="H11" s="413">
        <v>67</v>
      </c>
      <c r="I11" s="413">
        <v>73</v>
      </c>
      <c r="J11" s="409">
        <v>24</v>
      </c>
      <c r="K11" s="409">
        <v>23</v>
      </c>
      <c r="L11" s="409">
        <f>'II. Upgrades &amp; Downgrades'!AO61</f>
        <v>29</v>
      </c>
      <c r="M11" s="409">
        <f>'II. Upgrades &amp; Downgrades'!AS61</f>
        <v>39</v>
      </c>
      <c r="N11" s="409">
        <f>'II. Upgrades &amp; Downgrades'!AW61</f>
        <v>37</v>
      </c>
      <c r="O11" s="409">
        <f>'II. Upgrades &amp; Downgrades'!BA61</f>
        <v>60</v>
      </c>
      <c r="P11" s="409">
        <f>'II. Upgrades &amp; Downgrades'!BE61</f>
        <v>103</v>
      </c>
      <c r="Q11" s="409">
        <f>'II. Upgrades &amp; Downgrades'!BI61</f>
        <v>35</v>
      </c>
      <c r="R11" s="409">
        <f>'II. Upgrades &amp; Downgrades'!BM61</f>
        <v>49</v>
      </c>
      <c r="S11" s="409">
        <f>'II. Upgrades &amp; Downgrades'!BQ61</f>
        <v>38</v>
      </c>
      <c r="T11" s="409">
        <f>'II. Upgrades &amp; Downgrades'!BU61</f>
        <v>41</v>
      </c>
      <c r="U11" s="409">
        <f>'II. Upgrades &amp; Downgrades'!BY61</f>
        <v>55</v>
      </c>
      <c r="V11" s="409">
        <f ca="1">'II. Upgrades &amp; Downgrades'!CC61</f>
        <v>6</v>
      </c>
    </row>
    <row r="12" spans="3:22">
      <c r="C12" s="414" t="s">
        <v>221</v>
      </c>
      <c r="D12" s="415">
        <v>279</v>
      </c>
      <c r="E12" s="415">
        <v>218</v>
      </c>
      <c r="F12" s="416">
        <v>59</v>
      </c>
      <c r="G12" s="417">
        <v>48</v>
      </c>
      <c r="H12" s="418">
        <v>43</v>
      </c>
      <c r="I12" s="418">
        <v>48</v>
      </c>
      <c r="J12" s="414">
        <v>26</v>
      </c>
      <c r="K12" s="414">
        <v>34</v>
      </c>
      <c r="L12" s="414">
        <f xml:space="preserve"> - 'II. Upgrades &amp; Downgrades'!AO62</f>
        <v>51</v>
      </c>
      <c r="M12" s="414">
        <f xml:space="preserve"> - 'II. Upgrades &amp; Downgrades'!AS62</f>
        <v>21</v>
      </c>
      <c r="N12" s="414">
        <f xml:space="preserve"> - 'II. Upgrades &amp; Downgrades'!AW62</f>
        <v>39</v>
      </c>
      <c r="O12" s="414">
        <f xml:space="preserve"> - 'II. Upgrades &amp; Downgrades'!BA62</f>
        <v>20</v>
      </c>
      <c r="P12" s="414">
        <f xml:space="preserve"> - 'II. Upgrades &amp; Downgrades'!BE62</f>
        <v>3</v>
      </c>
      <c r="Q12" s="414">
        <f xml:space="preserve"> - 'II. Upgrades &amp; Downgrades'!BI62</f>
        <v>15</v>
      </c>
      <c r="R12" s="414">
        <f xml:space="preserve"> - 'II. Upgrades &amp; Downgrades'!BM62</f>
        <v>18</v>
      </c>
      <c r="S12" s="414">
        <f xml:space="preserve"> - 'II. Upgrades &amp; Downgrades'!BQ62</f>
        <v>14</v>
      </c>
      <c r="T12" s="414">
        <f xml:space="preserve"> - 'II. Upgrades &amp; Downgrades'!BU62</f>
        <v>52</v>
      </c>
      <c r="U12" s="414">
        <f xml:space="preserve"> - 'II. Upgrades &amp; Downgrades'!BY62</f>
        <v>35</v>
      </c>
      <c r="V12" s="414">
        <f ca="1" xml:space="preserve"> - 'II. Upgrades &amp; Downgrades'!CC62</f>
        <v>10</v>
      </c>
    </row>
    <row r="13" spans="3:22">
      <c r="C13" s="64" t="s">
        <v>222</v>
      </c>
      <c r="D13" s="68">
        <f t="shared" ref="D13:M13" si="0">D11 / D14</f>
        <v>7.0000000000000007E-2</v>
      </c>
      <c r="E13" s="68">
        <f t="shared" si="0"/>
        <v>0.13833992094861661</v>
      </c>
      <c r="F13" s="68">
        <f t="shared" si="0"/>
        <v>0.46363636363636362</v>
      </c>
      <c r="G13" s="68">
        <f t="shared" si="0"/>
        <v>0.60330578512396693</v>
      </c>
      <c r="H13" s="68">
        <f t="shared" si="0"/>
        <v>0.60909090909090913</v>
      </c>
      <c r="I13" s="68">
        <f t="shared" si="0"/>
        <v>0.60330578512396693</v>
      </c>
      <c r="J13" s="68">
        <f t="shared" si="0"/>
        <v>0.48</v>
      </c>
      <c r="K13" s="68">
        <f t="shared" si="0"/>
        <v>0.40350877192982454</v>
      </c>
      <c r="L13" s="68">
        <f t="shared" si="0"/>
        <v>0.36249999999999999</v>
      </c>
      <c r="M13" s="68">
        <f t="shared" si="0"/>
        <v>0.65</v>
      </c>
      <c r="N13" s="68">
        <f t="shared" ref="N13:U13" si="1">N11 / N14</f>
        <v>0.48684210526315791</v>
      </c>
      <c r="O13" s="68">
        <f t="shared" si="1"/>
        <v>0.75</v>
      </c>
      <c r="P13" s="68">
        <f t="shared" si="1"/>
        <v>0.97169811320754718</v>
      </c>
      <c r="Q13" s="68">
        <f t="shared" si="1"/>
        <v>0.7</v>
      </c>
      <c r="R13" s="68">
        <f t="shared" si="1"/>
        <v>0.73134328358208955</v>
      </c>
      <c r="S13" s="68">
        <f t="shared" ref="S13" si="2">S11 / S14</f>
        <v>0.73076923076923073</v>
      </c>
      <c r="T13" s="68">
        <f t="shared" ref="T13" si="3">T11 / T14</f>
        <v>0.44086021505376344</v>
      </c>
      <c r="U13" s="68">
        <f t="shared" si="1"/>
        <v>0.61111111111111116</v>
      </c>
      <c r="V13" s="68">
        <f t="shared" ref="V13" ca="1" si="4">V11 / V14</f>
        <v>0.375</v>
      </c>
    </row>
    <row r="14" spans="3:22">
      <c r="C14" s="407" t="s">
        <v>217</v>
      </c>
      <c r="D14" s="408">
        <f t="shared" ref="D14:J14" si="5">SUM(D11:D12)</f>
        <v>300</v>
      </c>
      <c r="E14" s="408">
        <f t="shared" si="5"/>
        <v>253</v>
      </c>
      <c r="F14" s="407">
        <f t="shared" si="5"/>
        <v>110</v>
      </c>
      <c r="G14" s="407">
        <f t="shared" si="5"/>
        <v>121</v>
      </c>
      <c r="H14" s="407">
        <f t="shared" si="5"/>
        <v>110</v>
      </c>
      <c r="I14" s="408">
        <f t="shared" si="5"/>
        <v>121</v>
      </c>
      <c r="J14" s="408">
        <f t="shared" si="5"/>
        <v>50</v>
      </c>
      <c r="K14" s="408">
        <f t="shared" ref="K14:U14" si="6">SUM(K11:K12)</f>
        <v>57</v>
      </c>
      <c r="L14" s="408">
        <f t="shared" si="6"/>
        <v>80</v>
      </c>
      <c r="M14" s="408">
        <f t="shared" si="6"/>
        <v>60</v>
      </c>
      <c r="N14" s="408">
        <f t="shared" si="6"/>
        <v>76</v>
      </c>
      <c r="O14" s="408">
        <f t="shared" si="6"/>
        <v>80</v>
      </c>
      <c r="P14" s="408">
        <f t="shared" ref="P14:R14" si="7">SUM(P11:P12)</f>
        <v>106</v>
      </c>
      <c r="Q14" s="408">
        <f t="shared" si="7"/>
        <v>50</v>
      </c>
      <c r="R14" s="408">
        <f t="shared" si="7"/>
        <v>67</v>
      </c>
      <c r="S14" s="408">
        <f t="shared" ref="S14" si="8">SUM(S11:S12)</f>
        <v>52</v>
      </c>
      <c r="T14" s="408">
        <f t="shared" ref="T14" si="9">SUM(T11:T12)</f>
        <v>93</v>
      </c>
      <c r="U14" s="408">
        <f t="shared" si="6"/>
        <v>90</v>
      </c>
      <c r="V14" s="408">
        <f t="shared" ref="V14" ca="1" si="10">SUM(V11:V12)</f>
        <v>16</v>
      </c>
    </row>
    <row r="15" spans="3:22">
      <c r="C15" s="33"/>
      <c r="D15" s="63"/>
      <c r="E15" s="63"/>
      <c r="F15" s="54"/>
      <c r="G15" s="54"/>
      <c r="H15" s="54"/>
      <c r="I15" s="54"/>
    </row>
    <row r="16" spans="3:22">
      <c r="C16" s="33" t="s">
        <v>418</v>
      </c>
      <c r="D16" s="209">
        <v>0.5</v>
      </c>
      <c r="E16" s="208">
        <f>D16</f>
        <v>0.5</v>
      </c>
      <c r="F16" s="208">
        <f t="shared" ref="F16:M16" si="11">E16</f>
        <v>0.5</v>
      </c>
      <c r="G16" s="208">
        <f t="shared" si="11"/>
        <v>0.5</v>
      </c>
      <c r="H16" s="208">
        <f t="shared" si="11"/>
        <v>0.5</v>
      </c>
      <c r="I16" s="208">
        <f t="shared" si="11"/>
        <v>0.5</v>
      </c>
      <c r="J16" s="208">
        <f t="shared" si="11"/>
        <v>0.5</v>
      </c>
      <c r="K16" s="208">
        <f t="shared" si="11"/>
        <v>0.5</v>
      </c>
      <c r="L16" s="208">
        <f t="shared" si="11"/>
        <v>0.5</v>
      </c>
      <c r="M16" s="208">
        <f t="shared" si="11"/>
        <v>0.5</v>
      </c>
      <c r="N16" s="208">
        <f>L16</f>
        <v>0.5</v>
      </c>
      <c r="O16" s="208">
        <f>M16</f>
        <v>0.5</v>
      </c>
      <c r="P16" s="208">
        <f>L16</f>
        <v>0.5</v>
      </c>
      <c r="Q16" s="208">
        <f>L16</f>
        <v>0.5</v>
      </c>
      <c r="R16" s="208">
        <f>L16</f>
        <v>0.5</v>
      </c>
      <c r="S16" s="208">
        <f>M16</f>
        <v>0.5</v>
      </c>
      <c r="T16" s="208">
        <f>L16</f>
        <v>0.5</v>
      </c>
      <c r="U16" s="208">
        <f>M16</f>
        <v>0.5</v>
      </c>
      <c r="V16" s="208">
        <f>N16</f>
        <v>0.5</v>
      </c>
    </row>
    <row r="17" spans="3:9">
      <c r="C17" s="54"/>
      <c r="D17" s="54"/>
      <c r="E17" s="54"/>
      <c r="F17" s="54"/>
      <c r="G17" s="54"/>
      <c r="H17" s="54"/>
      <c r="I17" s="54"/>
    </row>
    <row r="18" spans="3:9">
      <c r="C18" s="54"/>
      <c r="D18" s="54"/>
      <c r="E18" s="54"/>
      <c r="F18" s="54"/>
      <c r="G18" s="54"/>
      <c r="H18" s="54"/>
      <c r="I18" s="54"/>
    </row>
    <row r="42" spans="4:4">
      <c r="D42" s="54" t="s">
        <v>132</v>
      </c>
    </row>
    <row r="43" spans="4:4">
      <c r="D43" s="55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-- 2014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Reg_Percent_2013</v>
      </c>
      <c r="G2" s="239" t="s">
        <v>504</v>
      </c>
      <c r="AJ2" s="240" t="str">
        <f>AJ4 &amp; AJ3</f>
        <v>'Credit_2014Q1'!d:d</v>
      </c>
      <c r="AK2" s="240" t="str">
        <f>AK4 &amp; AK3</f>
        <v>'Credit_2014Q1'!b1</v>
      </c>
      <c r="AL2" s="240" t="str">
        <f>AL4 &amp; AL3</f>
        <v>'Credit_2014Q1'!c1</v>
      </c>
      <c r="AQ2" s="236"/>
    </row>
    <row r="3" spans="1:61" ht="19" hidden="1" outlineLevel="1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'Credit_2014Q1'!</v>
      </c>
      <c r="AK4" s="236" t="str">
        <f t="shared" ref="AK4:AL4" si="0">$AQ$5</f>
        <v>'Credit_2014Q1'!</v>
      </c>
      <c r="AL4" s="236" t="str">
        <f t="shared" si="0"/>
        <v>'Credit_2014Q1'!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(53)</v>
      </c>
      <c r="M5" s="506"/>
      <c r="N5" s="314"/>
      <c r="O5" s="504" t="str">
        <f ca="1">"Regulated" &amp; CHAR( 10 ) &amp; "(" &amp; O14 &amp; ")"</f>
        <v>Regulated
(38)</v>
      </c>
      <c r="P5" s="508"/>
      <c r="Q5" s="314"/>
      <c r="R5" s="504" t="str">
        <f ca="1">"Mostly Regulated" &amp; CHAR( 10 ) &amp; "(" &amp; R14 &amp; ")"</f>
        <v>Mostly Regulated
(13)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499</v>
      </c>
    </row>
    <row r="6" spans="1:61" ht="28.5" customHeight="1">
      <c r="A6" s="299" t="s">
        <v>0</v>
      </c>
      <c r="B6" s="300" t="s">
        <v>501</v>
      </c>
      <c r="C6" s="338" t="s">
        <v>470</v>
      </c>
      <c r="D6" s="301"/>
      <c r="E6" s="302">
        <f ca="1">INDIRECT( E3 &amp; G1 )</f>
        <v>41639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3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18.716981132075471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18.605263157894736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19.153846153846153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18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9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26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4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4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4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9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4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8"/>
        <v/>
      </c>
      <c r="AJ26" s="236">
        <f t="shared" ca="1" si="19"/>
        <v>51</v>
      </c>
      <c r="AK26" s="236" t="str">
        <f t="shared" ca="1" si="20"/>
        <v>BBB-</v>
      </c>
      <c r="AL26" s="236">
        <f t="shared" ca="1" si="20"/>
        <v>17</v>
      </c>
      <c r="AM26" s="236" t="str">
        <f t="shared" ca="1" si="4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4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>
        <f t="shared" ca="1" si="3"/>
        <v>1</v>
      </c>
      <c r="AH27" s="236" t="str">
        <f t="shared" ca="1" si="18"/>
        <v/>
      </c>
      <c r="AJ27" s="236">
        <f t="shared" ca="1" si="19"/>
        <v>40</v>
      </c>
      <c r="AK27" s="236" t="str">
        <f t="shared" ca="1" si="20"/>
        <v>BBB</v>
      </c>
      <c r="AL27" s="236">
        <f t="shared" ca="1" si="20"/>
        <v>18</v>
      </c>
      <c r="AM27" s="236" t="str">
        <f t="shared" ca="1" si="4"/>
        <v>Change</v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4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25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4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27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4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4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4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4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4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>
        <f t="shared" ca="1" si="3"/>
        <v>1</v>
      </c>
      <c r="AH34" s="236" t="str">
        <f t="shared" ca="1" si="18"/>
        <v/>
      </c>
      <c r="AJ34" s="236">
        <f t="shared" ca="1" si="19"/>
        <v>50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4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4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4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4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4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35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4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4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4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4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4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9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4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4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4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4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4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4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4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48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4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49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62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63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64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58</v>
      </c>
      <c r="AK64" s="236" t="str">
        <f t="shared" ca="1" si="20"/>
        <v>CCC-</v>
      </c>
      <c r="AL64" s="236">
        <f t="shared" ca="1" si="20"/>
        <v>8</v>
      </c>
      <c r="AM64" s="236" t="str">
        <f t="shared" ca="1" si="4"/>
        <v>Change</v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-- 2014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Reg_Percent_2012</v>
      </c>
      <c r="G2" s="239" t="s">
        <v>477</v>
      </c>
      <c r="AJ2" s="240" t="str">
        <f>AJ4 &amp; AJ3</f>
        <v>'Credit_2013Q4'!a:a</v>
      </c>
      <c r="AK2" s="240" t="str">
        <f>AK4 &amp; AK3</f>
        <v>'Credit_2013Q4'!b1</v>
      </c>
      <c r="AL2" s="240" t="str">
        <f>AL4 &amp; AL3</f>
        <v>'Credit_2013Q4'!c1</v>
      </c>
      <c r="AQ2" s="236"/>
    </row>
    <row r="3" spans="1:61" ht="19" hidden="1" outlineLevel="1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'Credit_2013Q4'!</v>
      </c>
      <c r="AK4" s="236" t="str">
        <f t="shared" ref="AK4:AL4" si="0">$AQ$5</f>
        <v>'Credit_2013Q4'!</v>
      </c>
      <c r="AL4" s="236" t="str">
        <f t="shared" si="0"/>
        <v>'Credit_2013Q4'!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(54)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(17)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497</v>
      </c>
    </row>
    <row r="6" spans="1:61" ht="28.5" customHeight="1">
      <c r="A6" s="299" t="s">
        <v>0</v>
      </c>
      <c r="B6" s="300" t="s">
        <v>498</v>
      </c>
      <c r="C6" s="338" t="s">
        <v>470</v>
      </c>
      <c r="D6" s="301"/>
      <c r="E6" s="302">
        <v>41274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1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18.444444444444443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18.457142857142856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13.5</v>
      </c>
      <c r="V16" s="503"/>
      <c r="W16" s="316"/>
      <c r="AE16" s="254"/>
      <c r="AF16" s="236">
        <f t="shared" si="3"/>
        <v>0</v>
      </c>
      <c r="AG16" s="236" t="str">
        <f t="shared" ca="1" si="4"/>
        <v/>
      </c>
      <c r="AH16" s="236" t="str">
        <f t="shared" ca="1" si="19"/>
        <v/>
      </c>
      <c r="AJ16" s="236">
        <f t="shared" ca="1" si="5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6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 t="str">
        <f t="shared" ca="1" si="4"/>
        <v/>
      </c>
      <c r="AH21" s="236" t="str">
        <f t="shared" ca="1" si="19"/>
        <v/>
      </c>
      <c r="AJ21" s="236">
        <f t="shared" ca="1" si="5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6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4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4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9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4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4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4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4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4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4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4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4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4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4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4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4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4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4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4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4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4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9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4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4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4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4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6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4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4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4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9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 t="str">
        <f t="shared" ca="1" si="4"/>
        <v/>
      </c>
      <c r="AH55" s="236" t="str">
        <f t="shared" ca="1" si="19"/>
        <v/>
      </c>
      <c r="AJ55" s="236">
        <f t="shared" ca="1" si="5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6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 t="str">
        <f t="shared" ca="1" si="19"/>
        <v/>
      </c>
      <c r="AJ56" s="236">
        <f t="shared" ca="1" si="5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6"/>
        <v/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 t="str">
        <f t="shared" ca="1" si="19"/>
        <v/>
      </c>
      <c r="AJ58" s="236">
        <f t="shared" ca="1" si="5"/>
        <v>58</v>
      </c>
      <c r="AK58" s="236" t="str">
        <f t="shared" ca="1" si="20"/>
        <v>CCC-</v>
      </c>
      <c r="AL58" s="236">
        <f t="shared" ca="1" si="20"/>
        <v>8</v>
      </c>
      <c r="AM58" s="236" t="str">
        <f t="shared" ca="1" si="6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4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-- 2013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Reg_Percent_2012</v>
      </c>
      <c r="G2" s="239" t="s">
        <v>477</v>
      </c>
      <c r="AJ2" s="240" t="str">
        <f>AJ4 &amp; AJ3</f>
        <v>'Credit_2013Q3'!a:a</v>
      </c>
      <c r="AK2" s="240" t="str">
        <f>AK4 &amp; AK3</f>
        <v>'Credit_2013Q3'!b1</v>
      </c>
      <c r="AL2" s="240" t="str">
        <f>AL4 &amp; AL3</f>
        <v>'Credit_2013Q3'!c1</v>
      </c>
      <c r="AQ2" s="236"/>
    </row>
    <row r="3" spans="1:61" ht="19" hidden="1" outlineLevel="1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'Credit_2013Q3'!</v>
      </c>
      <c r="AK4" s="236" t="str">
        <f t="shared" ref="AK4:AL4" si="0">$AQ$5</f>
        <v>'Credit_2013Q3'!</v>
      </c>
      <c r="AL4" s="236" t="str">
        <f t="shared" si="0"/>
        <v>'Credit_2013Q3'!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(54)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(17)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495</v>
      </c>
    </row>
    <row r="6" spans="1:61" ht="28.5" customHeight="1">
      <c r="A6" s="299" t="s">
        <v>0</v>
      </c>
      <c r="B6" s="300" t="s">
        <v>431</v>
      </c>
      <c r="C6" s="338" t="s">
        <v>470</v>
      </c>
      <c r="D6" s="301"/>
      <c r="E6" s="302">
        <v>41274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0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4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18.444444444444443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18.457142857142856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13.5</v>
      </c>
      <c r="V16" s="503"/>
      <c r="W16" s="316"/>
      <c r="AE16" s="254"/>
      <c r="AF16" s="236">
        <f t="shared" si="3"/>
        <v>0</v>
      </c>
      <c r="AG16" s="236">
        <f t="shared" ca="1" si="4"/>
        <v>1</v>
      </c>
      <c r="AH16" s="236" t="str">
        <f t="shared" ca="1" si="19"/>
        <v/>
      </c>
      <c r="AJ16" s="236">
        <f t="shared" ca="1" si="5"/>
        <v>26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6"/>
        <v>Change</v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4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>
        <f t="shared" ca="1" si="4"/>
        <v>1</v>
      </c>
      <c r="AH21" s="236" t="str">
        <f t="shared" ca="1" si="19"/>
        <v/>
      </c>
      <c r="AJ21" s="236">
        <f t="shared" ca="1" si="5"/>
        <v>31</v>
      </c>
      <c r="AK21" s="236" t="str">
        <f t="shared" ca="1" si="20"/>
        <v>BBB</v>
      </c>
      <c r="AL21" s="236">
        <f t="shared" ca="1" si="20"/>
        <v>18</v>
      </c>
      <c r="AM21" s="236" t="str">
        <f t="shared" ca="1" si="6"/>
        <v>Change</v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4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20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4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21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4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22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4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23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4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24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4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25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4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4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4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4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4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4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4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4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4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9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4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4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4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4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6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4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4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4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4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9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4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4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4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6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4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>
        <f t="shared" ca="1" si="4"/>
        <v>1</v>
      </c>
      <c r="AH55" s="236" t="str">
        <f t="shared" ca="1" si="19"/>
        <v/>
      </c>
      <c r="AJ55" s="236">
        <f t="shared" ca="1" si="5"/>
        <v>57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6"/>
        <v>Change</v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4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>
        <f t="shared" ca="1" si="19"/>
        <v>1</v>
      </c>
      <c r="AJ56" s="236">
        <f t="shared" ca="1" si="5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6"/>
        <v>Change</v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4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4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>
        <f t="shared" ca="1" si="19"/>
        <v>1</v>
      </c>
      <c r="AJ58" s="236">
        <f t="shared" ca="1" si="5"/>
        <v>59</v>
      </c>
      <c r="AK58" s="236" t="str">
        <f t="shared" ca="1" si="20"/>
        <v>CCC</v>
      </c>
      <c r="AL58" s="236">
        <f t="shared" ca="1" si="20"/>
        <v>9</v>
      </c>
      <c r="AM58" s="236" t="str">
        <f t="shared" ca="1" si="6"/>
        <v>Change</v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4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-- 2013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Reg_Percent_2012</v>
      </c>
      <c r="G2" s="239" t="s">
        <v>477</v>
      </c>
      <c r="AJ2" s="240" t="str">
        <f>AJ4 &amp; AJ3</f>
        <v>'Credit_2013Q2'!a:a</v>
      </c>
      <c r="AK2" s="240" t="str">
        <f>AK4 &amp; AK3</f>
        <v>'Credit_2013Q2'!b1</v>
      </c>
      <c r="AL2" s="240" t="str">
        <f>AL4 &amp; AL3</f>
        <v>'Credit_2013Q2'!c1</v>
      </c>
    </row>
    <row r="3" spans="1:61" ht="19" hidden="1" outlineLevel="1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493</v>
      </c>
      <c r="AK4" s="236" t="str">
        <f>AJ4</f>
        <v>'Credit_2013Q2'!</v>
      </c>
      <c r="AL4" s="236" t="str">
        <f>AK4</f>
        <v>'Credit_2013Q2'!</v>
      </c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(55)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(17)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430</v>
      </c>
      <c r="C6" s="338" t="s">
        <v>470</v>
      </c>
      <c r="D6" s="301"/>
      <c r="E6" s="302">
        <v>41274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I38" ca="1" si="8">OFFSET( AQ$6, $BD7, 0 )</f>
        <v>Southern Company</v>
      </c>
      <c r="BG7" s="240" t="str">
        <f t="shared" ca="1" si="8"/>
        <v>A</v>
      </c>
      <c r="BH7" s="240">
        <f t="shared" ca="1" si="8"/>
        <v>21</v>
      </c>
      <c r="BI7" s="240" t="str">
        <f t="shared" ca="1" si="8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3.6363636363636362E-2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5.8823529411764705E-2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ca="1" si="4"/>
        <v>8</v>
      </c>
      <c r="AK8" s="236" t="str">
        <f t="shared" ref="AK8:AL67" ca="1" si="19">IF( ISNA( $AJ8 ), "", OFFSET( INDIRECT( AK$2 ), $AJ8-1, 0 ) )</f>
        <v>A-</v>
      </c>
      <c r="AL8" s="236">
        <f t="shared" ca="1" si="19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0">IF( LEN( AS8 ) = 0, 99, RANK( AS8, $AS$7:$AS$63 ) )</f>
        <v>2</v>
      </c>
      <c r="AW8" s="234">
        <f>COUNTIF( AV$7:AV8, AV8 )</f>
        <v>1</v>
      </c>
      <c r="AX8" s="287">
        <f t="shared" ref="AX8:AX63" si="21">AV8 + AW8 / 10</f>
        <v>2.1</v>
      </c>
      <c r="AY8" s="234">
        <f t="shared" ref="AY8:AY63" si="22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8"/>
        <v>A-</v>
      </c>
      <c r="BH8" s="240">
        <f t="shared" ca="1" si="8"/>
        <v>20</v>
      </c>
      <c r="BI8" s="240" t="str">
        <f t="shared" ca="1" si="8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</v>
      </c>
      <c r="N9" s="318"/>
      <c r="O9" s="295">
        <f t="shared" ca="1" si="11"/>
        <v>6</v>
      </c>
      <c r="P9" s="296">
        <f t="shared" ca="1" si="12"/>
        <v>0.16666666666666666</v>
      </c>
      <c r="Q9" s="318"/>
      <c r="R9" s="295">
        <f t="shared" ca="1" si="13"/>
        <v>5</v>
      </c>
      <c r="S9" s="296">
        <f t="shared" ca="1" si="14"/>
        <v>0.29411764705882354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4"/>
        <v>9</v>
      </c>
      <c r="AK9" s="236" t="str">
        <f t="shared" ca="1" si="19"/>
        <v>A-</v>
      </c>
      <c r="AL9" s="236">
        <f t="shared" ca="1" si="19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0"/>
        <v>25</v>
      </c>
      <c r="AW9" s="234">
        <f>COUNTIF( AV$7:AV9, AV9 )</f>
        <v>1</v>
      </c>
      <c r="AX9" s="287">
        <f t="shared" si="21"/>
        <v>25.1</v>
      </c>
      <c r="AY9" s="234">
        <f t="shared" si="22"/>
        <v>25</v>
      </c>
      <c r="AZ9" s="236"/>
      <c r="BA9" s="236"/>
      <c r="BC9" s="234">
        <f t="shared" ref="BC9:BC63" ca="1" si="23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8"/>
        <v>A-</v>
      </c>
      <c r="BH9" s="240">
        <f t="shared" ca="1" si="8"/>
        <v>20</v>
      </c>
      <c r="BI9" s="240" t="str">
        <f t="shared" ca="1" si="8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12</v>
      </c>
      <c r="M10" s="296">
        <f t="shared" si="10"/>
        <v>0.21818181818181817</v>
      </c>
      <c r="N10" s="318"/>
      <c r="O10" s="295">
        <f t="shared" ca="1" si="11"/>
        <v>6</v>
      </c>
      <c r="P10" s="296">
        <f t="shared" ca="1" si="12"/>
        <v>0.16666666666666666</v>
      </c>
      <c r="Q10" s="318"/>
      <c r="R10" s="295">
        <f t="shared" ca="1" si="13"/>
        <v>5</v>
      </c>
      <c r="S10" s="296">
        <f t="shared" ca="1" si="14"/>
        <v>0.29411764705882354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4"/>
        <v>10</v>
      </c>
      <c r="AK10" s="236" t="str">
        <f t="shared" ca="1" si="19"/>
        <v>A-</v>
      </c>
      <c r="AL10" s="236">
        <f t="shared" ca="1" si="19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0"/>
        <v>25</v>
      </c>
      <c r="AW10" s="234">
        <f>COUNTIF( AV$7:AV10, AV10 )</f>
        <v>2</v>
      </c>
      <c r="AX10" s="287">
        <f t="shared" si="21"/>
        <v>25.2</v>
      </c>
      <c r="AY10" s="234">
        <f t="shared" si="22"/>
        <v>26</v>
      </c>
      <c r="AZ10" s="236"/>
      <c r="BA10" s="236"/>
      <c r="BC10" s="234">
        <f t="shared" ca="1" si="23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8"/>
        <v>A-</v>
      </c>
      <c r="BH10" s="240">
        <f t="shared" ca="1" si="8"/>
        <v>20</v>
      </c>
      <c r="BI10" s="240" t="str">
        <f t="shared" ca="1" si="8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21</v>
      </c>
      <c r="M11" s="296">
        <f t="shared" si="10"/>
        <v>0.38181818181818183</v>
      </c>
      <c r="N11" s="318"/>
      <c r="O11" s="295">
        <f t="shared" ca="1" si="11"/>
        <v>18</v>
      </c>
      <c r="P11" s="296">
        <f t="shared" ca="1" si="12"/>
        <v>0.5</v>
      </c>
      <c r="Q11" s="318"/>
      <c r="R11" s="295">
        <f t="shared" ca="1" si="13"/>
        <v>3</v>
      </c>
      <c r="S11" s="296">
        <f t="shared" ca="1" si="14"/>
        <v>0.17647058823529413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21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4"/>
        <v>11</v>
      </c>
      <c r="AK11" s="236" t="str">
        <f t="shared" ca="1" si="19"/>
        <v>A-</v>
      </c>
      <c r="AL11" s="236">
        <f t="shared" ca="1" si="19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0"/>
        <v>25</v>
      </c>
      <c r="AW11" s="234">
        <f>COUNTIF( AV$7:AV11, AV11 )</f>
        <v>3</v>
      </c>
      <c r="AX11" s="287">
        <f t="shared" si="21"/>
        <v>25.3</v>
      </c>
      <c r="AY11" s="234">
        <f t="shared" si="22"/>
        <v>27</v>
      </c>
      <c r="AZ11" s="236"/>
      <c r="BA11" s="236"/>
      <c r="BC11" s="234">
        <f t="shared" ca="1" si="23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8"/>
        <v>A-</v>
      </c>
      <c r="BH11" s="240">
        <f t="shared" ca="1" si="8"/>
        <v>20</v>
      </c>
      <c r="BI11" s="240" t="str">
        <f t="shared" ca="1" si="8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6</v>
      </c>
      <c r="M12" s="296">
        <f t="shared" si="10"/>
        <v>0.10909090909090909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3</v>
      </c>
      <c r="S12" s="296">
        <f t="shared" ca="1" si="14"/>
        <v>0.17647058823529413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6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4"/>
        <v>12</v>
      </c>
      <c r="AK12" s="236" t="str">
        <f t="shared" ca="1" si="19"/>
        <v>A-</v>
      </c>
      <c r="AL12" s="236">
        <f t="shared" ca="1" si="19"/>
        <v>20</v>
      </c>
      <c r="AM12" s="236" t="str">
        <f t="shared" ca="1" si="5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0"/>
        <v>25</v>
      </c>
      <c r="AW12" s="234">
        <f>COUNTIF( AV$7:AV12, AV12 )</f>
        <v>4</v>
      </c>
      <c r="AX12" s="287">
        <f t="shared" si="21"/>
        <v>25.4</v>
      </c>
      <c r="AY12" s="234">
        <f t="shared" si="22"/>
        <v>28</v>
      </c>
      <c r="AZ12" s="236"/>
      <c r="BA12" s="236"/>
      <c r="BC12" s="234">
        <f t="shared" ca="1" si="23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8"/>
        <v>A-</v>
      </c>
      <c r="BH12" s="240">
        <f t="shared" ca="1" si="8"/>
        <v>20</v>
      </c>
      <c r="BI12" s="240" t="str">
        <f t="shared" ca="1" si="8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3</v>
      </c>
      <c r="M13" s="298">
        <f t="shared" si="10"/>
        <v>5.4545454545454543E-2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1</v>
      </c>
      <c r="V13" s="298">
        <f t="shared" ca="1" si="16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4"/>
        <v>13</v>
      </c>
      <c r="AK13" s="236" t="str">
        <f t="shared" ca="1" si="19"/>
        <v>A-</v>
      </c>
      <c r="AL13" s="236">
        <f t="shared" ca="1" si="19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0"/>
        <v>2</v>
      </c>
      <c r="AW13" s="234">
        <f>COUNTIF( AV$7:AV13, AV13 )</f>
        <v>2</v>
      </c>
      <c r="AX13" s="287">
        <f t="shared" si="21"/>
        <v>2.2000000000000002</v>
      </c>
      <c r="AY13" s="234">
        <f t="shared" si="22"/>
        <v>3</v>
      </c>
      <c r="AZ13" s="236"/>
      <c r="BA13" s="236"/>
      <c r="BC13" s="234">
        <f t="shared" ca="1" si="23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8"/>
        <v>A-</v>
      </c>
      <c r="BH13" s="240">
        <f t="shared" ca="1" si="8"/>
        <v>20</v>
      </c>
      <c r="BI13" s="240" t="str">
        <f t="shared" ca="1" si="8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18.509090909090908</v>
      </c>
      <c r="Z14" s="261"/>
      <c r="AA14" s="377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4"/>
        <v>14</v>
      </c>
      <c r="AK14" s="236" t="str">
        <f t="shared" ca="1" si="19"/>
        <v>A-</v>
      </c>
      <c r="AL14" s="236">
        <f t="shared" ca="1" si="19"/>
        <v>20</v>
      </c>
      <c r="AM14" s="236" t="str">
        <f t="shared" ca="1" si="5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13</v>
      </c>
      <c r="AW14" s="234">
        <f>COUNTIF( AV$7:AV14, AV14 )</f>
        <v>2</v>
      </c>
      <c r="AX14" s="287">
        <f t="shared" si="21"/>
        <v>13.2</v>
      </c>
      <c r="AY14" s="234">
        <f t="shared" si="22"/>
        <v>14</v>
      </c>
      <c r="AZ14" s="236"/>
      <c r="BA14" s="236"/>
      <c r="BC14" s="234">
        <f t="shared" ca="1" si="23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8"/>
        <v>A-</v>
      </c>
      <c r="BH14" s="240">
        <f t="shared" ca="1" si="8"/>
        <v>20</v>
      </c>
      <c r="BI14" s="240" t="str">
        <f t="shared" ca="1" si="8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4"/>
        <v>15</v>
      </c>
      <c r="AK15" s="236" t="str">
        <f t="shared" ca="1" si="19"/>
        <v>A-</v>
      </c>
      <c r="AL15" s="236">
        <f t="shared" ca="1" si="19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0"/>
        <v>25</v>
      </c>
      <c r="AW15" s="234">
        <f>COUNTIF( AV$7:AV15, AV15 )</f>
        <v>5</v>
      </c>
      <c r="AX15" s="287">
        <f t="shared" si="21"/>
        <v>25.5</v>
      </c>
      <c r="AY15" s="234">
        <f t="shared" si="22"/>
        <v>29</v>
      </c>
      <c r="AZ15" s="236"/>
      <c r="BA15" s="236"/>
      <c r="BC15" s="234">
        <f t="shared" ca="1" si="23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8"/>
        <v>A-</v>
      </c>
      <c r="BH15" s="240">
        <f t="shared" ca="1" si="8"/>
        <v>20</v>
      </c>
      <c r="BI15" s="240" t="str">
        <f t="shared" ca="1" si="8"/>
        <v>OGE</v>
      </c>
    </row>
    <row r="16" spans="1:61" ht="14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18.399999999999999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18.361111111111111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14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4"/>
        <v>16</v>
      </c>
      <c r="AK16" s="236" t="str">
        <f t="shared" ca="1" si="19"/>
        <v>A-</v>
      </c>
      <c r="AL16" s="236">
        <f t="shared" ca="1" si="19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0"/>
        <v>2</v>
      </c>
      <c r="AW16" s="234">
        <f>COUNTIF( AV$7:AV16, AV16 )</f>
        <v>3</v>
      </c>
      <c r="AX16" s="287">
        <f t="shared" si="21"/>
        <v>2.2999999999999998</v>
      </c>
      <c r="AY16" s="234">
        <f t="shared" si="22"/>
        <v>4</v>
      </c>
      <c r="AZ16" s="236"/>
      <c r="BA16" s="236"/>
      <c r="BC16" s="234">
        <f t="shared" ca="1" si="23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8"/>
        <v>A-</v>
      </c>
      <c r="BH16" s="240">
        <f t="shared" ca="1" si="8"/>
        <v>20</v>
      </c>
      <c r="BI16" s="240" t="str">
        <f t="shared" ca="1" si="8"/>
        <v>VVC</v>
      </c>
    </row>
    <row r="17" spans="1:61" ht="14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4"/>
        <v>17</v>
      </c>
      <c r="AK17" s="236" t="str">
        <f t="shared" ca="1" si="19"/>
        <v>A-</v>
      </c>
      <c r="AL17" s="236">
        <f t="shared" ca="1" si="19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0"/>
        <v>2</v>
      </c>
      <c r="AW17" s="234">
        <f>COUNTIF( AV$7:AV17, AV17 )</f>
        <v>4</v>
      </c>
      <c r="AX17" s="287">
        <f t="shared" si="21"/>
        <v>2.4</v>
      </c>
      <c r="AY17" s="234">
        <f t="shared" si="22"/>
        <v>5</v>
      </c>
      <c r="AZ17" s="236"/>
      <c r="BA17" s="236"/>
      <c r="BC17" s="234">
        <f t="shared" ca="1" si="23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8"/>
        <v>A-</v>
      </c>
      <c r="BH17" s="240">
        <f t="shared" ca="1" si="8"/>
        <v>20</v>
      </c>
      <c r="BI17" s="240" t="str">
        <f t="shared" ca="1" si="8"/>
        <v>WEC</v>
      </c>
    </row>
    <row r="18" spans="1:61" ht="14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4"/>
        <v>18</v>
      </c>
      <c r="AK18" s="236" t="str">
        <f t="shared" ca="1" si="19"/>
        <v>A-</v>
      </c>
      <c r="AL18" s="236">
        <f t="shared" ca="1" si="19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0"/>
        <v>52</v>
      </c>
      <c r="AW18" s="234">
        <f>COUNTIF( AV$7:AV18, AV18 )</f>
        <v>1</v>
      </c>
      <c r="AX18" s="287">
        <f t="shared" si="21"/>
        <v>52.1</v>
      </c>
      <c r="AY18" s="234">
        <f t="shared" si="22"/>
        <v>52</v>
      </c>
      <c r="AZ18" s="236"/>
      <c r="BA18" s="236"/>
      <c r="BC18" s="234">
        <f t="shared" ca="1" si="23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8"/>
        <v>A-</v>
      </c>
      <c r="BH18" s="240">
        <f t="shared" ca="1" si="8"/>
        <v>20</v>
      </c>
      <c r="BI18" s="240" t="str">
        <f t="shared" ca="1" si="8"/>
        <v>XEL</v>
      </c>
    </row>
    <row r="19" spans="1:61" ht="14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4"/>
        <v>19</v>
      </c>
      <c r="AK19" s="236" t="str">
        <f t="shared" ca="1" si="19"/>
        <v>BBB+</v>
      </c>
      <c r="AL19" s="236">
        <f t="shared" ca="1" si="19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0"/>
        <v>13</v>
      </c>
      <c r="AW19" s="234">
        <f>COUNTIF( AV$7:AV19, AV19 )</f>
        <v>3</v>
      </c>
      <c r="AX19" s="287">
        <f t="shared" si="21"/>
        <v>13.3</v>
      </c>
      <c r="AY19" s="234">
        <f t="shared" si="22"/>
        <v>15</v>
      </c>
      <c r="AZ19" s="236"/>
      <c r="BA19" s="236"/>
      <c r="BC19" s="234">
        <f t="shared" ca="1" si="23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8"/>
        <v>BBB+</v>
      </c>
      <c r="BH19" s="240">
        <f t="shared" ca="1" si="8"/>
        <v>19</v>
      </c>
      <c r="BI19" s="240" t="str">
        <f t="shared" ca="1" si="8"/>
        <v>ALE</v>
      </c>
    </row>
    <row r="20" spans="1:61" ht="14">
      <c r="A20" s="303" t="s">
        <v>30</v>
      </c>
      <c r="B20" s="304" t="s">
        <v>16</v>
      </c>
      <c r="C20" s="304">
        <v>19</v>
      </c>
      <c r="D20" s="304" t="s">
        <v>284</v>
      </c>
      <c r="E20" s="305" t="str">
        <f t="shared" ca="1" si="0"/>
        <v>R</v>
      </c>
      <c r="F20" s="306"/>
      <c r="G20" s="307">
        <f t="shared" ca="1" si="1"/>
        <v>14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>
        <f t="shared" ca="1" si="3"/>
        <v>1</v>
      </c>
      <c r="AH20" s="236" t="str">
        <f t="shared" ca="1" si="18"/>
        <v/>
      </c>
      <c r="AJ20" s="236">
        <f t="shared" ca="1" si="4"/>
        <v>33</v>
      </c>
      <c r="AK20" s="236" t="str">
        <f t="shared" ca="1" si="19"/>
        <v>BBB</v>
      </c>
      <c r="AL20" s="236">
        <f t="shared" ca="1" si="19"/>
        <v>18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0"/>
        <v>13</v>
      </c>
      <c r="AW20" s="234">
        <f>COUNTIF( AV$7:AV20, AV20 )</f>
        <v>4</v>
      </c>
      <c r="AX20" s="287">
        <f t="shared" si="21"/>
        <v>13.4</v>
      </c>
      <c r="AY20" s="234">
        <f t="shared" si="22"/>
        <v>16</v>
      </c>
      <c r="AZ20" s="236"/>
      <c r="BA20" s="236"/>
      <c r="BC20" s="234">
        <f t="shared" ca="1" si="23"/>
        <v>14</v>
      </c>
      <c r="BD20" s="288">
        <f t="shared" ca="1" si="7"/>
        <v>8</v>
      </c>
      <c r="BF20" s="240" t="str">
        <f t="shared" ca="1" si="8"/>
        <v>Cleco Corporation</v>
      </c>
      <c r="BG20" s="240" t="str">
        <f t="shared" ca="1" si="8"/>
        <v>BBB+</v>
      </c>
      <c r="BH20" s="240">
        <f t="shared" ca="1" si="8"/>
        <v>19</v>
      </c>
      <c r="BI20" s="240" t="str">
        <f t="shared" ca="1" si="8"/>
        <v>CNL</v>
      </c>
    </row>
    <row r="21" spans="1:61" ht="14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18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4"/>
        <v>20</v>
      </c>
      <c r="AK21" s="236" t="str">
        <f t="shared" ca="1" si="19"/>
        <v>BBB+</v>
      </c>
      <c r="AL21" s="236">
        <f t="shared" ca="1" si="19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0"/>
        <v>45</v>
      </c>
      <c r="AW21" s="234">
        <f>COUNTIF( AV$7:AV21, AV21 )</f>
        <v>1</v>
      </c>
      <c r="AX21" s="287">
        <f t="shared" si="21"/>
        <v>45.1</v>
      </c>
      <c r="AY21" s="234">
        <f t="shared" si="22"/>
        <v>45</v>
      </c>
      <c r="AZ21" s="236"/>
      <c r="BA21" s="236"/>
      <c r="BC21" s="234">
        <f t="shared" ca="1" si="23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8"/>
        <v>BBB+</v>
      </c>
      <c r="BH21" s="240">
        <f t="shared" ca="1" si="8"/>
        <v>19</v>
      </c>
      <c r="BI21" s="240" t="str">
        <f t="shared" ca="1" si="8"/>
        <v>DTE</v>
      </c>
    </row>
    <row r="22" spans="1:61" ht="14">
      <c r="A22" s="303" t="s">
        <v>32</v>
      </c>
      <c r="B22" s="304" t="s">
        <v>16</v>
      </c>
      <c r="C22" s="304">
        <v>19</v>
      </c>
      <c r="D22" s="304" t="s">
        <v>289</v>
      </c>
      <c r="E22" s="305" t="str">
        <f t="shared" ca="1" si="0"/>
        <v>R</v>
      </c>
      <c r="F22" s="306"/>
      <c r="G22" s="307">
        <f t="shared" ca="1" si="1"/>
        <v>19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4"/>
        <v>21</v>
      </c>
      <c r="AK22" s="236" t="str">
        <f t="shared" ca="1" si="19"/>
        <v>BBB+</v>
      </c>
      <c r="AL22" s="236">
        <f t="shared" ca="1" si="19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0"/>
        <v>25</v>
      </c>
      <c r="AW22" s="234">
        <f>COUNTIF( AV$7:AV22, AV22 )</f>
        <v>6</v>
      </c>
      <c r="AX22" s="287">
        <f t="shared" si="21"/>
        <v>25.6</v>
      </c>
      <c r="AY22" s="234">
        <f t="shared" si="22"/>
        <v>30</v>
      </c>
      <c r="AZ22" s="236"/>
      <c r="BA22" s="236"/>
      <c r="BC22" s="234">
        <f t="shared" ca="1" si="23"/>
        <v>16</v>
      </c>
      <c r="BD22" s="288">
        <f t="shared" ca="1" si="7"/>
        <v>14</v>
      </c>
      <c r="BF22" s="240" t="str">
        <f t="shared" ca="1" si="8"/>
        <v>Duke Energy Corporation</v>
      </c>
      <c r="BG22" s="240" t="str">
        <f t="shared" ca="1" si="8"/>
        <v>BBB+</v>
      </c>
      <c r="BH22" s="240">
        <f t="shared" ca="1" si="8"/>
        <v>19</v>
      </c>
      <c r="BI22" s="240" t="str">
        <f t="shared" ca="1" si="8"/>
        <v>DUK</v>
      </c>
    </row>
    <row r="23" spans="1:61" ht="14">
      <c r="A23" s="303" t="s">
        <v>12</v>
      </c>
      <c r="B23" s="304" t="s">
        <v>16</v>
      </c>
      <c r="C23" s="304">
        <v>19</v>
      </c>
      <c r="D23" s="304" t="s">
        <v>308</v>
      </c>
      <c r="E23" s="305" t="str">
        <f t="shared" ca="1" si="0"/>
        <v>D</v>
      </c>
      <c r="F23" s="306"/>
      <c r="G23" s="307">
        <f t="shared" ca="1" si="1"/>
        <v>30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4"/>
        <v>22</v>
      </c>
      <c r="AK23" s="236" t="str">
        <f t="shared" ca="1" si="19"/>
        <v>BBB+</v>
      </c>
      <c r="AL23" s="236">
        <f t="shared" ca="1" si="19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0"/>
        <v>25</v>
      </c>
      <c r="AW23" s="234">
        <f>COUNTIF( AV$7:AV23, AV23 )</f>
        <v>7</v>
      </c>
      <c r="AX23" s="287">
        <f t="shared" si="21"/>
        <v>25.7</v>
      </c>
      <c r="AY23" s="234">
        <f t="shared" si="22"/>
        <v>31</v>
      </c>
      <c r="AZ23" s="236"/>
      <c r="BA23" s="236"/>
      <c r="BC23" s="234">
        <f t="shared" ca="1" si="23"/>
        <v>17</v>
      </c>
      <c r="BD23" s="288">
        <f t="shared" ca="1" si="7"/>
        <v>28</v>
      </c>
      <c r="BF23" s="240" t="str">
        <f t="shared" ca="1" si="8"/>
        <v>MDU Resources Group, Inc.</v>
      </c>
      <c r="BG23" s="240" t="str">
        <f t="shared" ca="1" si="8"/>
        <v>BBB+</v>
      </c>
      <c r="BH23" s="240">
        <f t="shared" ca="1" si="8"/>
        <v>19</v>
      </c>
      <c r="BI23" s="240" t="str">
        <f t="shared" ca="1" si="8"/>
        <v>MDU</v>
      </c>
    </row>
    <row r="24" spans="1:61" ht="14">
      <c r="A24" s="303" t="s">
        <v>52</v>
      </c>
      <c r="B24" s="304" t="s">
        <v>16</v>
      </c>
      <c r="C24" s="304">
        <v>19</v>
      </c>
      <c r="D24" s="304" t="s">
        <v>446</v>
      </c>
      <c r="E24" s="305" t="str">
        <f t="shared" ca="1" si="0"/>
        <v>MR</v>
      </c>
      <c r="F24" s="306"/>
      <c r="G24" s="307">
        <f t="shared" ca="1" si="1"/>
        <v>62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4"/>
        <v>23</v>
      </c>
      <c r="AK24" s="236" t="str">
        <f t="shared" ca="1" si="19"/>
        <v>BBB+</v>
      </c>
      <c r="AL24" s="236">
        <f t="shared" ca="1" si="19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0"/>
        <v>53</v>
      </c>
      <c r="AW24" s="234">
        <f>COUNTIF( AV$7:AV24, AV24 )</f>
        <v>1</v>
      </c>
      <c r="AX24" s="287">
        <f t="shared" si="21"/>
        <v>53.1</v>
      </c>
      <c r="AY24" s="234">
        <f t="shared" si="22"/>
        <v>53</v>
      </c>
      <c r="AZ24" s="236"/>
      <c r="BA24" s="236"/>
      <c r="BC24" s="234">
        <f t="shared" ca="1" si="23"/>
        <v>18</v>
      </c>
      <c r="BD24" s="288">
        <f t="shared" ca="1" si="7"/>
        <v>29</v>
      </c>
      <c r="BF24" s="240" t="str">
        <f t="shared" ca="1" si="8"/>
        <v>MidAmerican Energy Holdings Company</v>
      </c>
      <c r="BG24" s="240" t="str">
        <f t="shared" ca="1" si="8"/>
        <v>BBB+</v>
      </c>
      <c r="BH24" s="240">
        <f t="shared" ca="1" si="8"/>
        <v>19</v>
      </c>
      <c r="BI24" s="240" t="str">
        <f t="shared" ca="1" si="8"/>
        <v>**BRK</v>
      </c>
    </row>
    <row r="25" spans="1:61" ht="14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39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4"/>
        <v>24</v>
      </c>
      <c r="AK25" s="236" t="str">
        <f t="shared" ca="1" si="19"/>
        <v>BBB+</v>
      </c>
      <c r="AL25" s="236">
        <f t="shared" ca="1" si="19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0"/>
        <v>25</v>
      </c>
      <c r="AW25" s="234">
        <f>COUNTIF( AV$7:AV25, AV25 )</f>
        <v>8</v>
      </c>
      <c r="AX25" s="287">
        <f t="shared" si="21"/>
        <v>25.8</v>
      </c>
      <c r="AY25" s="234">
        <f t="shared" si="22"/>
        <v>32</v>
      </c>
      <c r="AZ25" s="236"/>
      <c r="BA25" s="236"/>
      <c r="BC25" s="234">
        <f t="shared" ca="1" si="23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8"/>
        <v>BBB+</v>
      </c>
      <c r="BH25" s="240">
        <f t="shared" ca="1" si="8"/>
        <v>19</v>
      </c>
      <c r="BI25" s="240" t="str">
        <f t="shared" ca="1" si="8"/>
        <v>POM</v>
      </c>
    </row>
    <row r="26" spans="1:61" ht="14">
      <c r="A26" s="303" t="s">
        <v>41</v>
      </c>
      <c r="B26" s="304" t="s">
        <v>16</v>
      </c>
      <c r="C26" s="304">
        <v>19</v>
      </c>
      <c r="D26" s="304" t="s">
        <v>321</v>
      </c>
      <c r="E26" s="305" t="str">
        <f t="shared" ca="1" si="0"/>
        <v>R</v>
      </c>
      <c r="F26" s="306"/>
      <c r="G26" s="307">
        <f t="shared" ca="1" si="1"/>
        <v>41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4"/>
        <v>25</v>
      </c>
      <c r="AK26" s="236" t="str">
        <f t="shared" ca="1" si="19"/>
        <v>BBB+</v>
      </c>
      <c r="AL26" s="236">
        <f t="shared" ca="1" si="19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0"/>
        <v>25</v>
      </c>
      <c r="AW26" s="234">
        <f>COUNTIF( AV$7:AV26, AV26 )</f>
        <v>9</v>
      </c>
      <c r="AX26" s="287">
        <f t="shared" si="21"/>
        <v>25.9</v>
      </c>
      <c r="AY26" s="234">
        <f t="shared" si="22"/>
        <v>33</v>
      </c>
      <c r="AZ26" s="236"/>
      <c r="BA26" s="236"/>
      <c r="BC26" s="234">
        <f t="shared" ca="1" si="23"/>
        <v>20</v>
      </c>
      <c r="BD26" s="288">
        <f t="shared" ca="1" si="7"/>
        <v>39</v>
      </c>
      <c r="BF26" s="240" t="str">
        <f t="shared" ca="1" si="8"/>
        <v>Pinnacle West Capital Corporation</v>
      </c>
      <c r="BG26" s="240" t="str">
        <f t="shared" ca="1" si="8"/>
        <v>BBB+</v>
      </c>
      <c r="BH26" s="240">
        <f t="shared" ca="1" si="8"/>
        <v>19</v>
      </c>
      <c r="BI26" s="240" t="str">
        <f t="shared" ca="1" si="8"/>
        <v>PNW</v>
      </c>
    </row>
    <row r="27" spans="1:61" ht="14">
      <c r="A27" s="303" t="s">
        <v>45</v>
      </c>
      <c r="B27" s="304" t="s">
        <v>16</v>
      </c>
      <c r="C27" s="304">
        <v>19</v>
      </c>
      <c r="D27" s="304" t="s">
        <v>318</v>
      </c>
      <c r="E27" s="305" t="str">
        <f t="shared" ca="1" si="0"/>
        <v>MR</v>
      </c>
      <c r="F27" s="306"/>
      <c r="G27" s="307">
        <f t="shared" ca="1" si="1"/>
        <v>45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4"/>
        <v>26</v>
      </c>
      <c r="AK27" s="236" t="str">
        <f t="shared" ca="1" si="19"/>
        <v>BBB+</v>
      </c>
      <c r="AL27" s="236">
        <f t="shared" ca="1" si="19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0"/>
        <v>45</v>
      </c>
      <c r="AW27" s="234">
        <f>COUNTIF( AV$7:AV27, AV27 )</f>
        <v>2</v>
      </c>
      <c r="AX27" s="287">
        <f t="shared" si="21"/>
        <v>45.2</v>
      </c>
      <c r="AY27" s="234">
        <f t="shared" si="22"/>
        <v>46</v>
      </c>
      <c r="AZ27" s="236"/>
      <c r="BA27" s="236"/>
      <c r="BC27" s="234">
        <f t="shared" ca="1" si="23"/>
        <v>21</v>
      </c>
      <c r="BD27" s="288">
        <f t="shared" ca="1" si="7"/>
        <v>43</v>
      </c>
      <c r="BF27" s="240" t="str">
        <f t="shared" ca="1" si="8"/>
        <v>Public Service Enterprise Group Incorporated</v>
      </c>
      <c r="BG27" s="240" t="str">
        <f t="shared" ca="1" si="8"/>
        <v>BBB+</v>
      </c>
      <c r="BH27" s="240">
        <f t="shared" ca="1" si="8"/>
        <v>19</v>
      </c>
      <c r="BI27" s="240" t="str">
        <f t="shared" ca="1" si="8"/>
        <v>PEG</v>
      </c>
    </row>
    <row r="28" spans="1:61" ht="14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46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4"/>
        <v>27</v>
      </c>
      <c r="AK28" s="236" t="str">
        <f t="shared" ca="1" si="19"/>
        <v>BBB+</v>
      </c>
      <c r="AL28" s="236">
        <f t="shared" ca="1" si="19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0"/>
        <v>25</v>
      </c>
      <c r="AW28" s="234">
        <f>COUNTIF( AV$7:AV28, AV28 )</f>
        <v>10</v>
      </c>
      <c r="AX28" s="287">
        <f t="shared" si="21"/>
        <v>26</v>
      </c>
      <c r="AY28" s="234">
        <f t="shared" si="22"/>
        <v>34</v>
      </c>
      <c r="AZ28" s="236"/>
      <c r="BA28" s="236"/>
      <c r="BC28" s="234">
        <f t="shared" ca="1" si="23"/>
        <v>22</v>
      </c>
      <c r="BD28" s="288">
        <f t="shared" ca="1" si="7"/>
        <v>45</v>
      </c>
      <c r="BF28" s="240" t="str">
        <f t="shared" ca="1" si="8"/>
        <v>SCANA Corporation</v>
      </c>
      <c r="BG28" s="240" t="str">
        <f t="shared" ca="1" si="8"/>
        <v>BBB+</v>
      </c>
      <c r="BH28" s="240">
        <f t="shared" ca="1" si="8"/>
        <v>19</v>
      </c>
      <c r="BI28" s="240" t="str">
        <f t="shared" ca="1" si="8"/>
        <v>SCG</v>
      </c>
    </row>
    <row r="29" spans="1:61" ht="14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47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4"/>
        <v>28</v>
      </c>
      <c r="AK29" s="236" t="str">
        <f t="shared" ca="1" si="19"/>
        <v>BBB+</v>
      </c>
      <c r="AL29" s="236">
        <f t="shared" ca="1" si="19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0"/>
        <v>45</v>
      </c>
      <c r="AW29" s="234">
        <f>COUNTIF( AV$7:AV29, AV29 )</f>
        <v>3</v>
      </c>
      <c r="AX29" s="287">
        <f t="shared" si="21"/>
        <v>45.3</v>
      </c>
      <c r="AY29" s="234">
        <f t="shared" si="22"/>
        <v>47</v>
      </c>
      <c r="AZ29" s="236"/>
      <c r="BA29" s="236"/>
      <c r="BC29" s="234">
        <f t="shared" ca="1" si="23"/>
        <v>23</v>
      </c>
      <c r="BD29" s="288">
        <f t="shared" ca="1" si="7"/>
        <v>46</v>
      </c>
      <c r="BF29" s="240" t="str">
        <f t="shared" ca="1" si="8"/>
        <v>Sempra Energy</v>
      </c>
      <c r="BG29" s="240" t="str">
        <f t="shared" ca="1" si="8"/>
        <v>BBB+</v>
      </c>
      <c r="BH29" s="240">
        <f t="shared" ca="1" si="8"/>
        <v>19</v>
      </c>
      <c r="BI29" s="240" t="str">
        <f t="shared" ca="1" si="8"/>
        <v>SRE</v>
      </c>
    </row>
    <row r="30" spans="1:61" ht="14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49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4"/>
        <v>29</v>
      </c>
      <c r="AK30" s="236" t="str">
        <f t="shared" ca="1" si="19"/>
        <v>BBB+</v>
      </c>
      <c r="AL30" s="236">
        <f t="shared" ca="1" si="19"/>
        <v>19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0"/>
        <v>25</v>
      </c>
      <c r="AW30" s="234">
        <f>COUNTIF( AV$7:AV30, AV30 )</f>
        <v>11</v>
      </c>
      <c r="AX30" s="287">
        <f t="shared" si="21"/>
        <v>26.1</v>
      </c>
      <c r="AY30" s="234">
        <f t="shared" si="22"/>
        <v>35</v>
      </c>
      <c r="AZ30" s="236"/>
      <c r="BA30" s="236"/>
      <c r="BC30" s="234">
        <f t="shared" ca="1" si="23"/>
        <v>24</v>
      </c>
      <c r="BD30" s="288">
        <f t="shared" ca="1" si="7"/>
        <v>48</v>
      </c>
      <c r="BF30" s="240" t="str">
        <f t="shared" ca="1" si="8"/>
        <v>TECO Energy, Inc.</v>
      </c>
      <c r="BG30" s="240" t="str">
        <f t="shared" ca="1" si="8"/>
        <v>BBB+</v>
      </c>
      <c r="BH30" s="240">
        <f t="shared" ca="1" si="8"/>
        <v>19</v>
      </c>
      <c r="BI30" s="240" t="str">
        <f t="shared" ca="1" si="8"/>
        <v>TE</v>
      </c>
    </row>
    <row r="31" spans="1:61" ht="14">
      <c r="A31" s="303" t="s">
        <v>9</v>
      </c>
      <c r="B31" s="304" t="s">
        <v>28</v>
      </c>
      <c r="C31" s="304">
        <v>18</v>
      </c>
      <c r="D31" s="304" t="s">
        <v>273</v>
      </c>
      <c r="E31" s="305" t="str">
        <f t="shared" ca="1" si="0"/>
        <v>R</v>
      </c>
      <c r="F31" s="306"/>
      <c r="G31" s="307">
        <f t="shared" ca="1" si="1"/>
        <v>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4"/>
        <v>30</v>
      </c>
      <c r="AK31" s="236" t="str">
        <f t="shared" ca="1" si="19"/>
        <v>BBB</v>
      </c>
      <c r="AL31" s="236">
        <f t="shared" ca="1" si="19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0"/>
        <v>25</v>
      </c>
      <c r="AW31" s="234">
        <f>COUNTIF( AV$7:AV31, AV31 )</f>
        <v>12</v>
      </c>
      <c r="AX31" s="287">
        <f t="shared" si="21"/>
        <v>26.2</v>
      </c>
      <c r="AY31" s="234">
        <f t="shared" si="22"/>
        <v>36</v>
      </c>
      <c r="AZ31" s="236"/>
      <c r="BA31" s="236"/>
      <c r="BC31" s="234">
        <f t="shared" ca="1" si="23"/>
        <v>25</v>
      </c>
      <c r="BD31" s="288">
        <f t="shared" ca="1" si="7"/>
        <v>3</v>
      </c>
      <c r="BF31" s="240" t="str">
        <f t="shared" ca="1" si="8"/>
        <v>Ameren Corporation</v>
      </c>
      <c r="BG31" s="240" t="str">
        <f t="shared" ca="1" si="8"/>
        <v>BBB</v>
      </c>
      <c r="BH31" s="240">
        <f t="shared" ca="1" si="8"/>
        <v>18</v>
      </c>
      <c r="BI31" s="240" t="str">
        <f t="shared" ca="1" si="8"/>
        <v>AEE</v>
      </c>
    </row>
    <row r="32" spans="1:61" ht="14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0"/>
        <v>R</v>
      </c>
      <c r="F32" s="306"/>
      <c r="G32" s="307">
        <f t="shared" ca="1" si="1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4"/>
        <v>31</v>
      </c>
      <c r="AK32" s="236" t="str">
        <f t="shared" ca="1" si="19"/>
        <v>BBB</v>
      </c>
      <c r="AL32" s="236">
        <f t="shared" ca="1" si="19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9" t="s">
        <v>330</v>
      </c>
      <c r="AV32" s="234">
        <f t="shared" si="20"/>
        <v>2</v>
      </c>
      <c r="AW32" s="234">
        <f>COUNTIF( AV$7:AV32, AV32 )</f>
        <v>5</v>
      </c>
      <c r="AX32" s="287">
        <f t="shared" si="21"/>
        <v>2.5</v>
      </c>
      <c r="AY32" s="234">
        <f t="shared" si="22"/>
        <v>6</v>
      </c>
      <c r="AZ32" s="236"/>
      <c r="BA32" s="236"/>
      <c r="BC32" s="234">
        <f t="shared" ca="1" si="23"/>
        <v>26</v>
      </c>
      <c r="BD32" s="288">
        <f t="shared" ca="1" si="7"/>
        <v>4</v>
      </c>
      <c r="BF32" s="240" t="str">
        <f t="shared" ca="1" si="8"/>
        <v>American Electric Power Company, Inc.</v>
      </c>
      <c r="BG32" s="240" t="str">
        <f t="shared" ca="1" si="8"/>
        <v>BBB</v>
      </c>
      <c r="BH32" s="240">
        <f t="shared" ca="1" si="8"/>
        <v>18</v>
      </c>
      <c r="BI32" s="240" t="str">
        <f t="shared" ca="1" si="8"/>
        <v>AEP</v>
      </c>
    </row>
    <row r="33" spans="1:61" ht="14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0"/>
        <v>R</v>
      </c>
      <c r="F33" s="306"/>
      <c r="G33" s="307">
        <f t="shared" ca="1" si="1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4"/>
        <v>32</v>
      </c>
      <c r="AK33" s="236" t="str">
        <f t="shared" ca="1" si="19"/>
        <v>BBB</v>
      </c>
      <c r="AL33" s="236">
        <f t="shared" ca="1" si="19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0"/>
        <v>45</v>
      </c>
      <c r="AW33" s="234">
        <f>COUNTIF( AV$7:AV33, AV33 )</f>
        <v>4</v>
      </c>
      <c r="AX33" s="287">
        <f t="shared" si="21"/>
        <v>45.4</v>
      </c>
      <c r="AY33" s="234">
        <f t="shared" si="22"/>
        <v>48</v>
      </c>
      <c r="AZ33" s="236"/>
      <c r="BA33" s="236"/>
      <c r="BC33" s="234">
        <f t="shared" ca="1" si="23"/>
        <v>27</v>
      </c>
      <c r="BD33" s="288">
        <f t="shared" ca="1" si="7"/>
        <v>5</v>
      </c>
      <c r="BF33" s="240" t="str">
        <f t="shared" ca="1" si="8"/>
        <v>Avista Corporation</v>
      </c>
      <c r="BG33" s="240" t="str">
        <f t="shared" ca="1" si="8"/>
        <v>BBB</v>
      </c>
      <c r="BH33" s="240">
        <f t="shared" ca="1" si="8"/>
        <v>18</v>
      </c>
      <c r="BI33" s="240" t="str">
        <f t="shared" ca="1" si="8"/>
        <v>AVA</v>
      </c>
    </row>
    <row r="34" spans="1:61" ht="14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0"/>
        <v>R</v>
      </c>
      <c r="F34" s="306"/>
      <c r="G34" s="307">
        <f t="shared" ca="1" si="1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>
        <f t="shared" ca="1" si="3"/>
        <v>1</v>
      </c>
      <c r="AH34" s="236" t="str">
        <f t="shared" ca="1" si="18"/>
        <v/>
      </c>
      <c r="AJ34" s="236">
        <f t="shared" ca="1" si="4"/>
        <v>50</v>
      </c>
      <c r="AK34" s="236" t="str">
        <f t="shared" ca="1" si="19"/>
        <v>BBB-</v>
      </c>
      <c r="AL34" s="236">
        <f t="shared" ca="1" si="19"/>
        <v>17</v>
      </c>
      <c r="AM34" s="236" t="str">
        <f t="shared" ca="1" si="5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0"/>
        <v>13</v>
      </c>
      <c r="AW34" s="234">
        <f>COUNTIF( AV$7:AV34, AV34 )</f>
        <v>5</v>
      </c>
      <c r="AX34" s="287">
        <f t="shared" si="21"/>
        <v>13.5</v>
      </c>
      <c r="AY34" s="234">
        <f t="shared" si="22"/>
        <v>17</v>
      </c>
      <c r="AZ34" s="236"/>
      <c r="BA34" s="236"/>
      <c r="BC34" s="234">
        <f t="shared" ca="1" si="23"/>
        <v>28</v>
      </c>
      <c r="BD34" s="288">
        <f t="shared" ca="1" si="7"/>
        <v>6</v>
      </c>
      <c r="BF34" s="240" t="str">
        <f t="shared" ca="1" si="8"/>
        <v>Black Hills Corporation</v>
      </c>
      <c r="BG34" s="240" t="str">
        <f t="shared" ca="1" si="8"/>
        <v>BBB</v>
      </c>
      <c r="BH34" s="240">
        <f t="shared" ca="1" si="8"/>
        <v>18</v>
      </c>
      <c r="BI34" s="240" t="str">
        <f t="shared" ca="1" si="8"/>
        <v>BKH</v>
      </c>
    </row>
    <row r="35" spans="1:61" ht="14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0"/>
        <v>R</v>
      </c>
      <c r="F35" s="306"/>
      <c r="G35" s="307">
        <f t="shared" ca="1" si="1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4"/>
        <v>34</v>
      </c>
      <c r="AK35" s="236" t="str">
        <f t="shared" ca="1" si="19"/>
        <v>BBB</v>
      </c>
      <c r="AL35" s="236">
        <f t="shared" ca="1" si="19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0"/>
        <v>13</v>
      </c>
      <c r="AW35" s="234">
        <f>COUNTIF( AV$7:AV35, AV35 )</f>
        <v>6</v>
      </c>
      <c r="AX35" s="287">
        <f t="shared" si="21"/>
        <v>13.6</v>
      </c>
      <c r="AY35" s="234">
        <f t="shared" si="22"/>
        <v>18</v>
      </c>
      <c r="AZ35" s="236"/>
      <c r="BA35" s="236"/>
      <c r="BC35" s="234">
        <f t="shared" ca="1" si="23"/>
        <v>29</v>
      </c>
      <c r="BD35" s="288">
        <f t="shared" ca="1" si="7"/>
        <v>9</v>
      </c>
      <c r="BF35" s="240" t="str">
        <f t="shared" ca="1" si="8"/>
        <v>CMS Energy Corporation</v>
      </c>
      <c r="BG35" s="240" t="str">
        <f t="shared" ca="1" si="8"/>
        <v>BBB</v>
      </c>
      <c r="BH35" s="240">
        <f t="shared" ca="1" si="8"/>
        <v>18</v>
      </c>
      <c r="BI35" s="240" t="str">
        <f t="shared" ca="1" si="8"/>
        <v>CMS</v>
      </c>
    </row>
    <row r="36" spans="1:61" ht="14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0"/>
        <v>R</v>
      </c>
      <c r="F36" s="306"/>
      <c r="G36" s="307">
        <f t="shared" ca="1" si="1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4"/>
        <v>35</v>
      </c>
      <c r="AK36" s="236" t="str">
        <f t="shared" ca="1" si="19"/>
        <v>BBB</v>
      </c>
      <c r="AL36" s="236">
        <f t="shared" ca="1" si="19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0"/>
        <v>2</v>
      </c>
      <c r="AW36" s="234">
        <f>COUNTIF( AV$7:AV36, AV36 )</f>
        <v>6</v>
      </c>
      <c r="AX36" s="287">
        <f t="shared" si="21"/>
        <v>2.6</v>
      </c>
      <c r="AY36" s="234">
        <f t="shared" si="22"/>
        <v>7</v>
      </c>
      <c r="AZ36" s="236"/>
      <c r="BA36" s="236"/>
      <c r="BC36" s="234">
        <f t="shared" ca="1" si="23"/>
        <v>30</v>
      </c>
      <c r="BD36" s="288">
        <f t="shared" ca="1" si="7"/>
        <v>16</v>
      </c>
      <c r="BF36" s="240" t="str">
        <f t="shared" ca="1" si="8"/>
        <v>El Paso Electric Company</v>
      </c>
      <c r="BG36" s="240" t="str">
        <f t="shared" ca="1" si="8"/>
        <v>BBB</v>
      </c>
      <c r="BH36" s="240">
        <f t="shared" ca="1" si="8"/>
        <v>18</v>
      </c>
      <c r="BI36" s="240" t="str">
        <f t="shared" ca="1" si="8"/>
        <v>EE</v>
      </c>
    </row>
    <row r="37" spans="1:61" ht="14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0"/>
        <v>R</v>
      </c>
      <c r="F37" s="306"/>
      <c r="G37" s="307">
        <f t="shared" ca="1" si="1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4"/>
        <v>36</v>
      </c>
      <c r="AK37" s="236" t="str">
        <f t="shared" ca="1" si="19"/>
        <v>BBB</v>
      </c>
      <c r="AL37" s="236">
        <f t="shared" ca="1" si="19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0"/>
        <v>45</v>
      </c>
      <c r="AW37" s="234">
        <f>COUNTIF( AV$7:AV37, AV37 )</f>
        <v>5</v>
      </c>
      <c r="AX37" s="287">
        <f t="shared" si="21"/>
        <v>45.5</v>
      </c>
      <c r="AY37" s="234">
        <f t="shared" si="22"/>
        <v>49</v>
      </c>
      <c r="AZ37" s="236"/>
      <c r="BA37" s="236"/>
      <c r="BC37" s="234">
        <f t="shared" ca="1" si="23"/>
        <v>31</v>
      </c>
      <c r="BD37" s="288">
        <f t="shared" ca="1" si="7"/>
        <v>17</v>
      </c>
      <c r="BF37" s="240" t="str">
        <f t="shared" ca="1" si="8"/>
        <v>Empire District Electric Company</v>
      </c>
      <c r="BG37" s="240" t="str">
        <f t="shared" ca="1" si="8"/>
        <v>BBB</v>
      </c>
      <c r="BH37" s="240">
        <f t="shared" ca="1" si="8"/>
        <v>18</v>
      </c>
      <c r="BI37" s="240" t="str">
        <f t="shared" ca="1" si="8"/>
        <v>EDE</v>
      </c>
    </row>
    <row r="38" spans="1:61" ht="14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0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4"/>
        <v>37</v>
      </c>
      <c r="AK38" s="236" t="str">
        <f t="shared" ca="1" si="19"/>
        <v>BBB</v>
      </c>
      <c r="AL38" s="236">
        <f t="shared" ca="1" si="19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0"/>
        <v>2</v>
      </c>
      <c r="AW38" s="234">
        <f>COUNTIF( AV$7:AV38, AV38 )</f>
        <v>7</v>
      </c>
      <c r="AX38" s="287">
        <f t="shared" si="21"/>
        <v>2.7</v>
      </c>
      <c r="AY38" s="234">
        <f t="shared" si="22"/>
        <v>8</v>
      </c>
      <c r="AZ38" s="236"/>
      <c r="BA38" s="236"/>
      <c r="BC38" s="234">
        <f t="shared" ca="1" si="23"/>
        <v>32</v>
      </c>
      <c r="BD38" s="288">
        <f t="shared" ca="1" si="7"/>
        <v>19</v>
      </c>
      <c r="BF38" s="240" t="str">
        <f t="shared" ca="1" si="8"/>
        <v>Entergy Corporation</v>
      </c>
      <c r="BG38" s="240" t="str">
        <f t="shared" ca="1" si="8"/>
        <v>BBB</v>
      </c>
      <c r="BH38" s="240">
        <f t="shared" ca="1" si="8"/>
        <v>18</v>
      </c>
      <c r="BI38" s="240" t="str">
        <f t="shared" ca="1" si="8"/>
        <v>ETR</v>
      </c>
    </row>
    <row r="39" spans="1:61" ht="14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0"/>
        <v>MR</v>
      </c>
      <c r="F39" s="306"/>
      <c r="G39" s="307">
        <f t="shared" ca="1" si="1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4"/>
        <v>38</v>
      </c>
      <c r="AK39" s="236" t="str">
        <f t="shared" ca="1" si="19"/>
        <v>BBB</v>
      </c>
      <c r="AL39" s="236">
        <f t="shared" ca="1" si="19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0"/>
        <v>25</v>
      </c>
      <c r="AW39" s="234">
        <f>COUNTIF( AV$7:AV39, AV39 )</f>
        <v>13</v>
      </c>
      <c r="AX39" s="287">
        <f t="shared" si="21"/>
        <v>26.3</v>
      </c>
      <c r="AY39" s="234">
        <f t="shared" si="22"/>
        <v>37</v>
      </c>
      <c r="AZ39" s="236"/>
      <c r="BA39" s="236"/>
      <c r="BC39" s="234">
        <f t="shared" ca="1" si="23"/>
        <v>33</v>
      </c>
      <c r="BD39" s="288">
        <f t="shared" ca="1" si="7"/>
        <v>20</v>
      </c>
      <c r="BF39" s="240" t="str">
        <f t="shared" ref="BF39:BI63" ca="1" si="24">OFFSET( AQ$6, $BD39, 0 )</f>
        <v>Exelon Corporation</v>
      </c>
      <c r="BG39" s="240" t="str">
        <f t="shared" ca="1" si="24"/>
        <v>BBB</v>
      </c>
      <c r="BH39" s="240">
        <f t="shared" ca="1" si="24"/>
        <v>18</v>
      </c>
      <c r="BI39" s="240" t="str">
        <f t="shared" ca="1" si="24"/>
        <v>EXC</v>
      </c>
    </row>
    <row r="40" spans="1:61" ht="14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0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4"/>
        <v>39</v>
      </c>
      <c r="AK40" s="236" t="str">
        <f t="shared" ca="1" si="19"/>
        <v>BBB</v>
      </c>
      <c r="AL40" s="236">
        <f t="shared" ca="1" si="19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0"/>
        <v>45</v>
      </c>
      <c r="AW40" s="234">
        <f>COUNTIF( AV$7:AV40, AV40 )</f>
        <v>6</v>
      </c>
      <c r="AX40" s="287">
        <f t="shared" si="21"/>
        <v>45.6</v>
      </c>
      <c r="AY40" s="234">
        <f t="shared" si="22"/>
        <v>50</v>
      </c>
      <c r="AZ40" s="236"/>
      <c r="BA40" s="236"/>
      <c r="BC40" s="234">
        <f t="shared" ca="1" si="23"/>
        <v>34</v>
      </c>
      <c r="BD40" s="288">
        <f t="shared" ca="1" si="7"/>
        <v>22</v>
      </c>
      <c r="BF40" s="240" t="str">
        <f t="shared" ca="1" si="24"/>
        <v>Great Plains Energy Inc.</v>
      </c>
      <c r="BG40" s="240" t="str">
        <f t="shared" ca="1" si="24"/>
        <v>BBB</v>
      </c>
      <c r="BH40" s="240">
        <f t="shared" ca="1" si="24"/>
        <v>18</v>
      </c>
      <c r="BI40" s="240" t="str">
        <f t="shared" ca="1" si="24"/>
        <v>GXP</v>
      </c>
    </row>
    <row r="41" spans="1:61" ht="14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0"/>
        <v>R</v>
      </c>
      <c r="F41" s="306"/>
      <c r="G41" s="307">
        <f t="shared" ca="1" si="1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4"/>
        <v>40</v>
      </c>
      <c r="AK41" s="236" t="str">
        <f t="shared" ca="1" si="19"/>
        <v>BBB</v>
      </c>
      <c r="AL41" s="236">
        <f t="shared" ca="1" si="19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0"/>
        <v>2</v>
      </c>
      <c r="AW41" s="234">
        <f>COUNTIF( AV$7:AV41, AV41 )</f>
        <v>8</v>
      </c>
      <c r="AX41" s="287">
        <f t="shared" si="21"/>
        <v>2.8</v>
      </c>
      <c r="AY41" s="234">
        <f t="shared" si="22"/>
        <v>9</v>
      </c>
      <c r="AZ41" s="236"/>
      <c r="BA41" s="236"/>
      <c r="BC41" s="234">
        <f t="shared" ca="1" si="23"/>
        <v>35</v>
      </c>
      <c r="BD41" s="288">
        <f t="shared" ca="1" si="7"/>
        <v>24</v>
      </c>
      <c r="BF41" s="240" t="str">
        <f t="shared" ca="1" si="24"/>
        <v>Iberdrola USA</v>
      </c>
      <c r="BG41" s="240" t="str">
        <f t="shared" ca="1" si="24"/>
        <v>BBB</v>
      </c>
      <c r="BH41" s="240">
        <f t="shared" ca="1" si="24"/>
        <v>18</v>
      </c>
      <c r="BI41" s="240" t="str">
        <f t="shared" ca="1" si="24"/>
        <v>**EAST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0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4"/>
        <v>41</v>
      </c>
      <c r="AK42" s="236" t="str">
        <f t="shared" ca="1" si="19"/>
        <v>BBB</v>
      </c>
      <c r="AL42" s="236">
        <f t="shared" ca="1" si="19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9" t="s">
        <v>316</v>
      </c>
      <c r="AV42" s="234">
        <f t="shared" si="20"/>
        <v>25</v>
      </c>
      <c r="AW42" s="234">
        <f>COUNTIF( AV$7:AV42, AV42 )</f>
        <v>14</v>
      </c>
      <c r="AX42" s="287">
        <f t="shared" si="21"/>
        <v>26.4</v>
      </c>
      <c r="AY42" s="234">
        <f t="shared" si="22"/>
        <v>38</v>
      </c>
      <c r="AZ42" s="236"/>
      <c r="BA42" s="236"/>
      <c r="BC42" s="234">
        <f t="shared" ca="1" si="23"/>
        <v>36</v>
      </c>
      <c r="BD42" s="288">
        <f t="shared" ca="1" si="7"/>
        <v>25</v>
      </c>
      <c r="BF42" s="240" t="str">
        <f t="shared" ca="1" si="24"/>
        <v>IDACORP, Inc.</v>
      </c>
      <c r="BG42" s="240" t="str">
        <f t="shared" ca="1" si="24"/>
        <v>BBB</v>
      </c>
      <c r="BH42" s="240">
        <f t="shared" ca="1" si="24"/>
        <v>18</v>
      </c>
      <c r="BI42" s="240" t="str">
        <f t="shared" ca="1" si="24"/>
        <v>IDA</v>
      </c>
    </row>
    <row r="43" spans="1:61" ht="14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0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4"/>
        <v>42</v>
      </c>
      <c r="AK43" s="236" t="str">
        <f t="shared" ca="1" si="19"/>
        <v>BBB</v>
      </c>
      <c r="AL43" s="236">
        <f t="shared" ca="1" si="19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0"/>
        <v>13</v>
      </c>
      <c r="AW43" s="234">
        <f>COUNTIF( AV$7:AV43, AV43 )</f>
        <v>7</v>
      </c>
      <c r="AX43" s="287">
        <f t="shared" si="21"/>
        <v>13.7</v>
      </c>
      <c r="AY43" s="234">
        <f t="shared" si="22"/>
        <v>19</v>
      </c>
      <c r="AZ43" s="236"/>
      <c r="BA43" s="236"/>
      <c r="BC43" s="234">
        <f t="shared" ca="1" si="23"/>
        <v>37</v>
      </c>
      <c r="BD43" s="288">
        <f t="shared" ca="1" si="7"/>
        <v>33</v>
      </c>
      <c r="BF43" s="240" t="str">
        <f t="shared" ca="1" si="24"/>
        <v>NorthWestern Corporation</v>
      </c>
      <c r="BG43" s="240" t="str">
        <f t="shared" ca="1" si="24"/>
        <v>BBB</v>
      </c>
      <c r="BH43" s="240">
        <f t="shared" ca="1" si="24"/>
        <v>18</v>
      </c>
      <c r="BI43" s="240" t="str">
        <f t="shared" ca="1" si="24"/>
        <v>NWE</v>
      </c>
    </row>
    <row r="44" spans="1:61" ht="14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0"/>
        <v>MR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4"/>
        <v>43</v>
      </c>
      <c r="AK44" s="236" t="str">
        <f t="shared" ca="1" si="19"/>
        <v>BBB</v>
      </c>
      <c r="AL44" s="236">
        <f t="shared" ca="1" si="19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0"/>
        <v>25</v>
      </c>
      <c r="AW44" s="234">
        <f>COUNTIF( AV$7:AV44, AV44 )</f>
        <v>15</v>
      </c>
      <c r="AX44" s="287">
        <f t="shared" si="21"/>
        <v>26.5</v>
      </c>
      <c r="AY44" s="234">
        <f t="shared" si="22"/>
        <v>39</v>
      </c>
      <c r="AZ44" s="236"/>
      <c r="BA44" s="236"/>
      <c r="BC44" s="234">
        <f t="shared" ca="1" si="23"/>
        <v>38</v>
      </c>
      <c r="BD44" s="288">
        <f t="shared" ca="1" si="7"/>
        <v>36</v>
      </c>
      <c r="BF44" s="240" t="str">
        <f t="shared" ca="1" si="24"/>
        <v>Otter Tail Corporation</v>
      </c>
      <c r="BG44" s="240" t="str">
        <f t="shared" ca="1" si="24"/>
        <v>BBB</v>
      </c>
      <c r="BH44" s="240">
        <f t="shared" ca="1" si="24"/>
        <v>18</v>
      </c>
      <c r="BI44" s="240" t="str">
        <f t="shared" ca="1" si="24"/>
        <v>OTTR</v>
      </c>
    </row>
    <row r="45" spans="1:61" ht="14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0"/>
        <v>R</v>
      </c>
      <c r="F45" s="306"/>
      <c r="G45" s="307">
        <f t="shared" ca="1" si="1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4"/>
        <v>44</v>
      </c>
      <c r="AK45" s="236" t="str">
        <f t="shared" ca="1" si="19"/>
        <v>BBB</v>
      </c>
      <c r="AL45" s="236">
        <f t="shared" ca="1" si="19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0"/>
        <v>13</v>
      </c>
      <c r="AW45" s="234">
        <f>COUNTIF( AV$7:AV45, AV45 )</f>
        <v>8</v>
      </c>
      <c r="AX45" s="287">
        <f t="shared" si="21"/>
        <v>13.8</v>
      </c>
      <c r="AY45" s="234">
        <f t="shared" si="22"/>
        <v>20</v>
      </c>
      <c r="AZ45" s="236"/>
      <c r="BA45" s="236"/>
      <c r="BC45" s="234">
        <f t="shared" ca="1" si="23"/>
        <v>39</v>
      </c>
      <c r="BD45" s="288">
        <f t="shared" ca="1" si="7"/>
        <v>38</v>
      </c>
      <c r="BF45" s="240" t="str">
        <f t="shared" ca="1" si="24"/>
        <v>PG&amp;E Corporation</v>
      </c>
      <c r="BG45" s="240" t="str">
        <f t="shared" ca="1" si="24"/>
        <v>BBB</v>
      </c>
      <c r="BH45" s="240">
        <f t="shared" ca="1" si="24"/>
        <v>18</v>
      </c>
      <c r="BI45" s="240" t="str">
        <f t="shared" ca="1" si="24"/>
        <v>PCG</v>
      </c>
    </row>
    <row r="46" spans="1:61" ht="14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0"/>
        <v>R</v>
      </c>
      <c r="F46" s="306"/>
      <c r="G46" s="307">
        <f t="shared" ca="1" si="1"/>
        <v>42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4"/>
        <v>45</v>
      </c>
      <c r="AK46" s="236" t="str">
        <f t="shared" ca="1" si="19"/>
        <v>BBB</v>
      </c>
      <c r="AL46" s="236">
        <f t="shared" ca="1" si="19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0"/>
        <v>25</v>
      </c>
      <c r="AW46" s="234">
        <f>COUNTIF( AV$7:AV46, AV46 )</f>
        <v>16</v>
      </c>
      <c r="AX46" s="287">
        <f t="shared" si="21"/>
        <v>26.6</v>
      </c>
      <c r="AY46" s="234">
        <f t="shared" si="22"/>
        <v>40</v>
      </c>
      <c r="AZ46" s="236"/>
      <c r="BA46" s="236"/>
      <c r="BC46" s="234">
        <f t="shared" ca="1" si="23"/>
        <v>40</v>
      </c>
      <c r="BD46" s="288">
        <f t="shared" ca="1" si="7"/>
        <v>40</v>
      </c>
      <c r="BF46" s="240" t="str">
        <f t="shared" ca="1" si="24"/>
        <v>PNM Resources, Inc.</v>
      </c>
      <c r="BG46" s="240" t="str">
        <f t="shared" ca="1" si="24"/>
        <v>BBB</v>
      </c>
      <c r="BH46" s="240">
        <f t="shared" ca="1" si="24"/>
        <v>18</v>
      </c>
      <c r="BI46" s="240" t="str">
        <f t="shared" ca="1" si="24"/>
        <v>PNM</v>
      </c>
    </row>
    <row r="47" spans="1:61" ht="14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0"/>
        <v>R</v>
      </c>
      <c r="F47" s="306"/>
      <c r="G47" s="307">
        <f t="shared" ca="1" si="1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4"/>
        <v>46</v>
      </c>
      <c r="AK47" s="236" t="str">
        <f t="shared" ca="1" si="19"/>
        <v>BBB</v>
      </c>
      <c r="AL47" s="236">
        <f t="shared" ca="1" si="19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0"/>
        <v>25</v>
      </c>
      <c r="AW47" s="234">
        <f>COUNTIF( AV$7:AV47, AV47 )</f>
        <v>17</v>
      </c>
      <c r="AX47" s="287">
        <f t="shared" si="21"/>
        <v>26.7</v>
      </c>
      <c r="AY47" s="234">
        <f t="shared" si="22"/>
        <v>41</v>
      </c>
      <c r="AZ47" s="236"/>
      <c r="BA47" s="236"/>
      <c r="BC47" s="234">
        <f t="shared" ca="1" si="23"/>
        <v>41</v>
      </c>
      <c r="BD47" s="288">
        <f t="shared" ca="1" si="7"/>
        <v>41</v>
      </c>
      <c r="BF47" s="240" t="str">
        <f t="shared" ca="1" si="24"/>
        <v>Portland General Electric Company</v>
      </c>
      <c r="BG47" s="240" t="str">
        <f t="shared" ca="1" si="24"/>
        <v>BBB</v>
      </c>
      <c r="BH47" s="240">
        <f t="shared" ca="1" si="24"/>
        <v>18</v>
      </c>
      <c r="BI47" s="240" t="str">
        <f t="shared" ca="1" si="24"/>
        <v>POR</v>
      </c>
    </row>
    <row r="48" spans="1:61" ht="14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0"/>
        <v>MR</v>
      </c>
      <c r="F48" s="306"/>
      <c r="G48" s="307">
        <f t="shared" ca="1" si="1"/>
        <v>44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4"/>
        <v>47</v>
      </c>
      <c r="AK48" s="236" t="str">
        <f t="shared" ca="1" si="19"/>
        <v>BBB</v>
      </c>
      <c r="AL48" s="236">
        <f t="shared" ca="1" si="19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0"/>
        <v>25</v>
      </c>
      <c r="AW48" s="234">
        <f>COUNTIF( AV$7:AV48, AV48 )</f>
        <v>18</v>
      </c>
      <c r="AX48" s="287">
        <f t="shared" si="21"/>
        <v>26.8</v>
      </c>
      <c r="AY48" s="234">
        <f t="shared" si="22"/>
        <v>42</v>
      </c>
      <c r="AZ48" s="236"/>
      <c r="BA48" s="236"/>
      <c r="BC48" s="234">
        <f t="shared" ca="1" si="23"/>
        <v>42</v>
      </c>
      <c r="BD48" s="288">
        <f t="shared" ca="1" si="7"/>
        <v>42</v>
      </c>
      <c r="BF48" s="240" t="str">
        <f t="shared" ca="1" si="24"/>
        <v>PPL Corporation</v>
      </c>
      <c r="BG48" s="240" t="str">
        <f t="shared" ca="1" si="24"/>
        <v>BBB</v>
      </c>
      <c r="BH48" s="240">
        <f t="shared" ca="1" si="24"/>
        <v>18</v>
      </c>
      <c r="BI48" s="240" t="str">
        <f t="shared" ca="1" si="24"/>
        <v>PPL</v>
      </c>
    </row>
    <row r="49" spans="1:61" ht="14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0"/>
        <v>R</v>
      </c>
      <c r="F49" s="306"/>
      <c r="G49" s="307">
        <f t="shared" ca="1" si="1"/>
        <v>50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4"/>
        <v>48</v>
      </c>
      <c r="AK49" s="236" t="str">
        <f t="shared" ca="1" si="19"/>
        <v>BBB</v>
      </c>
      <c r="AL49" s="236">
        <f t="shared" ca="1" si="19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0"/>
        <v>13</v>
      </c>
      <c r="AW49" s="234">
        <f>COUNTIF( AV$7:AV49, AV49 )</f>
        <v>9</v>
      </c>
      <c r="AX49" s="287">
        <f t="shared" si="21"/>
        <v>13.9</v>
      </c>
      <c r="AY49" s="234">
        <f t="shared" si="22"/>
        <v>21</v>
      </c>
      <c r="AZ49" s="236"/>
      <c r="BA49" s="236"/>
      <c r="BC49" s="234">
        <f t="shared" ca="1" si="23"/>
        <v>43</v>
      </c>
      <c r="BD49" s="288">
        <f t="shared" ca="1" si="7"/>
        <v>49</v>
      </c>
      <c r="BF49" s="240" t="str">
        <f t="shared" ca="1" si="24"/>
        <v>UIL Holdings Corporation</v>
      </c>
      <c r="BG49" s="240" t="str">
        <f t="shared" ca="1" si="24"/>
        <v>BBB</v>
      </c>
      <c r="BH49" s="240">
        <f t="shared" ca="1" si="24"/>
        <v>18</v>
      </c>
      <c r="BI49" s="240" t="str">
        <f t="shared" ca="1" si="24"/>
        <v>UIL</v>
      </c>
    </row>
    <row r="50" spans="1:61" ht="14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0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4"/>
        <v>49</v>
      </c>
      <c r="AK50" s="236" t="str">
        <f t="shared" ca="1" si="19"/>
        <v>BBB</v>
      </c>
      <c r="AL50" s="236">
        <f t="shared" ca="1" si="19"/>
        <v>18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0"/>
        <v>51</v>
      </c>
      <c r="AW50" s="234">
        <f>COUNTIF( AV$7:AV50, AV50 )</f>
        <v>1</v>
      </c>
      <c r="AX50" s="287">
        <f t="shared" si="21"/>
        <v>51.1</v>
      </c>
      <c r="AY50" s="234">
        <f t="shared" si="22"/>
        <v>51</v>
      </c>
      <c r="AZ50" s="236"/>
      <c r="BA50" s="236"/>
      <c r="BC50" s="234">
        <f t="shared" ca="1" si="23"/>
        <v>44</v>
      </c>
      <c r="BD50" s="288">
        <f t="shared" ca="1" si="7"/>
        <v>51</v>
      </c>
      <c r="BF50" s="240" t="str">
        <f t="shared" ca="1" si="24"/>
        <v>Westar Energy, Inc.</v>
      </c>
      <c r="BG50" s="240" t="str">
        <f t="shared" ca="1" si="24"/>
        <v>BBB</v>
      </c>
      <c r="BH50" s="240">
        <f t="shared" ca="1" si="24"/>
        <v>18</v>
      </c>
      <c r="BI50" s="240" t="str">
        <f t="shared" ca="1" si="24"/>
        <v>WR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4"/>
        <v>51</v>
      </c>
      <c r="AK51" s="236" t="str">
        <f t="shared" ca="1" si="19"/>
        <v>BBB-</v>
      </c>
      <c r="AL51" s="236">
        <f t="shared" ca="1" si="19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0"/>
        <v>13</v>
      </c>
      <c r="AW51" s="234">
        <f>COUNTIF( AV$7:AV51, AV51 )</f>
        <v>10</v>
      </c>
      <c r="AX51" s="287">
        <f t="shared" si="21"/>
        <v>14</v>
      </c>
      <c r="AY51" s="234">
        <f t="shared" si="22"/>
        <v>22</v>
      </c>
      <c r="AZ51" s="236"/>
      <c r="BA51" s="236"/>
      <c r="BC51" s="234">
        <f t="shared" ca="1" si="23"/>
        <v>45</v>
      </c>
      <c r="BD51" s="288">
        <f t="shared" ca="1" si="7"/>
        <v>15</v>
      </c>
      <c r="BF51" s="240" t="str">
        <f t="shared" ca="1" si="24"/>
        <v>Edison International</v>
      </c>
      <c r="BG51" s="240" t="str">
        <f t="shared" ca="1" si="24"/>
        <v>BBB-</v>
      </c>
      <c r="BH51" s="240">
        <f t="shared" ca="1" si="24"/>
        <v>17</v>
      </c>
      <c r="BI51" s="240" t="str">
        <f t="shared" ca="1" si="24"/>
        <v>EIX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4"/>
        <v>52</v>
      </c>
      <c r="AK52" s="236" t="str">
        <f t="shared" ca="1" si="19"/>
        <v>BBB-</v>
      </c>
      <c r="AL52" s="236">
        <f t="shared" ca="1" si="19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0"/>
        <v>13</v>
      </c>
      <c r="AW52" s="234">
        <f>COUNTIF( AV$7:AV52, AV52 )</f>
        <v>11</v>
      </c>
      <c r="AX52" s="287">
        <f t="shared" si="21"/>
        <v>14.1</v>
      </c>
      <c r="AY52" s="234">
        <f t="shared" si="22"/>
        <v>23</v>
      </c>
      <c r="AZ52" s="236"/>
      <c r="BA52" s="236"/>
      <c r="BC52" s="234">
        <f t="shared" ca="1" si="23"/>
        <v>46</v>
      </c>
      <c r="BD52" s="288">
        <f t="shared" ca="1" si="7"/>
        <v>21</v>
      </c>
      <c r="BF52" s="240" t="str">
        <f t="shared" ca="1" si="24"/>
        <v>FirstEnergy Corp.</v>
      </c>
      <c r="BG52" s="240" t="str">
        <f t="shared" ca="1" si="24"/>
        <v>BBB-</v>
      </c>
      <c r="BH52" s="240">
        <f t="shared" ca="1" si="24"/>
        <v>17</v>
      </c>
      <c r="BI52" s="240" t="str">
        <f t="shared" ca="1" si="24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4"/>
        <v>53</v>
      </c>
      <c r="AK53" s="236" t="str">
        <f t="shared" ca="1" si="19"/>
        <v>BBB-</v>
      </c>
      <c r="AL53" s="236">
        <f t="shared" ca="1" si="19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0"/>
        <v>1</v>
      </c>
      <c r="AW53" s="234">
        <f>COUNTIF( AV$7:AV53, AV53 )</f>
        <v>1</v>
      </c>
      <c r="AX53" s="287">
        <f t="shared" si="21"/>
        <v>1.1000000000000001</v>
      </c>
      <c r="AY53" s="234">
        <f t="shared" si="22"/>
        <v>1</v>
      </c>
      <c r="AZ53" s="236"/>
      <c r="BA53" s="236"/>
      <c r="BC53" s="234">
        <f t="shared" ca="1" si="23"/>
        <v>47</v>
      </c>
      <c r="BD53" s="288">
        <f t="shared" ca="1" si="7"/>
        <v>23</v>
      </c>
      <c r="BF53" s="240" t="str">
        <f t="shared" ca="1" si="24"/>
        <v>Hawaiian Electric Industries, Inc.</v>
      </c>
      <c r="BG53" s="240" t="str">
        <f t="shared" ca="1" si="24"/>
        <v>BBB-</v>
      </c>
      <c r="BH53" s="240">
        <f t="shared" ca="1" si="24"/>
        <v>17</v>
      </c>
      <c r="BI53" s="240" t="str">
        <f t="shared" ca="1" si="24"/>
        <v>HE</v>
      </c>
    </row>
    <row r="54" spans="1:61" ht="14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4"/>
        <v>54</v>
      </c>
      <c r="AK54" s="236" t="str">
        <f t="shared" ca="1" si="19"/>
        <v>BBB-</v>
      </c>
      <c r="AL54" s="236">
        <f t="shared" ca="1" si="19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0"/>
        <v>13</v>
      </c>
      <c r="AW54" s="234">
        <f>COUNTIF( AV$7:AV54, AV54 )</f>
        <v>12</v>
      </c>
      <c r="AX54" s="287">
        <f t="shared" si="21"/>
        <v>14.2</v>
      </c>
      <c r="AY54" s="234">
        <f t="shared" si="22"/>
        <v>24</v>
      </c>
      <c r="AZ54" s="236"/>
      <c r="BA54" s="236"/>
      <c r="BC54" s="234">
        <f t="shared" ca="1" si="23"/>
        <v>48</v>
      </c>
      <c r="BD54" s="288">
        <f t="shared" ca="1" si="7"/>
        <v>27</v>
      </c>
      <c r="BF54" s="240" t="str">
        <f t="shared" ca="1" si="24"/>
        <v>IPALCO Enterprises, Inc.</v>
      </c>
      <c r="BG54" s="240" t="str">
        <f t="shared" ca="1" si="24"/>
        <v>BBB-</v>
      </c>
      <c r="BH54" s="240">
        <f t="shared" ca="1" si="24"/>
        <v>17</v>
      </c>
      <c r="BI54" s="240" t="str">
        <f t="shared" ca="1" si="24"/>
        <v>**IPALCO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4"/>
        <v>55</v>
      </c>
      <c r="AK55" s="236" t="str">
        <f t="shared" ca="1" si="19"/>
        <v>BBB-</v>
      </c>
      <c r="AL55" s="236">
        <f t="shared" ca="1" si="19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0"/>
        <v>25</v>
      </c>
      <c r="AW55" s="234">
        <f>COUNTIF( AV$7:AV55, AV55 )</f>
        <v>19</v>
      </c>
      <c r="AX55" s="287">
        <f t="shared" si="21"/>
        <v>26.9</v>
      </c>
      <c r="AY55" s="234">
        <f t="shared" si="22"/>
        <v>43</v>
      </c>
      <c r="AZ55" s="236"/>
      <c r="BA55" s="236"/>
      <c r="BC55" s="234">
        <f t="shared" ca="1" si="23"/>
        <v>49</v>
      </c>
      <c r="BD55" s="288">
        <f t="shared" ca="1" si="7"/>
        <v>31</v>
      </c>
      <c r="BF55" s="240" t="str">
        <f t="shared" ca="1" si="24"/>
        <v>NiSource Inc.</v>
      </c>
      <c r="BG55" s="240" t="str">
        <f t="shared" ca="1" si="24"/>
        <v>BBB-</v>
      </c>
      <c r="BH55" s="240">
        <f t="shared" ca="1" si="24"/>
        <v>17</v>
      </c>
      <c r="BI55" s="240" t="str">
        <f t="shared" ca="1" si="24"/>
        <v>NI</v>
      </c>
    </row>
    <row r="56" spans="1:61" ht="14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4"/>
        <v>56</v>
      </c>
      <c r="AK56" s="236" t="str">
        <f t="shared" ca="1" si="19"/>
        <v>BBB-</v>
      </c>
      <c r="AL56" s="236">
        <f t="shared" ca="1" si="19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0"/>
        <v>2</v>
      </c>
      <c r="AW56" s="234">
        <f>COUNTIF( AV$7:AV56, AV56 )</f>
        <v>9</v>
      </c>
      <c r="AX56" s="287">
        <f t="shared" si="21"/>
        <v>2.9</v>
      </c>
      <c r="AY56" s="234">
        <f t="shared" si="22"/>
        <v>10</v>
      </c>
      <c r="AZ56" s="236"/>
      <c r="BA56" s="236"/>
      <c r="BC56" s="234">
        <f t="shared" ca="1" si="23"/>
        <v>50</v>
      </c>
      <c r="BD56" s="288">
        <f t="shared" ca="1" si="7"/>
        <v>34</v>
      </c>
      <c r="BF56" s="240" t="str">
        <f t="shared" ca="1" si="24"/>
        <v>NV Energy, Inc.</v>
      </c>
      <c r="BG56" s="240" t="str">
        <f t="shared" ca="1" si="24"/>
        <v>BBB-</v>
      </c>
      <c r="BH56" s="240">
        <f t="shared" ca="1" si="24"/>
        <v>17</v>
      </c>
      <c r="BI56" s="240" t="str">
        <f t="shared" ca="1" si="24"/>
        <v>NVE</v>
      </c>
    </row>
    <row r="57" spans="1:61" ht="14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4"/>
        <v>57</v>
      </c>
      <c r="AK57" s="236" t="str">
        <f t="shared" ca="1" si="19"/>
        <v>BB+</v>
      </c>
      <c r="AL57" s="236">
        <f t="shared" ca="1" si="19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0"/>
        <v>25</v>
      </c>
      <c r="AW57" s="234">
        <f>COUNTIF( AV$7:AV57, AV57 )</f>
        <v>20</v>
      </c>
      <c r="AX57" s="287">
        <f t="shared" si="21"/>
        <v>27</v>
      </c>
      <c r="AY57" s="234">
        <f t="shared" si="22"/>
        <v>44</v>
      </c>
      <c r="AZ57" s="236"/>
      <c r="BA57" s="236"/>
      <c r="BC57" s="234">
        <f t="shared" ca="1" si="23"/>
        <v>51</v>
      </c>
      <c r="BD57" s="288">
        <f t="shared" ca="1" si="7"/>
        <v>44</v>
      </c>
      <c r="BF57" s="240" t="str">
        <f t="shared" ca="1" si="24"/>
        <v>Puget Energy, Inc.</v>
      </c>
      <c r="BG57" s="240" t="str">
        <f t="shared" ca="1" si="24"/>
        <v>BB+</v>
      </c>
      <c r="BH57" s="240">
        <f t="shared" ca="1" si="24"/>
        <v>16</v>
      </c>
      <c r="BI57" s="240" t="str">
        <f t="shared" ca="1" si="24"/>
        <v>**PSD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4"/>
        <v>58</v>
      </c>
      <c r="AK58" s="236" t="str">
        <f t="shared" ca="1" si="19"/>
        <v>BB</v>
      </c>
      <c r="AL58" s="236">
        <f t="shared" ca="1" si="19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0"/>
        <v>2</v>
      </c>
      <c r="AW58" s="234">
        <f>COUNTIF( AV$7:AV58, AV58 )</f>
        <v>10</v>
      </c>
      <c r="AX58" s="287">
        <f t="shared" si="21"/>
        <v>3</v>
      </c>
      <c r="AY58" s="234">
        <f t="shared" si="22"/>
        <v>11</v>
      </c>
      <c r="AZ58" s="236"/>
      <c r="BA58" s="236"/>
      <c r="BC58" s="234">
        <f t="shared" ca="1" si="23"/>
        <v>52</v>
      </c>
      <c r="BD58" s="288">
        <f t="shared" ca="1" si="7"/>
        <v>12</v>
      </c>
      <c r="BF58" s="240" t="str">
        <f t="shared" ca="1" si="24"/>
        <v>DPL Inc.</v>
      </c>
      <c r="BG58" s="240" t="str">
        <f t="shared" ca="1" si="24"/>
        <v>BB</v>
      </c>
      <c r="BH58" s="240">
        <f t="shared" ca="1" si="24"/>
        <v>15</v>
      </c>
      <c r="BI58" s="240" t="str">
        <f t="shared" ca="1" si="24"/>
        <v>**DPL</v>
      </c>
    </row>
    <row r="59" spans="1:61" ht="14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8"/>
        <v/>
      </c>
      <c r="AJ59" s="236">
        <f t="shared" ca="1" si="4"/>
        <v>59</v>
      </c>
      <c r="AK59" s="236" t="str">
        <f t="shared" ca="1" si="19"/>
        <v>CCC</v>
      </c>
      <c r="AL59" s="236">
        <f t="shared" ca="1" si="19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0"/>
        <v>2</v>
      </c>
      <c r="AW59" s="234">
        <f>COUNTIF( AV$7:AV59, AV59 )</f>
        <v>11</v>
      </c>
      <c r="AX59" s="287">
        <f t="shared" si="21"/>
        <v>3.1</v>
      </c>
      <c r="AY59" s="234">
        <f t="shared" si="22"/>
        <v>12</v>
      </c>
      <c r="AZ59" s="236"/>
      <c r="BA59" s="236"/>
      <c r="BC59" s="234">
        <f t="shared" ca="1" si="23"/>
        <v>53</v>
      </c>
      <c r="BD59" s="288">
        <f t="shared" ca="1" si="7"/>
        <v>18</v>
      </c>
      <c r="BF59" s="240" t="str">
        <f t="shared" ca="1" si="24"/>
        <v>Energy Future Holdings Corp.</v>
      </c>
      <c r="BG59" s="240" t="str">
        <f t="shared" ca="1" si="24"/>
        <v>CCC</v>
      </c>
      <c r="BH59" s="240">
        <f t="shared" ca="1" si="24"/>
        <v>9</v>
      </c>
      <c r="BI59" s="240" t="str">
        <f t="shared" ca="1" si="24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4"/>
        <v>#N/A</v>
      </c>
      <c r="AK60" s="236" t="str">
        <f t="shared" ca="1" si="19"/>
        <v/>
      </c>
      <c r="AL60" s="236" t="str">
        <f t="shared" ca="1" si="19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0"/>
        <v>99</v>
      </c>
      <c r="AW60" s="234">
        <f>COUNTIF( AV$7:AV60, AV60 )</f>
        <v>1</v>
      </c>
      <c r="AX60" s="287">
        <f t="shared" si="21"/>
        <v>99.1</v>
      </c>
      <c r="AY60" s="234">
        <f t="shared" si="22"/>
        <v>54</v>
      </c>
      <c r="AZ60" s="236"/>
      <c r="BA60" s="236"/>
      <c r="BC60" s="234">
        <f t="shared" ca="1" si="23"/>
        <v>54</v>
      </c>
      <c r="BD60" s="288">
        <f t="shared" ca="1" si="7"/>
        <v>54</v>
      </c>
      <c r="BF60" s="240">
        <f t="shared" ca="1" si="24"/>
        <v>0</v>
      </c>
      <c r="BG60" s="240">
        <f t="shared" ca="1" si="24"/>
        <v>0</v>
      </c>
      <c r="BH60" s="240">
        <f t="shared" ca="1" si="24"/>
        <v>0</v>
      </c>
      <c r="BI60" s="240">
        <f t="shared" ca="1" si="24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8"/>
        <v/>
      </c>
      <c r="AJ61" s="236" t="e">
        <f t="shared" ca="1" si="4"/>
        <v>#N/A</v>
      </c>
      <c r="AK61" s="236" t="str">
        <f t="shared" ca="1" si="19"/>
        <v/>
      </c>
      <c r="AL61" s="236" t="str">
        <f t="shared" ca="1" si="19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0"/>
        <v>99</v>
      </c>
      <c r="AW61" s="234">
        <f>COUNTIF( AV$7:AV61, AV61 )</f>
        <v>2</v>
      </c>
      <c r="AX61" s="287">
        <f t="shared" si="21"/>
        <v>99.2</v>
      </c>
      <c r="AY61" s="234">
        <f t="shared" si="22"/>
        <v>55</v>
      </c>
      <c r="AZ61" s="236"/>
      <c r="BA61" s="236"/>
      <c r="BC61" s="234">
        <f t="shared" ca="1" si="23"/>
        <v>55</v>
      </c>
      <c r="BD61" s="288">
        <f t="shared" ca="1" si="7"/>
        <v>55</v>
      </c>
      <c r="BF61" s="240">
        <f t="shared" ca="1" si="24"/>
        <v>0</v>
      </c>
      <c r="BG61" s="240">
        <f t="shared" ca="1" si="24"/>
        <v>0</v>
      </c>
      <c r="BH61" s="240">
        <f t="shared" ca="1" si="24"/>
        <v>0</v>
      </c>
      <c r="BI61" s="240">
        <f t="shared" ca="1" si="24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8"/>
        <v/>
      </c>
      <c r="AJ62" s="236">
        <f t="shared" ca="1" si="4"/>
        <v>62</v>
      </c>
      <c r="AK62" s="236" t="str">
        <f t="shared" ca="1" si="19"/>
        <v>AA-</v>
      </c>
      <c r="AL62" s="236">
        <f t="shared" ca="1" si="19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0"/>
        <v>99</v>
      </c>
      <c r="AW62" s="234">
        <f>COUNTIF( AV$7:AV62, AV62 )</f>
        <v>3</v>
      </c>
      <c r="AX62" s="287">
        <f t="shared" si="21"/>
        <v>99.3</v>
      </c>
      <c r="AY62" s="234">
        <f t="shared" si="22"/>
        <v>56</v>
      </c>
      <c r="AZ62" s="236"/>
      <c r="BA62" s="236"/>
      <c r="BC62" s="234">
        <f t="shared" ca="1" si="23"/>
        <v>56</v>
      </c>
      <c r="BD62" s="288">
        <f t="shared" ca="1" si="7"/>
        <v>56</v>
      </c>
      <c r="BF62" s="240">
        <f t="shared" ca="1" si="24"/>
        <v>0</v>
      </c>
      <c r="BG62" s="240">
        <f t="shared" ca="1" si="24"/>
        <v>0</v>
      </c>
      <c r="BH62" s="240">
        <f t="shared" ca="1" si="24"/>
        <v>0</v>
      </c>
      <c r="BI62" s="240">
        <f t="shared" ca="1" si="24"/>
        <v>0</v>
      </c>
    </row>
    <row r="63" spans="1:61" ht="14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>
        <f t="shared" ca="1" si="3"/>
        <v>1</v>
      </c>
      <c r="AH63" s="236" t="str">
        <f t="shared" ca="1" si="18"/>
        <v/>
      </c>
      <c r="AJ63" s="236">
        <f t="shared" ca="1" si="4"/>
        <v>63</v>
      </c>
      <c r="AK63" s="236" t="str">
        <f t="shared" ca="1" si="19"/>
        <v>BB+</v>
      </c>
      <c r="AL63" s="236">
        <f t="shared" ca="1" si="19"/>
        <v>16</v>
      </c>
      <c r="AM63" s="236" t="str">
        <f t="shared" ca="1" si="5"/>
        <v>Change</v>
      </c>
      <c r="AQ63" s="286"/>
      <c r="AR63" s="286"/>
      <c r="AS63" s="286"/>
      <c r="AT63" s="286"/>
      <c r="AU63" s="286"/>
      <c r="AV63" s="234">
        <f t="shared" si="20"/>
        <v>99</v>
      </c>
      <c r="AW63" s="234">
        <f>COUNTIF( AV$7:AV63, AV63 )</f>
        <v>4</v>
      </c>
      <c r="AX63" s="287">
        <f t="shared" si="21"/>
        <v>99.4</v>
      </c>
      <c r="AY63" s="234">
        <f t="shared" si="22"/>
        <v>57</v>
      </c>
      <c r="AZ63" s="236"/>
      <c r="BA63" s="236"/>
      <c r="BC63" s="234">
        <f t="shared" ca="1" si="23"/>
        <v>57</v>
      </c>
      <c r="BD63" s="288">
        <f ca="1">MATCH( BC63, $AY$7:$AY$63, 0 )</f>
        <v>57</v>
      </c>
      <c r="BF63" s="240">
        <f t="shared" ca="1" si="24"/>
        <v>0</v>
      </c>
      <c r="BG63" s="240">
        <f t="shared" ca="1" si="24"/>
        <v>0</v>
      </c>
      <c r="BH63" s="240">
        <f t="shared" ca="1" si="24"/>
        <v>0</v>
      </c>
      <c r="BI63" s="240">
        <f t="shared" ca="1" si="24"/>
        <v>0</v>
      </c>
    </row>
    <row r="64" spans="1:61" ht="14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4"/>
        <v>64</v>
      </c>
      <c r="AK64" s="236">
        <f t="shared" ca="1" si="19"/>
        <v>0</v>
      </c>
      <c r="AL64" s="236">
        <f t="shared" ca="1" si="19"/>
        <v>0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4"/>
        <v>#N/A</v>
      </c>
      <c r="AK65" s="236" t="str">
        <f t="shared" ca="1" si="19"/>
        <v/>
      </c>
      <c r="AL65" s="236" t="str">
        <f t="shared" ca="1" si="19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5">IF( LEN( $C66 ) = 0, "", IF( $C66 &gt; $AL66, 1, "" ) )</f>
        <v/>
      </c>
      <c r="AH66" s="236" t="str">
        <f t="shared" si="18"/>
        <v/>
      </c>
      <c r="AJ66" s="236" t="e">
        <f t="shared" ca="1" si="4"/>
        <v>#N/A</v>
      </c>
      <c r="AK66" s="236" t="str">
        <f t="shared" ca="1" si="19"/>
        <v/>
      </c>
      <c r="AL66" s="236" t="str">
        <f t="shared" ca="1" si="19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5"/>
        <v/>
      </c>
      <c r="AH67" s="236" t="str">
        <f t="shared" si="18"/>
        <v/>
      </c>
      <c r="AJ67" s="236" t="e">
        <f t="shared" ca="1" si="4"/>
        <v>#N/A</v>
      </c>
      <c r="AK67" s="236" t="str">
        <f t="shared" ca="1" si="19"/>
        <v/>
      </c>
      <c r="AL67" s="236" t="str">
        <f t="shared" ca="1" si="19"/>
        <v/>
      </c>
      <c r="AM67" s="236" t="str">
        <f t="shared" ca="1" si="5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18.399999999999999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18.509090909090908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customWidth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-- 2013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Reg_Percent_2012</v>
      </c>
      <c r="G2" s="239" t="s">
        <v>477</v>
      </c>
      <c r="AJ2" s="240" t="str">
        <f>AJ4 &amp; AJ3</f>
        <v>'Credit_2013Q1'!a:a</v>
      </c>
      <c r="AK2" s="240" t="str">
        <f>AK4 &amp; AK3</f>
        <v>'Credit_2013Q1'!b1</v>
      </c>
      <c r="AL2" s="240" t="str">
        <f>AL4 &amp; AL3</f>
        <v>'Credit_2013Q1'!c1</v>
      </c>
    </row>
    <row r="3" spans="1:61" ht="19" hidden="1" outlineLevel="1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472</v>
      </c>
      <c r="AK4" s="236" t="str">
        <f>AJ4</f>
        <v>'Credit_2013Q1'!</v>
      </c>
      <c r="AL4" s="236" t="str">
        <f>AK4</f>
        <v>'Credit_2013Q1'!</v>
      </c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(55)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(17)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429</v>
      </c>
      <c r="C6" s="338" t="s">
        <v>470</v>
      </c>
      <c r="D6" s="301"/>
      <c r="E6" s="302">
        <v>41274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3.6363636363636362E-2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2.7777777777777776E-2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4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10"/>
        <v>11</v>
      </c>
      <c r="M9" s="296">
        <f t="shared" si="11"/>
        <v>0.2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si="2"/>
        <v>0</v>
      </c>
      <c r="AG9" s="236">
        <f t="shared" ca="1" si="3"/>
        <v>1</v>
      </c>
      <c r="AH9" s="236" t="str">
        <f t="shared" ca="1" si="19"/>
        <v/>
      </c>
      <c r="AJ9" s="236">
        <f t="shared" ca="1" si="4"/>
        <v>18</v>
      </c>
      <c r="AK9" s="236" t="str">
        <f t="shared" ca="1" si="20"/>
        <v>BBB+</v>
      </c>
      <c r="AL9" s="236">
        <f t="shared" ca="1" si="20"/>
        <v>19</v>
      </c>
      <c r="AM9" s="236" t="str">
        <f t="shared" ca="1" si="5"/>
        <v>Change</v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1"/>
        <v>24</v>
      </c>
      <c r="AW9" s="234">
        <f>COUNTIF( AV$7:AV9, AV9 )</f>
        <v>1</v>
      </c>
      <c r="AX9" s="287">
        <f t="shared" si="22"/>
        <v>24.1</v>
      </c>
      <c r="AY9" s="234">
        <f t="shared" si="23"/>
        <v>24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11</v>
      </c>
      <c r="M10" s="296">
        <f t="shared" si="11"/>
        <v>0.2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11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2</v>
      </c>
      <c r="AX10" s="287">
        <f t="shared" si="22"/>
        <v>24.2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4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0.36363636363636365</v>
      </c>
      <c r="N11" s="318"/>
      <c r="O11" s="295">
        <f t="shared" ca="1" si="12"/>
        <v>17</v>
      </c>
      <c r="P11" s="296">
        <f t="shared" ca="1" si="13"/>
        <v>0.47222222222222221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3</v>
      </c>
      <c r="AX11" s="287">
        <f t="shared" si="22"/>
        <v>24.3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4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10"/>
        <v>7</v>
      </c>
      <c r="M12" s="296">
        <f t="shared" si="11"/>
        <v>0.12727272727272726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7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44</v>
      </c>
      <c r="AW12" s="234">
        <f>COUNTIF( AV$7:AV12, AV12 )</f>
        <v>1</v>
      </c>
      <c r="AX12" s="287">
        <f t="shared" si="22"/>
        <v>44.1</v>
      </c>
      <c r="AY12" s="234">
        <f t="shared" si="23"/>
        <v>44</v>
      </c>
      <c r="AZ12" s="236"/>
      <c r="BA12" s="236"/>
      <c r="BC12" s="234">
        <f t="shared" ca="1" si="24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4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7.2727272727272724E-2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4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18.436363636363637</v>
      </c>
      <c r="Z14" s="261"/>
      <c r="AA14" s="260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4</v>
      </c>
      <c r="AX14" s="287">
        <f t="shared" si="22"/>
        <v>24.4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4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>
        <f t="shared" ca="1" si="3"/>
        <v>1</v>
      </c>
      <c r="AH15" s="236" t="str">
        <f t="shared" ca="1" si="19"/>
        <v/>
      </c>
      <c r="AJ15" s="236">
        <f t="shared" ca="1" si="4"/>
        <v>23</v>
      </c>
      <c r="AK15" s="236" t="str">
        <f t="shared" ca="1" si="20"/>
        <v>BBB+</v>
      </c>
      <c r="AL15" s="236">
        <f t="shared" ca="1" si="20"/>
        <v>19</v>
      </c>
      <c r="AM15" s="236" t="str">
        <f t="shared" ca="1" si="5"/>
        <v>Change</v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24</v>
      </c>
      <c r="AW15" s="234">
        <f>COUNTIF( AV$7:AV15, AV15 )</f>
        <v>5</v>
      </c>
      <c r="AX15" s="287">
        <f t="shared" si="22"/>
        <v>24.5</v>
      </c>
      <c r="AY15" s="234">
        <f t="shared" si="23"/>
        <v>28</v>
      </c>
      <c r="AZ15" s="236"/>
      <c r="BA15" s="236"/>
      <c r="BC15" s="234">
        <f t="shared" ca="1" si="24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4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18.327272727272728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18.25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14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14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VVC</v>
      </c>
    </row>
    <row r="17" spans="1:61" ht="14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15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WEC</v>
      </c>
    </row>
    <row r="18" spans="1:61" ht="14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16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XEL</v>
      </c>
    </row>
    <row r="19" spans="1:61" ht="14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17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13</v>
      </c>
      <c r="AW19" s="234">
        <f>COUNTIF( AV$7:AV19, AV19 )</f>
        <v>2</v>
      </c>
      <c r="AX19" s="287">
        <f t="shared" si="22"/>
        <v>13.2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ALE</v>
      </c>
    </row>
    <row r="20" spans="1:61" ht="14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18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13</v>
      </c>
      <c r="AW20" s="234">
        <f>COUNTIF( AV$7:AV20, AV20 )</f>
        <v>3</v>
      </c>
      <c r="AX20" s="287">
        <f t="shared" si="22"/>
        <v>13.3</v>
      </c>
      <c r="AY20" s="234">
        <f t="shared" si="23"/>
        <v>15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4">
      <c r="A21" s="303" t="s">
        <v>32</v>
      </c>
      <c r="B21" s="304" t="s">
        <v>16</v>
      </c>
      <c r="C21" s="304">
        <v>19</v>
      </c>
      <c r="D21" s="304" t="s">
        <v>289</v>
      </c>
      <c r="E21" s="305" t="str">
        <f t="shared" ca="1" si="0"/>
        <v>R</v>
      </c>
      <c r="F21" s="306"/>
      <c r="G21" s="307">
        <f t="shared" ca="1" si="1"/>
        <v>19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44</v>
      </c>
      <c r="AW21" s="234">
        <f>COUNTIF( AV$7:AV21, AV21 )</f>
        <v>2</v>
      </c>
      <c r="AX21" s="287">
        <f t="shared" si="22"/>
        <v>44.2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14</v>
      </c>
      <c r="BF21" s="240" t="str">
        <f t="shared" ca="1" si="8"/>
        <v>Duke Energy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DUK</v>
      </c>
    </row>
    <row r="22" spans="1:61" ht="14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6</v>
      </c>
      <c r="AX22" s="287">
        <f t="shared" si="22"/>
        <v>24.6</v>
      </c>
      <c r="AY22" s="234">
        <f t="shared" si="23"/>
        <v>29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4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62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24</v>
      </c>
      <c r="AW23" s="234">
        <f>COUNTIF( AV$7:AV23, AV23 )</f>
        <v>7</v>
      </c>
      <c r="AX23" s="287">
        <f t="shared" si="22"/>
        <v>24.7</v>
      </c>
      <c r="AY23" s="234">
        <f t="shared" si="23"/>
        <v>30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4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39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4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8</v>
      </c>
      <c r="AX25" s="287">
        <f t="shared" si="22"/>
        <v>24.8</v>
      </c>
      <c r="AY25" s="234">
        <f t="shared" si="23"/>
        <v>31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4">
      <c r="A26" s="303" t="s">
        <v>45</v>
      </c>
      <c r="B26" s="304" t="s">
        <v>16</v>
      </c>
      <c r="C26" s="304">
        <v>19</v>
      </c>
      <c r="D26" s="304" t="s">
        <v>318</v>
      </c>
      <c r="E26" s="305" t="str">
        <f t="shared" ca="1" si="0"/>
        <v>MR</v>
      </c>
      <c r="F26" s="306"/>
      <c r="G26" s="307">
        <f t="shared" ca="1" si="1"/>
        <v>45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9"/>
        <v/>
      </c>
      <c r="AJ26" s="236">
        <f t="shared" ca="1" si="4"/>
        <v>45</v>
      </c>
      <c r="AK26" s="236" t="str">
        <f t="shared" ca="1" si="20"/>
        <v>BBB</v>
      </c>
      <c r="AL26" s="236">
        <f t="shared" ca="1" si="20"/>
        <v>18</v>
      </c>
      <c r="AM26" s="236" t="str">
        <f t="shared" ca="1" si="5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9</v>
      </c>
      <c r="AX26" s="287">
        <f t="shared" si="22"/>
        <v>24.9</v>
      </c>
      <c r="AY26" s="234">
        <f t="shared" si="23"/>
        <v>32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Public Service Enterprise Group Incorporated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PEG</v>
      </c>
    </row>
    <row r="27" spans="1:61" ht="14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46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44</v>
      </c>
      <c r="AW27" s="234">
        <f>COUNTIF( AV$7:AV27, AV27 )</f>
        <v>3</v>
      </c>
      <c r="AX27" s="287">
        <f t="shared" si="22"/>
        <v>44.3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45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4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47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10</v>
      </c>
      <c r="AX28" s="287">
        <f t="shared" si="22"/>
        <v>25</v>
      </c>
      <c r="AY28" s="234">
        <f t="shared" si="23"/>
        <v>33</v>
      </c>
      <c r="AZ28" s="236"/>
      <c r="BA28" s="236"/>
      <c r="BC28" s="234">
        <f t="shared" ca="1" si="24"/>
        <v>22</v>
      </c>
      <c r="BD28" s="288">
        <f t="shared" ca="1" si="7"/>
        <v>46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4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49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9" t="s">
        <v>301</v>
      </c>
      <c r="AV29" s="234">
        <f t="shared" si="21"/>
        <v>44</v>
      </c>
      <c r="AW29" s="234">
        <f>COUNTIF( AV$7:AV29, AV29 )</f>
        <v>4</v>
      </c>
      <c r="AX29" s="287">
        <f t="shared" si="22"/>
        <v>44.4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4">
      <c r="A30" s="303" t="s">
        <v>9</v>
      </c>
      <c r="B30" s="304" t="s">
        <v>28</v>
      </c>
      <c r="C30" s="304">
        <v>18</v>
      </c>
      <c r="D30" s="304" t="s">
        <v>273</v>
      </c>
      <c r="E30" s="305" t="str">
        <f t="shared" ca="1" si="0"/>
        <v>R</v>
      </c>
      <c r="F30" s="306"/>
      <c r="G30" s="307">
        <f t="shared" ca="1" si="1"/>
        <v>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24</v>
      </c>
      <c r="AW30" s="234">
        <f>COUNTIF( AV$7:AV30, AV30 )</f>
        <v>11</v>
      </c>
      <c r="AX30" s="287">
        <f t="shared" si="22"/>
        <v>25.1</v>
      </c>
      <c r="AY30" s="234">
        <f t="shared" si="23"/>
        <v>34</v>
      </c>
      <c r="AZ30" s="236"/>
      <c r="BA30" s="236"/>
      <c r="BC30" s="234">
        <f t="shared" ca="1" si="24"/>
        <v>24</v>
      </c>
      <c r="BD30" s="288">
        <f t="shared" ca="1" si="7"/>
        <v>3</v>
      </c>
      <c r="BF30" s="240" t="str">
        <f t="shared" ca="1" si="8"/>
        <v>Ameren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AEE</v>
      </c>
    </row>
    <row r="31" spans="1:61" ht="14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12</v>
      </c>
      <c r="AX31" s="287">
        <f t="shared" si="22"/>
        <v>25.2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4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4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32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5</v>
      </c>
      <c r="AX33" s="287">
        <f t="shared" si="22"/>
        <v>44.5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4">
      <c r="A34" s="303" t="s">
        <v>60</v>
      </c>
      <c r="B34" s="304" t="s">
        <v>28</v>
      </c>
      <c r="C34" s="304">
        <v>18</v>
      </c>
      <c r="D34" s="304" t="s">
        <v>283</v>
      </c>
      <c r="E34" s="305" t="str">
        <f t="shared" ca="1" si="0"/>
        <v>R</v>
      </c>
      <c r="F34" s="306"/>
      <c r="G34" s="307">
        <f t="shared" ca="1" si="1"/>
        <v>15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13</v>
      </c>
      <c r="AW34" s="234">
        <f>COUNTIF( AV$7:AV34, AV34 )</f>
        <v>4</v>
      </c>
      <c r="AX34" s="287">
        <f t="shared" si="22"/>
        <v>13.4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9</v>
      </c>
      <c r="BF34" s="240" t="str">
        <f t="shared" ca="1" si="8"/>
        <v>CMS Energy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CMS</v>
      </c>
    </row>
    <row r="35" spans="1:61" ht="14">
      <c r="A35" s="303" t="s">
        <v>34</v>
      </c>
      <c r="B35" s="304" t="s">
        <v>28</v>
      </c>
      <c r="C35" s="304">
        <v>18</v>
      </c>
      <c r="D35" s="304" t="s">
        <v>293</v>
      </c>
      <c r="E35" s="305" t="str">
        <f t="shared" ca="1" si="0"/>
        <v>R</v>
      </c>
      <c r="F35" s="306"/>
      <c r="G35" s="307">
        <f t="shared" ca="1" si="1"/>
        <v>21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13</v>
      </c>
      <c r="AW35" s="234">
        <f>COUNTIF( AV$7:AV35, AV35 )</f>
        <v>5</v>
      </c>
      <c r="AX35" s="287">
        <f t="shared" si="22"/>
        <v>13.5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16</v>
      </c>
      <c r="BF35" s="240" t="str">
        <f t="shared" ca="1" si="8"/>
        <v>El Paso Electric Company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EE</v>
      </c>
    </row>
    <row r="36" spans="1:61" ht="14">
      <c r="A36" s="303" t="s">
        <v>35</v>
      </c>
      <c r="B36" s="304" t="s">
        <v>28</v>
      </c>
      <c r="C36" s="304">
        <v>18</v>
      </c>
      <c r="D36" s="304" t="s">
        <v>292</v>
      </c>
      <c r="E36" s="305" t="str">
        <f t="shared" ca="1" si="0"/>
        <v>R</v>
      </c>
      <c r="F36" s="306"/>
      <c r="G36" s="307">
        <f t="shared" ca="1" si="1"/>
        <v>22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7"/>
        <v>17</v>
      </c>
      <c r="BF36" s="240" t="str">
        <f t="shared" ca="1" si="8"/>
        <v>Empire District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EDE</v>
      </c>
    </row>
    <row r="37" spans="1:61" ht="14">
      <c r="A37" s="303" t="s">
        <v>36</v>
      </c>
      <c r="B37" s="304" t="s">
        <v>28</v>
      </c>
      <c r="C37" s="304">
        <v>18</v>
      </c>
      <c r="D37" s="304" t="s">
        <v>296</v>
      </c>
      <c r="E37" s="305" t="str">
        <f t="shared" ca="1" si="0"/>
        <v>R</v>
      </c>
      <c r="F37" s="306"/>
      <c r="G37" s="307">
        <f t="shared" ca="1" si="1"/>
        <v>23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44</v>
      </c>
      <c r="AW37" s="234">
        <f>COUNTIF( AV$7:AV37, AV37 )</f>
        <v>6</v>
      </c>
      <c r="AX37" s="287">
        <f t="shared" si="22"/>
        <v>44.6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19</v>
      </c>
      <c r="BF37" s="240" t="str">
        <f t="shared" ca="1" si="8"/>
        <v>Entergy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ETR</v>
      </c>
    </row>
    <row r="38" spans="1:61" ht="14">
      <c r="A38" s="303" t="s">
        <v>11</v>
      </c>
      <c r="B38" s="304" t="s">
        <v>28</v>
      </c>
      <c r="C38" s="304">
        <v>18</v>
      </c>
      <c r="D38" s="304" t="s">
        <v>297</v>
      </c>
      <c r="E38" s="305" t="str">
        <f t="shared" ca="1" si="0"/>
        <v>MR</v>
      </c>
      <c r="F38" s="306"/>
      <c r="G38" s="307">
        <f t="shared" ca="1" si="1"/>
        <v>24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9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7"/>
        <v>20</v>
      </c>
      <c r="BF38" s="240" t="str">
        <f t="shared" ca="1" si="8"/>
        <v>Exelon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EXC</v>
      </c>
    </row>
    <row r="39" spans="1:61" ht="14">
      <c r="A39" s="303" t="s">
        <v>260</v>
      </c>
      <c r="B39" s="304" t="s">
        <v>28</v>
      </c>
      <c r="C39" s="304">
        <v>18</v>
      </c>
      <c r="D39" s="304" t="s">
        <v>300</v>
      </c>
      <c r="E39" s="305" t="str">
        <f t="shared" ca="1" si="0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13</v>
      </c>
      <c r="AX39" s="287">
        <f t="shared" si="22"/>
        <v>25.3</v>
      </c>
      <c r="AY39" s="234">
        <f t="shared" si="23"/>
        <v>36</v>
      </c>
      <c r="AZ39" s="236"/>
      <c r="BA39" s="236"/>
      <c r="BC39" s="234">
        <f t="shared" ca="1" si="24"/>
        <v>33</v>
      </c>
      <c r="BD39" s="288">
        <f t="shared" ca="1" si="7"/>
        <v>22</v>
      </c>
      <c r="BF39" s="240" t="str">
        <f t="shared" ref="BF39:BF63" ca="1" si="25">OFFSET( AQ$6, $BD39, 0 )</f>
        <v>Great Plains Energy Inc.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GXP</v>
      </c>
    </row>
    <row r="40" spans="1:61" ht="14">
      <c r="A40" s="303" t="s">
        <v>451</v>
      </c>
      <c r="B40" s="304" t="s">
        <v>28</v>
      </c>
      <c r="C40" s="304">
        <v>18</v>
      </c>
      <c r="D40" s="304" t="s">
        <v>443</v>
      </c>
      <c r="E40" s="305" t="str">
        <f t="shared" ca="1" si="0"/>
        <v>R</v>
      </c>
      <c r="F40" s="306"/>
      <c r="G40" s="307">
        <f t="shared" ca="1" si="1"/>
        <v>58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1"/>
        <v>44</v>
      </c>
      <c r="AW40" s="234">
        <f>COUNTIF( AV$7:AV40, AV40 )</f>
        <v>7</v>
      </c>
      <c r="AX40" s="287">
        <f t="shared" si="22"/>
        <v>44.7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24</v>
      </c>
      <c r="BF40" s="240" t="str">
        <f t="shared" ca="1" si="25"/>
        <v>Iberdrola USA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**EAST</v>
      </c>
    </row>
    <row r="41" spans="1:61" ht="14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0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1"/>
        <v>2</v>
      </c>
      <c r="AW41" s="234">
        <f>COUNTIF( AV$7:AV41, AV41 )</f>
        <v>8</v>
      </c>
      <c r="AX41" s="287">
        <f t="shared" si="22"/>
        <v>2.8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7"/>
        <v>25</v>
      </c>
      <c r="BF41" s="240" t="str">
        <f t="shared" ca="1" si="25"/>
        <v>IDACORP, Inc.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IDA</v>
      </c>
    </row>
    <row r="42" spans="1:61" ht="14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0"/>
        <v>R</v>
      </c>
      <c r="F42" s="306"/>
      <c r="G42" s="307">
        <f t="shared" ca="1" si="1"/>
        <v>35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6" t="s">
        <v>316</v>
      </c>
      <c r="AV42" s="234">
        <f t="shared" si="21"/>
        <v>24</v>
      </c>
      <c r="AW42" s="234">
        <f>COUNTIF( AV$7:AV42, AV42 )</f>
        <v>14</v>
      </c>
      <c r="AX42" s="287">
        <f t="shared" si="22"/>
        <v>25.4</v>
      </c>
      <c r="AY42" s="234">
        <f t="shared" si="23"/>
        <v>37</v>
      </c>
      <c r="AZ42" s="236"/>
      <c r="BA42" s="236"/>
      <c r="BC42" s="234">
        <f t="shared" ca="1" si="24"/>
        <v>36</v>
      </c>
      <c r="BD42" s="288">
        <f t="shared" ca="1" si="7"/>
        <v>33</v>
      </c>
      <c r="BF42" s="240" t="str">
        <f t="shared" ca="1" si="25"/>
        <v>NorthWestern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NWE</v>
      </c>
    </row>
    <row r="43" spans="1:61" ht="14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0"/>
        <v>MR</v>
      </c>
      <c r="F43" s="306"/>
      <c r="G43" s="307">
        <f t="shared" ca="1" si="1"/>
        <v>38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>
        <f t="shared" ca="1" si="3"/>
        <v>1</v>
      </c>
      <c r="AH43" s="236" t="str">
        <f t="shared" ca="1" si="19"/>
        <v/>
      </c>
      <c r="AJ43" s="236">
        <f t="shared" ca="1" si="4"/>
        <v>55</v>
      </c>
      <c r="AK43" s="236" t="str">
        <f t="shared" ca="1" si="20"/>
        <v>BBB-</v>
      </c>
      <c r="AL43" s="236">
        <f t="shared" ca="1" si="20"/>
        <v>17</v>
      </c>
      <c r="AM43" s="236" t="str">
        <f t="shared" ca="1" si="5"/>
        <v>Change</v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13</v>
      </c>
      <c r="AW43" s="234">
        <f>COUNTIF( AV$7:AV43, AV43 )</f>
        <v>6</v>
      </c>
      <c r="AX43" s="287">
        <f t="shared" si="22"/>
        <v>13.6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36</v>
      </c>
      <c r="BF43" s="240" t="str">
        <f t="shared" ca="1" si="25"/>
        <v>Otter Tail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OTTR</v>
      </c>
    </row>
    <row r="44" spans="1:61" ht="14">
      <c r="A44" s="303" t="s">
        <v>53</v>
      </c>
      <c r="B44" s="304" t="s">
        <v>28</v>
      </c>
      <c r="C44" s="304">
        <v>18</v>
      </c>
      <c r="D44" s="304" t="s">
        <v>317</v>
      </c>
      <c r="E44" s="305" t="str">
        <f t="shared" ca="1" si="0"/>
        <v>R</v>
      </c>
      <c r="F44" s="306"/>
      <c r="G44" s="307">
        <f t="shared" ca="1" si="1"/>
        <v>40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24</v>
      </c>
      <c r="AW44" s="234">
        <f>COUNTIF( AV$7:AV44, AV44 )</f>
        <v>15</v>
      </c>
      <c r="AX44" s="287">
        <f t="shared" si="22"/>
        <v>25.5</v>
      </c>
      <c r="AY44" s="234">
        <f t="shared" si="23"/>
        <v>38</v>
      </c>
      <c r="AZ44" s="236"/>
      <c r="BA44" s="236"/>
      <c r="BC44" s="234">
        <f t="shared" ca="1" si="24"/>
        <v>38</v>
      </c>
      <c r="BD44" s="288">
        <f t="shared" ca="1" si="7"/>
        <v>38</v>
      </c>
      <c r="BF44" s="240" t="str">
        <f t="shared" ca="1" si="25"/>
        <v>PG&amp;E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PCG</v>
      </c>
    </row>
    <row r="45" spans="1:61" ht="14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0"/>
        <v>R</v>
      </c>
      <c r="F45" s="306"/>
      <c r="G45" s="307">
        <f t="shared" ca="1" si="1"/>
        <v>42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>
        <f t="shared" ca="1" si="3"/>
        <v>1</v>
      </c>
      <c r="AH45" s="236" t="str">
        <f t="shared" ca="1" si="19"/>
        <v/>
      </c>
      <c r="AJ45" s="236">
        <f t="shared" ca="1" si="4"/>
        <v>56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>Change</v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13</v>
      </c>
      <c r="AW45" s="234">
        <f>COUNTIF( AV$7:AV45, AV45 )</f>
        <v>7</v>
      </c>
      <c r="AX45" s="287">
        <f t="shared" si="22"/>
        <v>13.7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40</v>
      </c>
      <c r="BF45" s="240" t="str">
        <f t="shared" ca="1" si="25"/>
        <v>PNM Resources,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PNM</v>
      </c>
    </row>
    <row r="46" spans="1:61" ht="14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0"/>
        <v>R</v>
      </c>
      <c r="F46" s="306"/>
      <c r="G46" s="307">
        <f t="shared" ca="1" si="1"/>
        <v>43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1"/>
        <v>24</v>
      </c>
      <c r="AW46" s="234">
        <f>COUNTIF( AV$7:AV46, AV46 )</f>
        <v>16</v>
      </c>
      <c r="AX46" s="287">
        <f t="shared" si="22"/>
        <v>25.6</v>
      </c>
      <c r="AY46" s="234">
        <f t="shared" si="23"/>
        <v>39</v>
      </c>
      <c r="AZ46" s="236"/>
      <c r="BA46" s="236"/>
      <c r="BC46" s="234">
        <f t="shared" ca="1" si="24"/>
        <v>40</v>
      </c>
      <c r="BD46" s="288">
        <f t="shared" ca="1" si="7"/>
        <v>41</v>
      </c>
      <c r="BF46" s="240" t="str">
        <f t="shared" ca="1" si="25"/>
        <v>Portland General Electric Company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POR</v>
      </c>
    </row>
    <row r="47" spans="1:61" ht="14">
      <c r="A47" s="303" t="s">
        <v>43</v>
      </c>
      <c r="B47" s="304" t="s">
        <v>28</v>
      </c>
      <c r="C47" s="304">
        <v>18</v>
      </c>
      <c r="D47" s="304" t="s">
        <v>324</v>
      </c>
      <c r="E47" s="305" t="str">
        <f t="shared" ca="1" si="0"/>
        <v>MR</v>
      </c>
      <c r="F47" s="306"/>
      <c r="G47" s="307">
        <f t="shared" ca="1" si="1"/>
        <v>44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17</v>
      </c>
      <c r="AX47" s="287">
        <f t="shared" si="22"/>
        <v>25.7</v>
      </c>
      <c r="AY47" s="234">
        <f t="shared" si="23"/>
        <v>40</v>
      </c>
      <c r="AZ47" s="236"/>
      <c r="BA47" s="236"/>
      <c r="BC47" s="234">
        <f t="shared" ca="1" si="24"/>
        <v>41</v>
      </c>
      <c r="BD47" s="288">
        <f t="shared" ca="1" si="7"/>
        <v>42</v>
      </c>
      <c r="BF47" s="240" t="str">
        <f t="shared" ca="1" si="25"/>
        <v>PPL Corporation</v>
      </c>
      <c r="BG47" s="240" t="str">
        <f t="shared" ca="1" si="9"/>
        <v>BBB</v>
      </c>
      <c r="BH47" s="240">
        <f t="shared" ca="1" si="9"/>
        <v>18</v>
      </c>
      <c r="BI47" s="240" t="str">
        <f t="shared" ca="1" si="9"/>
        <v>PPL</v>
      </c>
    </row>
    <row r="48" spans="1:61" ht="14">
      <c r="A48" s="303" t="s">
        <v>75</v>
      </c>
      <c r="B48" s="304" t="s">
        <v>28</v>
      </c>
      <c r="C48" s="304">
        <v>18</v>
      </c>
      <c r="D48" s="304" t="s">
        <v>331</v>
      </c>
      <c r="E48" s="305" t="str">
        <f t="shared" ca="1" si="0"/>
        <v>R</v>
      </c>
      <c r="F48" s="306"/>
      <c r="G48" s="307">
        <f t="shared" ca="1" si="1"/>
        <v>50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18</v>
      </c>
      <c r="AX48" s="287">
        <f t="shared" si="22"/>
        <v>25.8</v>
      </c>
      <c r="AY48" s="234">
        <f t="shared" si="23"/>
        <v>41</v>
      </c>
      <c r="AZ48" s="236"/>
      <c r="BA48" s="236"/>
      <c r="BC48" s="234">
        <f t="shared" ca="1" si="24"/>
        <v>42</v>
      </c>
      <c r="BD48" s="288">
        <f t="shared" ca="1" si="7"/>
        <v>49</v>
      </c>
      <c r="BF48" s="240" t="str">
        <f t="shared" ca="1" si="25"/>
        <v>UIL Holdings Corporation</v>
      </c>
      <c r="BG48" s="240" t="str">
        <f t="shared" ca="1" si="9"/>
        <v>BBB</v>
      </c>
      <c r="BH48" s="240">
        <f t="shared" ca="1" si="9"/>
        <v>18</v>
      </c>
      <c r="BI48" s="240" t="str">
        <f t="shared" ca="1" si="9"/>
        <v>UIL</v>
      </c>
    </row>
    <row r="49" spans="1:61" ht="14">
      <c r="A49" s="303" t="s">
        <v>59</v>
      </c>
      <c r="B49" s="304" t="s">
        <v>28</v>
      </c>
      <c r="C49" s="304">
        <v>18</v>
      </c>
      <c r="D49" s="304" t="s">
        <v>336</v>
      </c>
      <c r="E49" s="305" t="str">
        <f t="shared" ca="1" si="0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1"/>
        <v>13</v>
      </c>
      <c r="AW49" s="234">
        <f>COUNTIF( AV$7:AV49, AV49 )</f>
        <v>8</v>
      </c>
      <c r="AX49" s="287">
        <f t="shared" si="22"/>
        <v>13.8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51</v>
      </c>
      <c r="BF49" s="240" t="str">
        <f t="shared" ca="1" si="25"/>
        <v>Westar Energy, Inc.</v>
      </c>
      <c r="BG49" s="240" t="str">
        <f t="shared" ca="1" si="9"/>
        <v>BBB</v>
      </c>
      <c r="BH49" s="240">
        <f t="shared" ca="1" si="9"/>
        <v>18</v>
      </c>
      <c r="BI49" s="240" t="str">
        <f t="shared" ca="1" si="9"/>
        <v>WR</v>
      </c>
    </row>
    <row r="50" spans="1:61" ht="14">
      <c r="A50" s="303" t="s">
        <v>48</v>
      </c>
      <c r="B50" s="304" t="s">
        <v>49</v>
      </c>
      <c r="C50" s="304">
        <v>17</v>
      </c>
      <c r="D50" s="304" t="s">
        <v>279</v>
      </c>
      <c r="E50" s="305" t="str">
        <f t="shared" ca="1" si="0"/>
        <v>R</v>
      </c>
      <c r="F50" s="306"/>
      <c r="G50" s="307">
        <f t="shared" ca="1" si="1"/>
        <v>12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48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6</v>
      </c>
      <c r="BF50" s="240" t="str">
        <f t="shared" ca="1" si="25"/>
        <v>Black Hills Corporation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BKH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49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13</v>
      </c>
      <c r="AW51" s="234">
        <f>COUNTIF( AV$7:AV51, AV51 )</f>
        <v>9</v>
      </c>
      <c r="AX51" s="287">
        <f t="shared" si="22"/>
        <v>13.9</v>
      </c>
      <c r="AY51" s="234">
        <f t="shared" si="23"/>
        <v>21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50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13</v>
      </c>
      <c r="AW52" s="234">
        <f>COUNTIF( AV$7:AV52, AV52 )</f>
        <v>10</v>
      </c>
      <c r="AX52" s="287">
        <f t="shared" si="22"/>
        <v>14</v>
      </c>
      <c r="AY52" s="234">
        <f t="shared" si="23"/>
        <v>22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51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4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52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1"/>
        <v>13</v>
      </c>
      <c r="AW54" s="234">
        <f>COUNTIF( AV$7:AV54, AV54 )</f>
        <v>11</v>
      </c>
      <c r="AX54" s="287">
        <f t="shared" si="22"/>
        <v>14.1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53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24</v>
      </c>
      <c r="AW55" s="234">
        <f>COUNTIF( AV$7:AV55, AV55 )</f>
        <v>19</v>
      </c>
      <c r="AX55" s="287">
        <f t="shared" si="22"/>
        <v>25.9</v>
      </c>
      <c r="AY55" s="234">
        <f t="shared" si="23"/>
        <v>42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4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9</v>
      </c>
      <c r="AX56" s="287">
        <f t="shared" si="22"/>
        <v>2.9</v>
      </c>
      <c r="AY56" s="234">
        <f t="shared" si="23"/>
        <v>10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25"/>
        <v>NV Energy,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NVE</v>
      </c>
    </row>
    <row r="57" spans="1:61" ht="14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24</v>
      </c>
      <c r="AW57" s="234">
        <f>COUNTIF( AV$7:AV57, AV57 )</f>
        <v>20</v>
      </c>
      <c r="AX57" s="287">
        <f t="shared" si="22"/>
        <v>26</v>
      </c>
      <c r="AY57" s="234">
        <f t="shared" si="23"/>
        <v>43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10</v>
      </c>
      <c r="AX58" s="287">
        <f t="shared" si="22"/>
        <v>3</v>
      </c>
      <c r="AY58" s="234">
        <f t="shared" si="23"/>
        <v>11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4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11</v>
      </c>
      <c r="AX59" s="287">
        <f t="shared" si="22"/>
        <v>3.1</v>
      </c>
      <c r="AY59" s="234">
        <f t="shared" si="23"/>
        <v>12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475</v>
      </c>
      <c r="B63" s="304" t="s">
        <v>56</v>
      </c>
      <c r="C63" s="304">
        <v>16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BB+</v>
      </c>
      <c r="AL63" s="236">
        <f t="shared" ca="1" si="20"/>
        <v>16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4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>
        <f t="shared" ca="1" si="4"/>
        <v>65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4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18.327272727272728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81" t="s">
        <v>469</v>
      </c>
      <c r="D74" s="280"/>
      <c r="E74" s="234"/>
      <c r="F74" s="282"/>
      <c r="H74" s="282"/>
      <c r="I74" s="282"/>
    </row>
    <row r="75" spans="1:58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AQ77" s="286"/>
      <c r="AR77" s="286"/>
      <c r="AS77" s="286"/>
    </row>
    <row r="78" spans="1:58">
      <c r="C78" s="339">
        <f>SUMPRODUCT( L8:L13, Y8:Y13 ) / L14</f>
        <v>18.436363636363637</v>
      </c>
      <c r="E78" s="283"/>
      <c r="G78" s="251"/>
      <c r="J78" s="240"/>
      <c r="K78" s="240"/>
      <c r="AQ78" s="286"/>
      <c r="AR78" s="286"/>
      <c r="AS78" s="286"/>
    </row>
    <row r="79" spans="1:58" s="240" customFormat="1" ht="14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206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activeCell="X68" sqref="X68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-- 2013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Reg_Percent_2011</v>
      </c>
      <c r="G2" s="239" t="s">
        <v>436</v>
      </c>
      <c r="AJ2" s="240" t="str">
        <f>AJ4 &amp; AJ3</f>
        <v>'Credit_2012Q4'!a:a</v>
      </c>
      <c r="AK2" s="240" t="str">
        <f>AK4 &amp; AK3</f>
        <v>'Credit_2012Q4'!b1</v>
      </c>
      <c r="AL2" s="240" t="str">
        <f>AL4 &amp; AL3</f>
        <v>'Credit_2012Q4'!c1</v>
      </c>
    </row>
    <row r="3" spans="1:61" ht="19" hidden="1" outlineLevel="1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450</v>
      </c>
      <c r="AK4" s="236" t="str">
        <f>AJ4</f>
        <v>'Credit_2012Q4'!</v>
      </c>
      <c r="AL4" s="236" t="str">
        <f>AK4</f>
        <v>'Credit_2012Q4'!</v>
      </c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(56)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(17)</v>
      </c>
      <c r="S5" s="508"/>
      <c r="T5" s="314"/>
      <c r="U5" s="504" t="str">
        <f ca="1">"Diversified" &amp; CHAR( 10 ) &amp; "(" &amp; U14 &amp; ")"</f>
        <v>Diversified
(3)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428</v>
      </c>
      <c r="C6" s="338" t="s">
        <v>470</v>
      </c>
      <c r="D6" s="301"/>
      <c r="E6" s="302">
        <v>40908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15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17</v>
      </c>
      <c r="BI7" s="240" t="str">
        <f t="shared" ca="1" si="9"/>
        <v>SO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>
        <f t="shared" ca="1" si="3"/>
        <v>1</v>
      </c>
      <c r="AH8" s="236" t="str">
        <f t="shared" ref="AH8:AH67" ca="1" si="19">IF( LEN( $C8 ) = 0, "", IF( $C8 &lt; $AL8, 1, "" ) )</f>
        <v/>
      </c>
      <c r="AJ8" s="236">
        <f t="shared" ca="1" si="4"/>
        <v>17</v>
      </c>
      <c r="AK8" s="236" t="str">
        <f t="shared" ref="AK8:AL67" ca="1" si="20">IF( ISNA( $AJ8 ), "", OFFSET( INDIRECT( AK$2 ), $AJ8-1, 0 ) )</f>
        <v>BBB+</v>
      </c>
      <c r="AL8" s="236">
        <f t="shared" ca="1" si="20"/>
        <v>19</v>
      </c>
      <c r="AM8" s="236" t="str">
        <f t="shared" ca="1" si="5"/>
        <v>Change</v>
      </c>
      <c r="AQ8" s="286" t="s">
        <v>17</v>
      </c>
      <c r="AR8" s="286" t="s">
        <v>10</v>
      </c>
      <c r="AS8" s="286">
        <v>16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16</v>
      </c>
      <c r="BI8" s="240" t="str">
        <f t="shared" ca="1" si="9"/>
        <v>LNT</v>
      </c>
    </row>
    <row r="9" spans="1:61" ht="14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0.16071428571428573</v>
      </c>
      <c r="N9" s="318"/>
      <c r="O9" s="295">
        <f t="shared" ca="1" si="12"/>
        <v>7</v>
      </c>
      <c r="P9" s="296">
        <f t="shared" ca="1" si="13"/>
        <v>0.19444444444444445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14</v>
      </c>
      <c r="AT9" s="286" t="s">
        <v>273</v>
      </c>
      <c r="AV9" s="234">
        <f t="shared" si="21"/>
        <v>23</v>
      </c>
      <c r="AW9" s="234">
        <f>COUNTIF( AV$7:AV9, AV9 )</f>
        <v>1</v>
      </c>
      <c r="AX9" s="287">
        <f t="shared" si="22"/>
        <v>23.1</v>
      </c>
      <c r="AY9" s="234">
        <f t="shared" si="23"/>
        <v>23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16</v>
      </c>
      <c r="BI9" s="240" t="str">
        <f t="shared" ca="1" si="9"/>
        <v>ED</v>
      </c>
    </row>
    <row r="10" spans="1:61" ht="14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0.21428571428571427</v>
      </c>
      <c r="N10" s="318"/>
      <c r="O10" s="295">
        <f t="shared" ca="1" si="12"/>
        <v>4</v>
      </c>
      <c r="P10" s="296">
        <f t="shared" ca="1" si="13"/>
        <v>0.1111111111111111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14</v>
      </c>
      <c r="AT10" s="286" t="s">
        <v>274</v>
      </c>
      <c r="AV10" s="234">
        <f t="shared" si="21"/>
        <v>23</v>
      </c>
      <c r="AW10" s="234">
        <f>COUNTIF( AV$7:AV10, AV10 )</f>
        <v>2</v>
      </c>
      <c r="AX10" s="287">
        <f t="shared" si="22"/>
        <v>23.2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16</v>
      </c>
      <c r="BI10" s="240" t="str">
        <f t="shared" ca="1" si="9"/>
        <v>D</v>
      </c>
    </row>
    <row r="11" spans="1:61" ht="14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19</v>
      </c>
      <c r="M11" s="296">
        <f t="shared" si="11"/>
        <v>0.3392857142857143</v>
      </c>
      <c r="N11" s="318"/>
      <c r="O11" s="295">
        <f t="shared" ca="1" si="12"/>
        <v>16</v>
      </c>
      <c r="P11" s="296">
        <f t="shared" ca="1" si="13"/>
        <v>0.44444444444444442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14</v>
      </c>
      <c r="AT11" s="286" t="s">
        <v>277</v>
      </c>
      <c r="AV11" s="234">
        <f t="shared" si="21"/>
        <v>23</v>
      </c>
      <c r="AW11" s="234">
        <f>COUNTIF( AV$7:AV11, AV11 )</f>
        <v>3</v>
      </c>
      <c r="AX11" s="287">
        <f t="shared" si="22"/>
        <v>23.3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16</v>
      </c>
      <c r="BI11" s="240" t="str">
        <f t="shared" ca="1" si="9"/>
        <v>TEG</v>
      </c>
    </row>
    <row r="12" spans="1:61" ht="14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9</v>
      </c>
      <c r="M12" s="296">
        <f t="shared" si="11"/>
        <v>0.16071428571428573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9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13</v>
      </c>
      <c r="AT12" s="286" t="s">
        <v>279</v>
      </c>
      <c r="AV12" s="234">
        <f t="shared" si="21"/>
        <v>42</v>
      </c>
      <c r="AW12" s="234">
        <f>COUNTIF( AV$7:AV12, AV12 )</f>
        <v>1</v>
      </c>
      <c r="AX12" s="287">
        <f t="shared" si="22"/>
        <v>42.1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16</v>
      </c>
      <c r="BI12" s="240" t="str">
        <f t="shared" ca="1" si="9"/>
        <v>NEE</v>
      </c>
    </row>
    <row r="13" spans="1:61" ht="14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15</v>
      </c>
      <c r="AT13" s="286" t="s">
        <v>285</v>
      </c>
      <c r="AV13" s="234">
        <f t="shared" si="21"/>
        <v>11</v>
      </c>
      <c r="AW13" s="234">
        <f>COUNTIF( AV$7:AV13, AV13 )</f>
        <v>2</v>
      </c>
      <c r="AX13" s="287">
        <f t="shared" si="22"/>
        <v>11.2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16</v>
      </c>
      <c r="BI13" s="240" t="str">
        <f t="shared" ca="1" si="9"/>
        <v>ES</v>
      </c>
    </row>
    <row r="14" spans="1:61" ht="14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18.392857142857142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14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4</v>
      </c>
      <c r="AX14" s="287">
        <f t="shared" si="22"/>
        <v>23.4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50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16</v>
      </c>
      <c r="BI14" s="240" t="str">
        <f t="shared" ca="1" si="9"/>
        <v>VVC</v>
      </c>
    </row>
    <row r="15" spans="1:61" ht="14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14</v>
      </c>
      <c r="AT15" s="286" t="s">
        <v>283</v>
      </c>
      <c r="AV15" s="234">
        <f t="shared" si="21"/>
        <v>23</v>
      </c>
      <c r="AW15" s="234">
        <f>COUNTIF( AV$7:AV15, AV15 )</f>
        <v>5</v>
      </c>
      <c r="AX15" s="287">
        <f t="shared" si="22"/>
        <v>23.5</v>
      </c>
      <c r="AY15" s="234">
        <f t="shared" si="23"/>
        <v>27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16</v>
      </c>
      <c r="BI15" s="240" t="str">
        <f t="shared" ca="1" si="9"/>
        <v>WEC</v>
      </c>
    </row>
    <row r="16" spans="1:61" ht="14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18.285714285714285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18.361111111111111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18.705882352941178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15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16</v>
      </c>
      <c r="AT16" s="286" t="s">
        <v>291</v>
      </c>
      <c r="AV16" s="234">
        <f t="shared" si="21"/>
        <v>2</v>
      </c>
      <c r="AW16" s="234">
        <f>COUNTIF( AV$7:AV16, AV16 )</f>
        <v>2</v>
      </c>
      <c r="AX16" s="287">
        <f t="shared" si="22"/>
        <v>2.2000000000000002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53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16</v>
      </c>
      <c r="BI16" s="240" t="str">
        <f t="shared" ca="1" si="9"/>
        <v>XEL</v>
      </c>
    </row>
    <row r="17" spans="1:61" ht="14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16</v>
      </c>
      <c r="AT17" s="289" t="s">
        <v>86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15</v>
      </c>
      <c r="BI17" s="240" t="str">
        <f t="shared" ca="1" si="9"/>
        <v>ALE</v>
      </c>
    </row>
    <row r="18" spans="1:61" ht="14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11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15</v>
      </c>
      <c r="BI18" s="240" t="str">
        <f t="shared" ca="1" si="9"/>
        <v>CNP</v>
      </c>
    </row>
    <row r="19" spans="1:61" ht="14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15</v>
      </c>
      <c r="AT19" s="289" t="s">
        <v>288</v>
      </c>
      <c r="AV19" s="234">
        <f t="shared" si="21"/>
        <v>11</v>
      </c>
      <c r="AW19" s="234">
        <f>COUNTIF( AV$7:AV19, AV19 )</f>
        <v>3</v>
      </c>
      <c r="AX19" s="287">
        <f t="shared" si="22"/>
        <v>11.3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15</v>
      </c>
      <c r="BI19" s="240" t="str">
        <f t="shared" ca="1" si="9"/>
        <v>DTE</v>
      </c>
    </row>
    <row r="20" spans="1:61" ht="14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15</v>
      </c>
      <c r="AT20" s="289" t="s">
        <v>289</v>
      </c>
      <c r="AV20" s="234">
        <f t="shared" si="21"/>
        <v>11</v>
      </c>
      <c r="AW20" s="234">
        <f>COUNTIF( AV$7:AV20, AV20 )</f>
        <v>4</v>
      </c>
      <c r="AX20" s="287">
        <f t="shared" si="22"/>
        <v>11.4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15</v>
      </c>
      <c r="BI20" s="240" t="str">
        <f t="shared" ca="1" si="9"/>
        <v>DUK</v>
      </c>
    </row>
    <row r="21" spans="1:61" ht="14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13</v>
      </c>
      <c r="AT21" s="286" t="s">
        <v>295</v>
      </c>
      <c r="AV21" s="234">
        <f t="shared" si="21"/>
        <v>42</v>
      </c>
      <c r="AW21" s="234">
        <f>COUNTIF( AV$7:AV21, AV21 )</f>
        <v>2</v>
      </c>
      <c r="AX21" s="287">
        <f t="shared" si="22"/>
        <v>42.2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15</v>
      </c>
      <c r="BI21" s="240" t="str">
        <f t="shared" ca="1" si="9"/>
        <v>MDU</v>
      </c>
    </row>
    <row r="22" spans="1:61" ht="14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14</v>
      </c>
      <c r="AT22" s="286" t="s">
        <v>293</v>
      </c>
      <c r="AV22" s="234">
        <f t="shared" si="21"/>
        <v>23</v>
      </c>
      <c r="AW22" s="234">
        <f>COUNTIF( AV$7:AV22, AV22 )</f>
        <v>6</v>
      </c>
      <c r="AX22" s="287">
        <f t="shared" si="22"/>
        <v>23.6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15</v>
      </c>
      <c r="BI22" s="240" t="str">
        <f t="shared" ca="1" si="9"/>
        <v>**BRK</v>
      </c>
    </row>
    <row r="23" spans="1:61" ht="14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14</v>
      </c>
      <c r="AT23" s="286" t="s">
        <v>292</v>
      </c>
      <c r="AV23" s="234">
        <f t="shared" si="21"/>
        <v>23</v>
      </c>
      <c r="AW23" s="234">
        <f>COUNTIF( AV$7:AV23, AV23 )</f>
        <v>7</v>
      </c>
      <c r="AX23" s="287">
        <f t="shared" si="22"/>
        <v>23.7</v>
      </c>
      <c r="AY23" s="234">
        <f t="shared" si="23"/>
        <v>29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15</v>
      </c>
      <c r="BI23" s="240" t="str">
        <f t="shared" ca="1" si="9"/>
        <v>OGE</v>
      </c>
    </row>
    <row r="24" spans="1:61" ht="14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5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15</v>
      </c>
      <c r="BI24" s="240" t="str">
        <f t="shared" ca="1" si="9"/>
        <v>POM</v>
      </c>
    </row>
    <row r="25" spans="1:61" ht="14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14</v>
      </c>
      <c r="AT25" s="286" t="s">
        <v>296</v>
      </c>
      <c r="AV25" s="234">
        <f t="shared" si="21"/>
        <v>23</v>
      </c>
      <c r="AW25" s="234">
        <f>COUNTIF( AV$7:AV25, AV25 )</f>
        <v>8</v>
      </c>
      <c r="AX25" s="287">
        <f t="shared" si="22"/>
        <v>23.8</v>
      </c>
      <c r="AY25" s="234">
        <f t="shared" si="23"/>
        <v>30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15</v>
      </c>
      <c r="BI25" s="240" t="str">
        <f t="shared" ca="1" si="9"/>
        <v>PNW</v>
      </c>
    </row>
    <row r="26" spans="1:61" ht="14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14</v>
      </c>
      <c r="AT26" s="286" t="s">
        <v>297</v>
      </c>
      <c r="AV26" s="234">
        <f t="shared" si="21"/>
        <v>23</v>
      </c>
      <c r="AW26" s="234">
        <f>COUNTIF( AV$7:AV26, AV26 )</f>
        <v>9</v>
      </c>
      <c r="AX26" s="287">
        <f t="shared" si="22"/>
        <v>23.9</v>
      </c>
      <c r="AY26" s="234">
        <f t="shared" si="23"/>
        <v>31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15</v>
      </c>
      <c r="BI26" s="240" t="str">
        <f t="shared" ca="1" si="9"/>
        <v>SCG</v>
      </c>
    </row>
    <row r="27" spans="1:61" ht="14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13</v>
      </c>
      <c r="AT27" s="286" t="s">
        <v>298</v>
      </c>
      <c r="AV27" s="234">
        <f t="shared" si="21"/>
        <v>42</v>
      </c>
      <c r="AW27" s="234">
        <f>COUNTIF( AV$7:AV27, AV27 )</f>
        <v>3</v>
      </c>
      <c r="AX27" s="287">
        <f t="shared" si="22"/>
        <v>42.3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15</v>
      </c>
      <c r="BI27" s="240" t="str">
        <f t="shared" ca="1" si="9"/>
        <v>SRE</v>
      </c>
    </row>
    <row r="28" spans="1:61" ht="14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14</v>
      </c>
      <c r="AT28" s="286" t="s">
        <v>300</v>
      </c>
      <c r="AV28" s="234">
        <f t="shared" si="21"/>
        <v>23</v>
      </c>
      <c r="AW28" s="234">
        <f>COUNTIF( AV$7:AV28, AV28 )</f>
        <v>10</v>
      </c>
      <c r="AX28" s="287">
        <f t="shared" si="22"/>
        <v>24</v>
      </c>
      <c r="AY28" s="234">
        <f t="shared" si="23"/>
        <v>32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15</v>
      </c>
      <c r="BI28" s="240" t="str">
        <f t="shared" ca="1" si="9"/>
        <v>TE</v>
      </c>
    </row>
    <row r="29" spans="1:61" ht="14">
      <c r="A29" s="303" t="s">
        <v>9</v>
      </c>
      <c r="B29" s="304" t="s">
        <v>28</v>
      </c>
      <c r="C29" s="304">
        <v>18</v>
      </c>
      <c r="D29" s="304" t="s">
        <v>273</v>
      </c>
      <c r="E29" s="305" t="str">
        <f t="shared" ca="1" si="0"/>
        <v>R</v>
      </c>
      <c r="F29" s="306"/>
      <c r="G29" s="307">
        <f t="shared" ca="1" si="1"/>
        <v>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9"/>
        <v/>
      </c>
      <c r="AJ29" s="236">
        <f t="shared" ca="1" si="4"/>
        <v>45</v>
      </c>
      <c r="AK29" s="236" t="str">
        <f t="shared" ca="1" si="20"/>
        <v>BBB-</v>
      </c>
      <c r="AL29" s="236">
        <f t="shared" ca="1" si="20"/>
        <v>17</v>
      </c>
      <c r="AM29" s="236" t="str">
        <f t="shared" ca="1" si="5"/>
        <v>Change</v>
      </c>
      <c r="AQ29" s="286" t="s">
        <v>39</v>
      </c>
      <c r="AR29" s="286" t="s">
        <v>49</v>
      </c>
      <c r="AS29" s="286">
        <v>13</v>
      </c>
      <c r="AT29" s="289" t="s">
        <v>301</v>
      </c>
      <c r="AV29" s="234">
        <f t="shared" si="21"/>
        <v>42</v>
      </c>
      <c r="AW29" s="234">
        <f>COUNTIF( AV$7:AV29, AV29 )</f>
        <v>4</v>
      </c>
      <c r="AX29" s="287">
        <f t="shared" si="22"/>
        <v>42.4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3</v>
      </c>
      <c r="BF29" s="240" t="str">
        <f t="shared" ca="1" si="8"/>
        <v>Ameren Corporation</v>
      </c>
      <c r="BG29" s="240" t="str">
        <f t="shared" ca="1" si="9"/>
        <v>BBB</v>
      </c>
      <c r="BH29" s="240">
        <f t="shared" ca="1" si="9"/>
        <v>14</v>
      </c>
      <c r="BI29" s="240" t="str">
        <f t="shared" ca="1" si="9"/>
        <v>AEE</v>
      </c>
    </row>
    <row r="30" spans="1:61" ht="14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14</v>
      </c>
      <c r="AT30" s="286" t="s">
        <v>443</v>
      </c>
      <c r="AV30" s="234">
        <f t="shared" si="21"/>
        <v>23</v>
      </c>
      <c r="AW30" s="234">
        <f>COUNTIF( AV$7:AV30, AV30 )</f>
        <v>11</v>
      </c>
      <c r="AX30" s="287">
        <f t="shared" si="22"/>
        <v>24.1</v>
      </c>
      <c r="AY30" s="234">
        <f t="shared" si="23"/>
        <v>33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14</v>
      </c>
      <c r="BI30" s="240" t="str">
        <f t="shared" ca="1" si="9"/>
        <v>AEP</v>
      </c>
    </row>
    <row r="31" spans="1:61" ht="14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14</v>
      </c>
      <c r="AT31" s="286" t="s">
        <v>302</v>
      </c>
      <c r="AV31" s="234">
        <f t="shared" si="21"/>
        <v>23</v>
      </c>
      <c r="AW31" s="234">
        <f>COUNTIF( AV$7:AV31, AV31 )</f>
        <v>12</v>
      </c>
      <c r="AX31" s="287">
        <f t="shared" si="22"/>
        <v>24.2</v>
      </c>
      <c r="AY31" s="234">
        <f t="shared" si="23"/>
        <v>34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14</v>
      </c>
      <c r="BI31" s="240" t="str">
        <f t="shared" ca="1" si="9"/>
        <v>AVA</v>
      </c>
    </row>
    <row r="32" spans="1:61" ht="14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16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14</v>
      </c>
      <c r="BI32" s="240" t="str">
        <f t="shared" ca="1" si="9"/>
        <v>CNL</v>
      </c>
    </row>
    <row r="33" spans="1:61" ht="14">
      <c r="A33" s="303" t="s">
        <v>60</v>
      </c>
      <c r="B33" s="304" t="s">
        <v>28</v>
      </c>
      <c r="C33" s="304">
        <v>18</v>
      </c>
      <c r="D33" s="304" t="s">
        <v>283</v>
      </c>
      <c r="E33" s="305" t="str">
        <f t="shared" ca="1" si="0"/>
        <v>R</v>
      </c>
      <c r="F33" s="306"/>
      <c r="G33" s="307">
        <f t="shared" ca="1" si="1"/>
        <v>17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>
        <f t="shared" ca="1" si="3"/>
        <v>1</v>
      </c>
      <c r="AH33" s="236" t="str">
        <f t="shared" ca="1" si="19"/>
        <v/>
      </c>
      <c r="AJ33" s="236">
        <f t="shared" ca="1" si="4"/>
        <v>47</v>
      </c>
      <c r="AK33" s="236" t="str">
        <f t="shared" ca="1" si="20"/>
        <v>BBB-</v>
      </c>
      <c r="AL33" s="236">
        <f t="shared" ca="1" si="20"/>
        <v>17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13</v>
      </c>
      <c r="AT33" s="286" t="s">
        <v>445</v>
      </c>
      <c r="AV33" s="234">
        <f t="shared" si="21"/>
        <v>42</v>
      </c>
      <c r="AW33" s="234">
        <f>COUNTIF( AV$7:AV33, AV33 )</f>
        <v>5</v>
      </c>
      <c r="AX33" s="287">
        <f t="shared" si="22"/>
        <v>42.5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9</v>
      </c>
      <c r="BF33" s="240" t="str">
        <f t="shared" ca="1" si="8"/>
        <v>CMS Energy Corporation</v>
      </c>
      <c r="BG33" s="240" t="str">
        <f t="shared" ca="1" si="9"/>
        <v>BBB</v>
      </c>
      <c r="BH33" s="240">
        <f t="shared" ca="1" si="9"/>
        <v>14</v>
      </c>
      <c r="BI33" s="240" t="str">
        <f t="shared" ca="1" si="9"/>
        <v>CMS</v>
      </c>
    </row>
    <row r="34" spans="1:61" ht="14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32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15</v>
      </c>
      <c r="AT34" s="286" t="s">
        <v>308</v>
      </c>
      <c r="AV34" s="234">
        <f t="shared" si="21"/>
        <v>11</v>
      </c>
      <c r="AW34" s="234">
        <f>COUNTIF( AV$7:AV34, AV34 )</f>
        <v>5</v>
      </c>
      <c r="AX34" s="287">
        <f t="shared" si="22"/>
        <v>11.5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14</v>
      </c>
      <c r="BI34" s="240" t="str">
        <f t="shared" ca="1" si="9"/>
        <v>EE</v>
      </c>
    </row>
    <row r="35" spans="1:61" ht="14">
      <c r="A35" s="303" t="s">
        <v>35</v>
      </c>
      <c r="B35" s="304" t="s">
        <v>28</v>
      </c>
      <c r="C35" s="304">
        <v>18</v>
      </c>
      <c r="D35" s="304" t="s">
        <v>292</v>
      </c>
      <c r="E35" s="305" t="str">
        <f t="shared" ca="1" si="0"/>
        <v>R</v>
      </c>
      <c r="F35" s="306"/>
      <c r="G35" s="307">
        <f t="shared" ca="1" si="1"/>
        <v>25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9"/>
        <v/>
      </c>
      <c r="AJ35" s="236">
        <f t="shared" ca="1" si="4"/>
        <v>49</v>
      </c>
      <c r="AK35" s="236" t="str">
        <f t="shared" ca="1" si="20"/>
        <v>BBB-</v>
      </c>
      <c r="AL35" s="236">
        <f t="shared" ca="1" si="20"/>
        <v>17</v>
      </c>
      <c r="AM35" s="236" t="str">
        <f t="shared" ca="1" si="5"/>
        <v>Change</v>
      </c>
      <c r="AQ35" s="286" t="s">
        <v>52</v>
      </c>
      <c r="AR35" s="286" t="s">
        <v>16</v>
      </c>
      <c r="AS35" s="286">
        <v>15</v>
      </c>
      <c r="AT35" s="286" t="s">
        <v>446</v>
      </c>
      <c r="AV35" s="234">
        <f t="shared" si="21"/>
        <v>11</v>
      </c>
      <c r="AW35" s="234">
        <f>COUNTIF( AV$7:AV35, AV35 )</f>
        <v>6</v>
      </c>
      <c r="AX35" s="287">
        <f t="shared" si="22"/>
        <v>11.6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17</v>
      </c>
      <c r="BF35" s="240" t="str">
        <f t="shared" ca="1" si="8"/>
        <v>Empire District Electric Company</v>
      </c>
      <c r="BG35" s="240" t="str">
        <f t="shared" ca="1" si="9"/>
        <v>BBB</v>
      </c>
      <c r="BH35" s="240">
        <f t="shared" ca="1" si="9"/>
        <v>14</v>
      </c>
      <c r="BI35" s="240" t="str">
        <f t="shared" ca="1" si="9"/>
        <v>EDE</v>
      </c>
    </row>
    <row r="36" spans="1:61" ht="14">
      <c r="A36" s="303" t="s">
        <v>36</v>
      </c>
      <c r="B36" s="304" t="s">
        <v>28</v>
      </c>
      <c r="C36" s="304">
        <v>18</v>
      </c>
      <c r="D36" s="304" t="s">
        <v>296</v>
      </c>
      <c r="E36" s="305" t="str">
        <f t="shared" ca="1" si="0"/>
        <v>R</v>
      </c>
      <c r="F36" s="306"/>
      <c r="G36" s="307">
        <f t="shared" ca="1" si="1"/>
        <v>26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34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16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19</v>
      </c>
      <c r="BF36" s="240" t="str">
        <f t="shared" ca="1" si="8"/>
        <v>Entergy Corporation</v>
      </c>
      <c r="BG36" s="240" t="str">
        <f t="shared" ca="1" si="9"/>
        <v>BBB</v>
      </c>
      <c r="BH36" s="240">
        <f t="shared" ca="1" si="9"/>
        <v>14</v>
      </c>
      <c r="BI36" s="240" t="str">
        <f t="shared" ca="1" si="9"/>
        <v>ETR</v>
      </c>
    </row>
    <row r="37" spans="1:61" ht="14">
      <c r="A37" s="303" t="s">
        <v>11</v>
      </c>
      <c r="B37" s="304" t="s">
        <v>28</v>
      </c>
      <c r="C37" s="304">
        <v>18</v>
      </c>
      <c r="D37" s="304" t="s">
        <v>297</v>
      </c>
      <c r="E37" s="305" t="str">
        <f t="shared" ca="1" si="0"/>
        <v>MR</v>
      </c>
      <c r="F37" s="306"/>
      <c r="G37" s="307">
        <f t="shared" ca="1" si="1"/>
        <v>27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13</v>
      </c>
      <c r="AT37" s="286" t="s">
        <v>310</v>
      </c>
      <c r="AV37" s="234">
        <f t="shared" si="21"/>
        <v>42</v>
      </c>
      <c r="AW37" s="234">
        <f>COUNTIF( AV$7:AV37, AV37 )</f>
        <v>6</v>
      </c>
      <c r="AX37" s="287">
        <f t="shared" si="22"/>
        <v>42.6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20</v>
      </c>
      <c r="BF37" s="240" t="str">
        <f t="shared" ca="1" si="8"/>
        <v>Exelon Corporation</v>
      </c>
      <c r="BG37" s="240" t="str">
        <f t="shared" ca="1" si="9"/>
        <v>BBB</v>
      </c>
      <c r="BH37" s="240">
        <f t="shared" ca="1" si="9"/>
        <v>14</v>
      </c>
      <c r="BI37" s="240" t="str">
        <f t="shared" ca="1" si="9"/>
        <v>EXC</v>
      </c>
    </row>
    <row r="38" spans="1:61" ht="14">
      <c r="A38" s="303" t="s">
        <v>260</v>
      </c>
      <c r="B38" s="304" t="s">
        <v>28</v>
      </c>
      <c r="C38" s="304">
        <v>18</v>
      </c>
      <c r="D38" s="304" t="s">
        <v>300</v>
      </c>
      <c r="E38" s="305" t="str">
        <f t="shared" ca="1" si="0"/>
        <v>R</v>
      </c>
      <c r="F38" s="306"/>
      <c r="G38" s="307">
        <f t="shared" ca="1" si="1"/>
        <v>29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16</v>
      </c>
      <c r="AT38" s="289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22</v>
      </c>
      <c r="BF38" s="240" t="str">
        <f t="shared" ca="1" si="8"/>
        <v>Great Plains Energy Inc.</v>
      </c>
      <c r="BG38" s="240" t="str">
        <f t="shared" ca="1" si="9"/>
        <v>BBB</v>
      </c>
      <c r="BH38" s="240">
        <f t="shared" ca="1" si="9"/>
        <v>14</v>
      </c>
      <c r="BI38" s="240" t="str">
        <f t="shared" ca="1" si="9"/>
        <v>GXP</v>
      </c>
    </row>
    <row r="39" spans="1:61" ht="14">
      <c r="A39" s="303" t="s">
        <v>451</v>
      </c>
      <c r="B39" s="304" t="s">
        <v>28</v>
      </c>
      <c r="C39" s="304">
        <v>18</v>
      </c>
      <c r="D39" s="304" t="s">
        <v>443</v>
      </c>
      <c r="E39" s="305" t="str">
        <f t="shared" ca="1" si="0"/>
        <v>R</v>
      </c>
      <c r="F39" s="306"/>
      <c r="G39" s="307">
        <f t="shared" ca="1" si="1"/>
        <v>63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33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14</v>
      </c>
      <c r="AT39" s="286" t="s">
        <v>314</v>
      </c>
      <c r="AV39" s="234">
        <f t="shared" si="21"/>
        <v>23</v>
      </c>
      <c r="AW39" s="234">
        <f>COUNTIF( AV$7:AV39, AV39 )</f>
        <v>13</v>
      </c>
      <c r="AX39" s="287">
        <f t="shared" si="22"/>
        <v>24.3</v>
      </c>
      <c r="AY39" s="234">
        <f t="shared" si="23"/>
        <v>35</v>
      </c>
      <c r="AZ39" s="236"/>
      <c r="BA39" s="236"/>
      <c r="BC39" s="234">
        <f t="shared" ca="1" si="24"/>
        <v>33</v>
      </c>
      <c r="BD39" s="288">
        <f t="shared" ca="1" si="7"/>
        <v>24</v>
      </c>
      <c r="BF39" s="240" t="str">
        <f t="shared" ref="BF39:BF63" ca="1" si="25">OFFSET( AQ$6, $BD39, 0 )</f>
        <v>Iberdrola USA</v>
      </c>
      <c r="BG39" s="240" t="str">
        <f t="shared" ca="1" si="9"/>
        <v>BBB</v>
      </c>
      <c r="BH39" s="240">
        <f t="shared" ca="1" si="9"/>
        <v>14</v>
      </c>
      <c r="BI39" s="240" t="str">
        <f t="shared" ca="1" si="9"/>
        <v>**EAST</v>
      </c>
    </row>
    <row r="40" spans="1:61" ht="14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0"/>
        <v>R</v>
      </c>
      <c r="F40" s="306"/>
      <c r="G40" s="307">
        <f t="shared" ca="1" si="1"/>
        <v>31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13</v>
      </c>
      <c r="AT40" s="286" t="s">
        <v>313</v>
      </c>
      <c r="AV40" s="234">
        <f t="shared" si="21"/>
        <v>42</v>
      </c>
      <c r="AW40" s="234">
        <f>COUNTIF( AV$7:AV40, AV40 )</f>
        <v>7</v>
      </c>
      <c r="AX40" s="287">
        <f t="shared" si="22"/>
        <v>42.7</v>
      </c>
      <c r="AY40" s="234">
        <f t="shared" si="23"/>
        <v>48</v>
      </c>
      <c r="AZ40" s="236"/>
      <c r="BA40" s="236"/>
      <c r="BC40" s="234">
        <f t="shared" ca="1" si="24"/>
        <v>34</v>
      </c>
      <c r="BD40" s="288">
        <f t="shared" ca="1" si="7"/>
        <v>25</v>
      </c>
      <c r="BF40" s="240" t="str">
        <f t="shared" ca="1" si="25"/>
        <v>IDACORP, Inc.</v>
      </c>
      <c r="BG40" s="240" t="str">
        <f t="shared" ca="1" si="9"/>
        <v>BBB</v>
      </c>
      <c r="BH40" s="240">
        <f t="shared" ca="1" si="9"/>
        <v>14</v>
      </c>
      <c r="BI40" s="240" t="str">
        <f t="shared" ca="1" si="9"/>
        <v>IDA</v>
      </c>
    </row>
    <row r="41" spans="1:61" ht="14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0"/>
        <v>R</v>
      </c>
      <c r="F41" s="306"/>
      <c r="G41" s="307">
        <f t="shared" ca="1" si="1"/>
        <v>38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15</v>
      </c>
      <c r="AT41" s="286" t="s">
        <v>315</v>
      </c>
      <c r="AV41" s="234">
        <f t="shared" si="21"/>
        <v>11</v>
      </c>
      <c r="AW41" s="234">
        <f>COUNTIF( AV$7:AV41, AV41 )</f>
        <v>7</v>
      </c>
      <c r="AX41" s="287">
        <f t="shared" si="22"/>
        <v>11.7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33</v>
      </c>
      <c r="BF41" s="240" t="str">
        <f t="shared" ca="1" si="25"/>
        <v>NorthWestern Corporation</v>
      </c>
      <c r="BG41" s="240" t="str">
        <f t="shared" ca="1" si="9"/>
        <v>BBB</v>
      </c>
      <c r="BH41" s="240">
        <f t="shared" ca="1" si="9"/>
        <v>14</v>
      </c>
      <c r="BI41" s="240" t="str">
        <f t="shared" ca="1" si="9"/>
        <v>NWE</v>
      </c>
    </row>
    <row r="42" spans="1:61" ht="14">
      <c r="A42" s="303" t="s">
        <v>53</v>
      </c>
      <c r="B42" s="304" t="s">
        <v>28</v>
      </c>
      <c r="C42" s="304">
        <v>18</v>
      </c>
      <c r="D42" s="304" t="s">
        <v>317</v>
      </c>
      <c r="E42" s="305" t="str">
        <f t="shared" ca="1" si="0"/>
        <v>R</v>
      </c>
      <c r="F42" s="306"/>
      <c r="G42" s="307">
        <f t="shared" ca="1" si="1"/>
        <v>44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13</v>
      </c>
      <c r="AT42" s="286" t="s">
        <v>316</v>
      </c>
      <c r="AV42" s="234">
        <f t="shared" si="21"/>
        <v>42</v>
      </c>
      <c r="AW42" s="234">
        <f>COUNTIF( AV$7:AV42, AV42 )</f>
        <v>8</v>
      </c>
      <c r="AX42" s="287">
        <f t="shared" si="22"/>
        <v>42.8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38</v>
      </c>
      <c r="BF42" s="240" t="str">
        <f t="shared" ca="1" si="25"/>
        <v>PG&amp;E Corporation</v>
      </c>
      <c r="BG42" s="240" t="str">
        <f t="shared" ca="1" si="9"/>
        <v>BBB</v>
      </c>
      <c r="BH42" s="240">
        <f t="shared" ca="1" si="9"/>
        <v>14</v>
      </c>
      <c r="BI42" s="240" t="str">
        <f t="shared" ca="1" si="9"/>
        <v>PCG</v>
      </c>
    </row>
    <row r="43" spans="1:61" ht="14">
      <c r="A43" s="303" t="s">
        <v>24</v>
      </c>
      <c r="B43" s="304" t="s">
        <v>28</v>
      </c>
      <c r="C43" s="304">
        <v>18</v>
      </c>
      <c r="D43" s="304" t="s">
        <v>323</v>
      </c>
      <c r="E43" s="305" t="str">
        <f t="shared" ca="1" si="0"/>
        <v>R</v>
      </c>
      <c r="F43" s="306"/>
      <c r="G43" s="307">
        <f t="shared" ca="1" si="1"/>
        <v>47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40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15</v>
      </c>
      <c r="AT43" s="286" t="s">
        <v>322</v>
      </c>
      <c r="AV43" s="234">
        <f t="shared" si="21"/>
        <v>11</v>
      </c>
      <c r="AW43" s="234">
        <f>COUNTIF( AV$7:AV43, AV43 )</f>
        <v>8</v>
      </c>
      <c r="AX43" s="287">
        <f t="shared" si="22"/>
        <v>11.8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41</v>
      </c>
      <c r="BF43" s="240" t="str">
        <f t="shared" ca="1" si="25"/>
        <v>Portland General Electric Company</v>
      </c>
      <c r="BG43" s="240" t="str">
        <f t="shared" ca="1" si="9"/>
        <v>BBB</v>
      </c>
      <c r="BH43" s="240">
        <f t="shared" ca="1" si="9"/>
        <v>14</v>
      </c>
      <c r="BI43" s="240" t="str">
        <f t="shared" ca="1" si="9"/>
        <v>POR</v>
      </c>
    </row>
    <row r="44" spans="1:61" ht="14">
      <c r="A44" s="303" t="s">
        <v>43</v>
      </c>
      <c r="B44" s="304" t="s">
        <v>28</v>
      </c>
      <c r="C44" s="304">
        <v>18</v>
      </c>
      <c r="D44" s="304" t="s">
        <v>324</v>
      </c>
      <c r="E44" s="305" t="str">
        <f t="shared" ca="1" si="0"/>
        <v>MR</v>
      </c>
      <c r="F44" s="306"/>
      <c r="G44" s="307">
        <f t="shared" ca="1" si="1"/>
        <v>48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41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14</v>
      </c>
      <c r="AT44" s="286" t="s">
        <v>317</v>
      </c>
      <c r="AV44" s="234">
        <f t="shared" si="21"/>
        <v>23</v>
      </c>
      <c r="AW44" s="234">
        <f>COUNTIF( AV$7:AV44, AV44 )</f>
        <v>14</v>
      </c>
      <c r="AX44" s="287">
        <f t="shared" si="22"/>
        <v>24.4</v>
      </c>
      <c r="AY44" s="234">
        <f t="shared" si="23"/>
        <v>36</v>
      </c>
      <c r="AZ44" s="236"/>
      <c r="BA44" s="236"/>
      <c r="BC44" s="234">
        <f t="shared" ca="1" si="24"/>
        <v>38</v>
      </c>
      <c r="BD44" s="288">
        <f t="shared" ca="1" si="7"/>
        <v>42</v>
      </c>
      <c r="BF44" s="240" t="str">
        <f t="shared" ca="1" si="25"/>
        <v>PPL Corporation</v>
      </c>
      <c r="BG44" s="240" t="str">
        <f t="shared" ca="1" si="9"/>
        <v>BBB</v>
      </c>
      <c r="BH44" s="240">
        <f t="shared" ca="1" si="9"/>
        <v>14</v>
      </c>
      <c r="BI44" s="240" t="str">
        <f t="shared" ca="1" si="9"/>
        <v>PPL</v>
      </c>
    </row>
    <row r="45" spans="1:61" ht="14">
      <c r="A45" s="303" t="s">
        <v>45</v>
      </c>
      <c r="B45" s="304" t="s">
        <v>28</v>
      </c>
      <c r="C45" s="304">
        <v>18</v>
      </c>
      <c r="D45" s="304" t="s">
        <v>318</v>
      </c>
      <c r="E45" s="305" t="str">
        <f t="shared" ca="1" si="0"/>
        <v>MR</v>
      </c>
      <c r="F45" s="306"/>
      <c r="G45" s="307">
        <f t="shared" ca="1" si="1"/>
        <v>50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42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15</v>
      </c>
      <c r="AT45" s="286" t="s">
        <v>321</v>
      </c>
      <c r="AV45" s="234">
        <f t="shared" si="21"/>
        <v>11</v>
      </c>
      <c r="AW45" s="234">
        <f>COUNTIF( AV$7:AV45, AV45 )</f>
        <v>9</v>
      </c>
      <c r="AX45" s="287">
        <f t="shared" si="22"/>
        <v>11.9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43</v>
      </c>
      <c r="BF45" s="240" t="str">
        <f t="shared" ca="1" si="25"/>
        <v>Public Service Enterprise Group Incorporated</v>
      </c>
      <c r="BG45" s="240" t="str">
        <f t="shared" ca="1" si="9"/>
        <v>BBB</v>
      </c>
      <c r="BH45" s="240">
        <f t="shared" ca="1" si="9"/>
        <v>14</v>
      </c>
      <c r="BI45" s="240" t="str">
        <f t="shared" ca="1" si="9"/>
        <v>PEG</v>
      </c>
    </row>
    <row r="46" spans="1:61" ht="14">
      <c r="A46" s="303" t="s">
        <v>75</v>
      </c>
      <c r="B46" s="304" t="s">
        <v>28</v>
      </c>
      <c r="C46" s="304">
        <v>18</v>
      </c>
      <c r="D46" s="304" t="s">
        <v>331</v>
      </c>
      <c r="E46" s="305" t="str">
        <f t="shared" ca="1" si="0"/>
        <v>R</v>
      </c>
      <c r="F46" s="306"/>
      <c r="G46" s="307">
        <f t="shared" ca="1" si="1"/>
        <v>55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49</v>
      </c>
      <c r="AS46" s="286">
        <v>13</v>
      </c>
      <c r="AT46" s="286" t="s">
        <v>320</v>
      </c>
      <c r="AV46" s="234">
        <f t="shared" si="21"/>
        <v>42</v>
      </c>
      <c r="AW46" s="234">
        <f>COUNTIF( AV$7:AV46, AV46 )</f>
        <v>9</v>
      </c>
      <c r="AX46" s="287">
        <f t="shared" si="22"/>
        <v>42.9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49</v>
      </c>
      <c r="BF46" s="240" t="str">
        <f t="shared" ca="1" si="25"/>
        <v>UIL Holdings Corporation</v>
      </c>
      <c r="BG46" s="240" t="str">
        <f t="shared" ca="1" si="9"/>
        <v>BBB</v>
      </c>
      <c r="BH46" s="240">
        <f t="shared" ca="1" si="9"/>
        <v>14</v>
      </c>
      <c r="BI46" s="240" t="str">
        <f t="shared" ca="1" si="9"/>
        <v>UIL</v>
      </c>
    </row>
    <row r="47" spans="1:61" ht="14">
      <c r="A47" s="303" t="s">
        <v>59</v>
      </c>
      <c r="B47" s="304" t="s">
        <v>28</v>
      </c>
      <c r="C47" s="304">
        <v>18</v>
      </c>
      <c r="D47" s="304" t="s">
        <v>336</v>
      </c>
      <c r="E47" s="305" t="str">
        <f t="shared" ca="1" si="0"/>
        <v>R</v>
      </c>
      <c r="F47" s="306"/>
      <c r="G47" s="307">
        <f t="shared" ca="1" si="1"/>
        <v>59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14</v>
      </c>
      <c r="AT47" s="286" t="s">
        <v>323</v>
      </c>
      <c r="AV47" s="234">
        <f t="shared" si="21"/>
        <v>23</v>
      </c>
      <c r="AW47" s="234">
        <f>COUNTIF( AV$7:AV47, AV47 )</f>
        <v>15</v>
      </c>
      <c r="AX47" s="287">
        <f t="shared" si="22"/>
        <v>24.5</v>
      </c>
      <c r="AY47" s="234">
        <f t="shared" si="23"/>
        <v>37</v>
      </c>
      <c r="AZ47" s="236"/>
      <c r="BA47" s="236"/>
      <c r="BC47" s="234">
        <f t="shared" ca="1" si="24"/>
        <v>41</v>
      </c>
      <c r="BD47" s="288">
        <f t="shared" ca="1" si="7"/>
        <v>51</v>
      </c>
      <c r="BF47" s="240" t="str">
        <f t="shared" ca="1" si="25"/>
        <v>Westar Energy, Inc.</v>
      </c>
      <c r="BG47" s="240" t="str">
        <f t="shared" ca="1" si="9"/>
        <v>BBB</v>
      </c>
      <c r="BH47" s="240">
        <f t="shared" ca="1" si="9"/>
        <v>14</v>
      </c>
      <c r="BI47" s="240" t="str">
        <f t="shared" ca="1" si="9"/>
        <v>WR</v>
      </c>
    </row>
    <row r="48" spans="1:61" ht="14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14</v>
      </c>
      <c r="AT48" s="286" t="s">
        <v>324</v>
      </c>
      <c r="AV48" s="234">
        <f t="shared" si="21"/>
        <v>23</v>
      </c>
      <c r="AW48" s="234">
        <f>COUNTIF( AV$7:AV48, AV48 )</f>
        <v>16</v>
      </c>
      <c r="AX48" s="287">
        <f t="shared" si="22"/>
        <v>24.6</v>
      </c>
      <c r="AY48" s="234">
        <f t="shared" si="23"/>
        <v>38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13</v>
      </c>
      <c r="BI48" s="240" t="str">
        <f t="shared" ca="1" si="9"/>
        <v>BKH</v>
      </c>
    </row>
    <row r="49" spans="1:61" ht="14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48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14</v>
      </c>
      <c r="AT49" s="286" t="s">
        <v>318</v>
      </c>
      <c r="AV49" s="234">
        <f t="shared" si="21"/>
        <v>23</v>
      </c>
      <c r="AW49" s="234">
        <f>COUNTIF( AV$7:AV49, AV49 )</f>
        <v>17</v>
      </c>
      <c r="AX49" s="287">
        <f t="shared" si="22"/>
        <v>24.7</v>
      </c>
      <c r="AY49" s="234">
        <f t="shared" si="23"/>
        <v>39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13</v>
      </c>
      <c r="BI49" s="240" t="str">
        <f t="shared" ca="1" si="9"/>
        <v>EIX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0"/>
        <v>MR</v>
      </c>
      <c r="F50" s="306"/>
      <c r="G50" s="307">
        <f t="shared" ca="1" si="1"/>
        <v>28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12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25"/>
        <v>FirstEnergy Corp.</v>
      </c>
      <c r="BG50" s="240" t="str">
        <f t="shared" ca="1" si="9"/>
        <v>BBB-</v>
      </c>
      <c r="BH50" s="240">
        <f t="shared" ca="1" si="9"/>
        <v>13</v>
      </c>
      <c r="BI50" s="240" t="str">
        <f t="shared" ca="1" si="9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0"/>
        <v>D</v>
      </c>
      <c r="F51" s="306"/>
      <c r="G51" s="307">
        <f t="shared" ca="1" si="1"/>
        <v>30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15</v>
      </c>
      <c r="AT51" s="286" t="s">
        <v>326</v>
      </c>
      <c r="AV51" s="234">
        <f t="shared" si="21"/>
        <v>11</v>
      </c>
      <c r="AW51" s="234">
        <f>COUNTIF( AV$7:AV51, AV51 )</f>
        <v>10</v>
      </c>
      <c r="AX51" s="287">
        <f t="shared" si="22"/>
        <v>12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25"/>
        <v>Hawaiian Electric Industries, Inc.</v>
      </c>
      <c r="BG51" s="240" t="str">
        <f t="shared" ca="1" si="9"/>
        <v>BBB-</v>
      </c>
      <c r="BH51" s="240">
        <f t="shared" ca="1" si="9"/>
        <v>13</v>
      </c>
      <c r="BI51" s="240" t="str">
        <f t="shared" ca="1" si="9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0"/>
        <v>R</v>
      </c>
      <c r="F52" s="306"/>
      <c r="G52" s="307">
        <f t="shared" ca="1" si="1"/>
        <v>66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15</v>
      </c>
      <c r="AT52" s="286" t="s">
        <v>328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25"/>
        <v>IPALCO Enterprises, Inc.</v>
      </c>
      <c r="BG52" s="240" t="str">
        <f t="shared" ca="1" si="9"/>
        <v>BBB-</v>
      </c>
      <c r="BH52" s="240">
        <f t="shared" ca="1" si="9"/>
        <v>13</v>
      </c>
      <c r="BI52" s="240" t="str">
        <f t="shared" ca="1" si="9"/>
        <v>**IPALCO</v>
      </c>
    </row>
    <row r="53" spans="1:61" ht="14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0"/>
        <v>MR</v>
      </c>
      <c r="F53" s="306"/>
      <c r="G53" s="307">
        <f t="shared" ca="1" si="1"/>
        <v>36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17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25"/>
        <v>NiSource Inc.</v>
      </c>
      <c r="BG53" s="240" t="str">
        <f t="shared" ca="1" si="9"/>
        <v>BBB-</v>
      </c>
      <c r="BH53" s="240">
        <f t="shared" ca="1" si="9"/>
        <v>13</v>
      </c>
      <c r="BI53" s="240" t="str">
        <f t="shared" ca="1" si="9"/>
        <v>NI</v>
      </c>
    </row>
    <row r="54" spans="1:61" ht="14">
      <c r="A54" s="303" t="s">
        <v>265</v>
      </c>
      <c r="B54" s="304" t="s">
        <v>49</v>
      </c>
      <c r="C54" s="304">
        <v>17</v>
      </c>
      <c r="D54" s="304" t="s">
        <v>313</v>
      </c>
      <c r="E54" s="305" t="str">
        <f t="shared" ca="1" si="0"/>
        <v>R</v>
      </c>
      <c r="F54" s="306"/>
      <c r="G54" s="307">
        <f t="shared" ca="1" si="1"/>
        <v>40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9"/>
        <v/>
      </c>
      <c r="AJ54" s="236">
        <f t="shared" ca="1" si="4"/>
        <v>56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5"/>
        <v>Change</v>
      </c>
      <c r="AQ54" s="286" t="s">
        <v>62</v>
      </c>
      <c r="AR54" s="286" t="s">
        <v>16</v>
      </c>
      <c r="AS54" s="286">
        <v>15</v>
      </c>
      <c r="AT54" s="286" t="s">
        <v>329</v>
      </c>
      <c r="AV54" s="234">
        <f t="shared" si="21"/>
        <v>11</v>
      </c>
      <c r="AW54" s="234">
        <f>COUNTIF( AV$7:AV54, AV54 )</f>
        <v>12</v>
      </c>
      <c r="AX54" s="287">
        <f t="shared" si="22"/>
        <v>12.2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34</v>
      </c>
      <c r="BF54" s="240" t="str">
        <f t="shared" ca="1" si="25"/>
        <v>NV Energy, Inc.</v>
      </c>
      <c r="BG54" s="240" t="str">
        <f t="shared" ca="1" si="9"/>
        <v>BBB-</v>
      </c>
      <c r="BH54" s="240">
        <f t="shared" ca="1" si="9"/>
        <v>13</v>
      </c>
      <c r="BI54" s="240" t="str">
        <f t="shared" ca="1" si="9"/>
        <v>NVE</v>
      </c>
    </row>
    <row r="55" spans="1:61" ht="14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14</v>
      </c>
      <c r="AT55" s="286" t="s">
        <v>331</v>
      </c>
      <c r="AV55" s="234">
        <f t="shared" si="21"/>
        <v>23</v>
      </c>
      <c r="AW55" s="234">
        <f>COUNTIF( AV$7:AV55, AV55 )</f>
        <v>18</v>
      </c>
      <c r="AX55" s="287">
        <f t="shared" si="22"/>
        <v>24.8</v>
      </c>
      <c r="AY55" s="234">
        <f t="shared" si="23"/>
        <v>40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13</v>
      </c>
      <c r="BI55" s="240" t="str">
        <f t="shared" ca="1" si="9"/>
        <v>OTTR</v>
      </c>
    </row>
    <row r="56" spans="1:61" ht="14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16</v>
      </c>
      <c r="AT56" s="286" t="s">
        <v>334</v>
      </c>
      <c r="AV56" s="234">
        <f t="shared" si="21"/>
        <v>2</v>
      </c>
      <c r="AW56" s="234">
        <f>COUNTIF( AV$7:AV56, AV56 )</f>
        <v>7</v>
      </c>
      <c r="AX56" s="287">
        <f t="shared" si="22"/>
        <v>2.7</v>
      </c>
      <c r="AY56" s="234">
        <f t="shared" si="23"/>
        <v>8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13</v>
      </c>
      <c r="BI56" s="240" t="str">
        <f t="shared" ca="1" si="9"/>
        <v>PNM</v>
      </c>
    </row>
    <row r="57" spans="1:61" ht="14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68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14</v>
      </c>
      <c r="AT57" s="286" t="s">
        <v>336</v>
      </c>
      <c r="AV57" s="234">
        <f t="shared" si="21"/>
        <v>23</v>
      </c>
      <c r="AW57" s="234">
        <f>COUNTIF( AV$7:AV57, AV57 )</f>
        <v>19</v>
      </c>
      <c r="AX57" s="287">
        <f t="shared" si="22"/>
        <v>24.9</v>
      </c>
      <c r="AY57" s="234">
        <f t="shared" si="23"/>
        <v>41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12</v>
      </c>
      <c r="BI57" s="240" t="str">
        <f t="shared" ca="1" si="9"/>
        <v>**PSD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64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16</v>
      </c>
      <c r="AT58" s="286" t="s">
        <v>335</v>
      </c>
      <c r="AV58" s="234">
        <f t="shared" si="21"/>
        <v>2</v>
      </c>
      <c r="AW58" s="234">
        <f>COUNTIF( AV$7:AV58, AV58 )</f>
        <v>8</v>
      </c>
      <c r="AX58" s="287">
        <f t="shared" si="22"/>
        <v>2.8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11</v>
      </c>
      <c r="BI58" s="240" t="str">
        <f t="shared" ca="1" si="9"/>
        <v>**DPL</v>
      </c>
    </row>
    <row r="59" spans="1:61" ht="14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0</v>
      </c>
      <c r="AG59" s="236">
        <f t="shared" ca="1" si="3"/>
        <v>1</v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SD</v>
      </c>
      <c r="AL59" s="236">
        <f t="shared" ca="1" si="20"/>
        <v>2</v>
      </c>
      <c r="AM59" s="236" t="str">
        <f t="shared" ca="1" si="5"/>
        <v>Change</v>
      </c>
      <c r="AQ59" s="286" t="s">
        <v>257</v>
      </c>
      <c r="AR59" s="286" t="s">
        <v>10</v>
      </c>
      <c r="AS59" s="286">
        <v>16</v>
      </c>
      <c r="AT59" s="286" t="s">
        <v>337</v>
      </c>
      <c r="AV59" s="234">
        <f t="shared" si="21"/>
        <v>2</v>
      </c>
      <c r="AW59" s="234">
        <f>COUNTIF( AV$7:AV59, AV59 )</f>
        <v>9</v>
      </c>
      <c r="AX59" s="287">
        <f t="shared" si="22"/>
        <v>2.9</v>
      </c>
      <c r="AY59" s="234">
        <f t="shared" si="23"/>
        <v>10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5</v>
      </c>
      <c r="BI59" s="240" t="str">
        <f t="shared" ca="1" si="9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4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 t="s">
        <v>476</v>
      </c>
      <c r="B65" s="313" t="s">
        <v>73</v>
      </c>
      <c r="C65" s="304" t="s">
        <v>73</v>
      </c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>Change</v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74</v>
      </c>
      <c r="AR66" s="286" t="s">
        <v>108</v>
      </c>
      <c r="AS66" s="286">
        <v>19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1</v>
      </c>
      <c r="AR67" s="286" t="s">
        <v>2</v>
      </c>
      <c r="AS67" s="286">
        <v>17</v>
      </c>
      <c r="AT67" s="286" t="s">
        <v>440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18.285714285714285</v>
      </c>
      <c r="D68" s="276"/>
      <c r="E68" s="276"/>
      <c r="F68" s="250"/>
      <c r="H68" s="250"/>
      <c r="I68" s="250"/>
      <c r="J68" s="253"/>
      <c r="K68" s="253"/>
      <c r="AQ68" s="286" t="s">
        <v>427</v>
      </c>
      <c r="AR68" s="286" t="s">
        <v>56</v>
      </c>
      <c r="AS68" s="286">
        <v>12</v>
      </c>
      <c r="AT68" s="286" t="s">
        <v>441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Q69" s="234" t="s">
        <v>76</v>
      </c>
      <c r="AR69" s="234" t="s">
        <v>73</v>
      </c>
      <c r="AS69" s="234" t="s">
        <v>73</v>
      </c>
      <c r="AT69" s="234" t="s">
        <v>447</v>
      </c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18.392857142857142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"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-- 2012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Reg_Percent_2011</v>
      </c>
      <c r="G2" s="239" t="s">
        <v>436</v>
      </c>
      <c r="AJ2" s="240" t="str">
        <f>AJ4 &amp; AJ3</f>
        <v>'Credit_2012Q3'!a:a</v>
      </c>
      <c r="AK2" s="240" t="str">
        <f>AK4 &amp; AK3</f>
        <v>'Credit_2012Q3'!b1</v>
      </c>
      <c r="AL2" s="240" t="str">
        <f>AL4 &amp; AL3</f>
        <v>'Credit_2012Q3'!c1</v>
      </c>
    </row>
    <row r="3" spans="1:61" ht="19" hidden="1" outlineLevel="1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471</v>
      </c>
      <c r="AK4" s="236" t="str">
        <f>AJ4</f>
        <v>'Credit_2012Q3'!</v>
      </c>
      <c r="AL4" s="236" t="str">
        <f>AK4</f>
        <v>'Credit_2012Q3'!</v>
      </c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(56)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(17)</v>
      </c>
      <c r="S5" s="508"/>
      <c r="T5" s="314"/>
      <c r="U5" s="504" t="str">
        <f ca="1">"Diversified" &amp; CHAR( 10 ) &amp; "(" &amp; U14 &amp; ")"</f>
        <v>Diversified
(3)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407</v>
      </c>
      <c r="C6" s="338" t="s">
        <v>470</v>
      </c>
      <c r="D6" s="301"/>
      <c r="E6" s="302">
        <v>40908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38" ca="1" si="0">OFFSET( INDIRECT( E$3 &amp; E$4 ), $G7 - 1, 0 )</f>
        <v>R</v>
      </c>
      <c r="F7" s="306"/>
      <c r="G7" s="307">
        <f t="shared" ref="G7:G38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38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38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38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4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4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4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4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0.19642857142857142</v>
      </c>
      <c r="N12" s="318"/>
      <c r="O12" s="295">
        <f t="shared" ca="1" si="12"/>
        <v>6</v>
      </c>
      <c r="P12" s="296">
        <f t="shared" ca="1" si="13"/>
        <v>0.16666666666666666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4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8.9285714285714288E-2</v>
      </c>
      <c r="N13" s="319"/>
      <c r="O13" s="297">
        <f t="shared" ca="1" si="12"/>
        <v>4</v>
      </c>
      <c r="P13" s="298">
        <f t="shared" ca="1" si="13"/>
        <v>0.1111111111111111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4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18.303571428571427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4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4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18.071428571428573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18.222222222222221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18.705882352941178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12.666666666666666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4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17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4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4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4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4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22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4</v>
      </c>
      <c r="AX21" s="287">
        <f t="shared" si="22"/>
        <v>39.4</v>
      </c>
      <c r="AY21" s="234">
        <f t="shared" si="23"/>
        <v>42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MDU</v>
      </c>
    </row>
    <row r="22" spans="1:61" ht="14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**BRK</v>
      </c>
    </row>
    <row r="23" spans="1:61" ht="14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5</v>
      </c>
      <c r="AX23" s="287">
        <f t="shared" si="22"/>
        <v>39.5</v>
      </c>
      <c r="AY23" s="234">
        <f t="shared" si="23"/>
        <v>43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OGE</v>
      </c>
    </row>
    <row r="24" spans="1:61" ht="14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422</v>
      </c>
      <c r="AS24" s="286">
        <v>2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4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>
        <f t="shared" ca="1" si="3"/>
        <v>1</v>
      </c>
      <c r="AH25" s="236" t="str">
        <f t="shared" ca="1" si="19"/>
        <v/>
      </c>
      <c r="AJ25" s="236">
        <f t="shared" ca="1" si="4"/>
        <v>39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5"/>
        <v>Change</v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4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4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6</v>
      </c>
      <c r="AX27" s="287">
        <f t="shared" si="22"/>
        <v>39.6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4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4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7</v>
      </c>
      <c r="AX29" s="287">
        <f t="shared" si="22"/>
        <v>39.700000000000003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4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23</v>
      </c>
      <c r="AW30" s="234">
        <f>COUNTIF( AV$7:AV30, AV30 )</f>
        <v>8</v>
      </c>
      <c r="AX30" s="287">
        <f t="shared" si="22"/>
        <v>23.8</v>
      </c>
      <c r="AY30" s="234">
        <f t="shared" si="23"/>
        <v>30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4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9</v>
      </c>
      <c r="AX31" s="287">
        <f t="shared" si="22"/>
        <v>23.9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4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4">
      <c r="A33" s="303" t="s">
        <v>451</v>
      </c>
      <c r="B33" s="304" t="s">
        <v>28</v>
      </c>
      <c r="C33" s="304">
        <v>18</v>
      </c>
      <c r="D33" s="304" t="s">
        <v>443</v>
      </c>
      <c r="E33" s="305" t="str">
        <f t="shared" ca="1" si="0"/>
        <v>R</v>
      </c>
      <c r="F33" s="306"/>
      <c r="G33" s="307">
        <f t="shared" ca="1" si="1"/>
        <v>63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9"/>
        <v>1</v>
      </c>
      <c r="AJ33" s="236">
        <f t="shared" ca="1" si="4"/>
        <v>21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8</v>
      </c>
      <c r="AX33" s="287">
        <f t="shared" si="22"/>
        <v>39.799999999999997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4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6</v>
      </c>
      <c r="AX34" s="287">
        <f t="shared" si="22"/>
        <v>10.6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4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7</v>
      </c>
      <c r="AX35" s="287">
        <f t="shared" si="22"/>
        <v>10.7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4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24</v>
      </c>
      <c r="BF36" s="240" t="str">
        <f t="shared" ca="1" si="8"/>
        <v>Iberdrola USA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**EAST</v>
      </c>
    </row>
    <row r="37" spans="1:61" ht="14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9</v>
      </c>
      <c r="AX37" s="287">
        <f t="shared" si="22"/>
        <v>39.9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4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4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ref="E39:E59" ca="1" si="25">OFFSET( INDIRECT( E$3 &amp; E$4 ), $G39 - 1, 0 )</f>
        <v>R</v>
      </c>
      <c r="F39" s="306"/>
      <c r="G39" s="307">
        <f t="shared" ref="G39:G65" ca="1" si="26">IF( LEN( $D39 ) = 0, "", MATCH( $D39, INDIRECT( G$3 &amp; G$4 ), 0 ) )</f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ref="AF39:AF67" si="27">IF( LEN( C39 ) = 0, 0, IF( C39 = C38, AF38, IF( AF38 = 1, 0, 1 ) ) )</f>
        <v>0</v>
      </c>
      <c r="AG39" s="236" t="str">
        <f t="shared" ca="1" si="3"/>
        <v/>
      </c>
      <c r="AH39" s="236" t="str">
        <f t="shared" ca="1" si="19"/>
        <v/>
      </c>
      <c r="AJ39" s="236">
        <f t="shared" ref="AJ39:AJ67" ca="1" si="28">MATCH( $A39, INDIRECT( AJ$2 ), 0 )</f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ref="AM39:AM67" ca="1" si="29">IF( B39 = AK39, "", "Change" )</f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10</v>
      </c>
      <c r="AX39" s="287">
        <f t="shared" si="22"/>
        <v>24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30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4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25"/>
        <v>R</v>
      </c>
      <c r="F40" s="306"/>
      <c r="G40" s="307">
        <f t="shared" ca="1" si="26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7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8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29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50</v>
      </c>
      <c r="AW40" s="234">
        <f>COUNTIF( AV$7:AV40, AV40 )</f>
        <v>1</v>
      </c>
      <c r="AX40" s="287">
        <f t="shared" si="22"/>
        <v>50.1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30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4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25"/>
        <v>MR</v>
      </c>
      <c r="F41" s="306"/>
      <c r="G41" s="307">
        <f t="shared" ca="1" si="26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7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8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29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8</v>
      </c>
      <c r="AX41" s="287">
        <f t="shared" si="22"/>
        <v>10.8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30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4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25"/>
        <v>MR</v>
      </c>
      <c r="F42" s="306"/>
      <c r="G42" s="307">
        <f t="shared" ca="1" si="26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7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8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29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10</v>
      </c>
      <c r="AX42" s="287">
        <f t="shared" si="22"/>
        <v>40</v>
      </c>
      <c r="AY42" s="234">
        <f t="shared" si="23"/>
        <v>48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30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4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25"/>
        <v>R</v>
      </c>
      <c r="F43" s="306"/>
      <c r="G43" s="307">
        <f t="shared" ca="1" si="26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7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8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29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9</v>
      </c>
      <c r="AX43" s="287">
        <f t="shared" si="22"/>
        <v>10.9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30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4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25"/>
        <v>R</v>
      </c>
      <c r="F44" s="306"/>
      <c r="G44" s="307">
        <f t="shared" ca="1" si="26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7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8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29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11</v>
      </c>
      <c r="AX44" s="287">
        <f t="shared" si="22"/>
        <v>24.1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30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4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25"/>
        <v>R</v>
      </c>
      <c r="F45" s="306"/>
      <c r="G45" s="307">
        <f t="shared" ca="1" si="26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7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8"/>
        <v>45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29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10</v>
      </c>
      <c r="AW45" s="234">
        <f>COUNTIF( AV$7:AV45, AV45 )</f>
        <v>10</v>
      </c>
      <c r="AX45" s="287">
        <f t="shared" si="22"/>
        <v>11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30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4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25"/>
        <v>MR</v>
      </c>
      <c r="F46" s="306"/>
      <c r="G46" s="307">
        <f t="shared" ca="1" si="26"/>
        <v>12</v>
      </c>
      <c r="H46" s="250"/>
      <c r="I46" s="262"/>
      <c r="K46" s="262"/>
      <c r="N46" s="257"/>
      <c r="W46" s="262"/>
      <c r="AF46" s="236">
        <f t="shared" si="27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8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29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11</v>
      </c>
      <c r="AX46" s="287">
        <f t="shared" si="22"/>
        <v>40.1</v>
      </c>
      <c r="AY46" s="234">
        <f t="shared" si="23"/>
        <v>49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30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4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25"/>
        <v>R</v>
      </c>
      <c r="F47" s="306"/>
      <c r="G47" s="307">
        <f t="shared" ca="1" si="26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7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8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29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30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4">
      <c r="A48" s="303" t="s">
        <v>57</v>
      </c>
      <c r="B48" s="304" t="s">
        <v>49</v>
      </c>
      <c r="C48" s="304">
        <v>17</v>
      </c>
      <c r="D48" s="304" t="s">
        <v>295</v>
      </c>
      <c r="E48" s="305" t="str">
        <f t="shared" ca="1" si="25"/>
        <v>R</v>
      </c>
      <c r="F48" s="306"/>
      <c r="G48" s="307">
        <f t="shared" ca="1" si="26"/>
        <v>23</v>
      </c>
      <c r="H48" s="250"/>
      <c r="I48" s="250"/>
      <c r="K48" s="262"/>
      <c r="M48" s="253"/>
      <c r="N48" s="253"/>
      <c r="AF48" s="236">
        <f t="shared" si="27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8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29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15</v>
      </c>
      <c r="BF48" s="240" t="str">
        <f t="shared" ca="1" si="30"/>
        <v>Edison International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EIX</v>
      </c>
    </row>
    <row r="49" spans="1:61" ht="14">
      <c r="A49" s="303" t="s">
        <v>35</v>
      </c>
      <c r="B49" s="304" t="s">
        <v>49</v>
      </c>
      <c r="C49" s="304">
        <v>17</v>
      </c>
      <c r="D49" s="304" t="s">
        <v>292</v>
      </c>
      <c r="E49" s="305" t="str">
        <f t="shared" ca="1" si="25"/>
        <v>R</v>
      </c>
      <c r="F49" s="306"/>
      <c r="G49" s="307">
        <f t="shared" ca="1" si="26"/>
        <v>25</v>
      </c>
      <c r="H49" s="250"/>
      <c r="I49" s="250"/>
      <c r="J49" s="262"/>
      <c r="K49" s="262"/>
      <c r="M49" s="253"/>
      <c r="N49" s="253"/>
      <c r="AF49" s="236">
        <f t="shared" si="27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8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29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17</v>
      </c>
      <c r="BF49" s="240" t="str">
        <f t="shared" ca="1" si="30"/>
        <v>Empire District Electric Company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EDE</v>
      </c>
    </row>
    <row r="50" spans="1:61" ht="14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25"/>
        <v>MR</v>
      </c>
      <c r="F50" s="306"/>
      <c r="G50" s="307">
        <f t="shared" ca="1" si="26"/>
        <v>28</v>
      </c>
      <c r="H50" s="250"/>
      <c r="I50" s="250"/>
      <c r="J50" s="262"/>
      <c r="K50" s="262"/>
      <c r="L50" s="235"/>
      <c r="M50" s="257"/>
      <c r="N50" s="257"/>
      <c r="AF50" s="236">
        <f t="shared" si="27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28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29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50</v>
      </c>
      <c r="AW50" s="234">
        <f>COUNTIF( AV$7:AV50, AV50 )</f>
        <v>2</v>
      </c>
      <c r="AX50" s="287">
        <f t="shared" si="22"/>
        <v>50.2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30"/>
        <v>FirstEnergy Corp.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FE</v>
      </c>
    </row>
    <row r="51" spans="1:61" ht="14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25"/>
        <v>D</v>
      </c>
      <c r="F51" s="306"/>
      <c r="G51" s="307">
        <f t="shared" ca="1" si="26"/>
        <v>30</v>
      </c>
      <c r="H51" s="250"/>
      <c r="I51" s="250"/>
      <c r="J51" s="262"/>
      <c r="K51" s="262"/>
      <c r="L51" s="235"/>
      <c r="M51" s="257"/>
      <c r="N51" s="257"/>
      <c r="AF51" s="236">
        <f t="shared" si="27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28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29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30"/>
        <v>Hawaiian Electric Industries, Inc.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HE</v>
      </c>
    </row>
    <row r="52" spans="1:61" ht="14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25"/>
        <v>R</v>
      </c>
      <c r="F52" s="306"/>
      <c r="G52" s="307">
        <f t="shared" ca="1" si="26"/>
        <v>66</v>
      </c>
      <c r="H52" s="250"/>
      <c r="I52" s="250"/>
      <c r="J52" s="262"/>
      <c r="K52" s="262"/>
      <c r="AF52" s="236">
        <f t="shared" si="27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28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29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30"/>
        <v>IPALCO Enterprises,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**IPALCO</v>
      </c>
    </row>
    <row r="53" spans="1:61" ht="14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25"/>
        <v>MR</v>
      </c>
      <c r="F53" s="306"/>
      <c r="G53" s="307">
        <f t="shared" ca="1" si="26"/>
        <v>36</v>
      </c>
      <c r="H53" s="250"/>
      <c r="I53" s="250"/>
      <c r="J53" s="262"/>
      <c r="K53" s="262"/>
      <c r="AF53" s="236">
        <f t="shared" si="27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28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29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30"/>
        <v>NiSource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NI</v>
      </c>
    </row>
    <row r="54" spans="1:61" ht="14">
      <c r="A54" s="303" t="s">
        <v>22</v>
      </c>
      <c r="B54" s="304" t="s">
        <v>49</v>
      </c>
      <c r="C54" s="304">
        <v>17</v>
      </c>
      <c r="D54" s="304" t="s">
        <v>316</v>
      </c>
      <c r="E54" s="305" t="str">
        <f t="shared" ca="1" si="25"/>
        <v>MR</v>
      </c>
      <c r="F54" s="306"/>
      <c r="G54" s="307">
        <f t="shared" ca="1" si="26"/>
        <v>42</v>
      </c>
      <c r="H54" s="250"/>
      <c r="I54" s="250"/>
      <c r="J54" s="262"/>
      <c r="K54" s="262"/>
      <c r="AF54" s="236">
        <f t="shared" si="27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28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29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36</v>
      </c>
      <c r="BF54" s="240" t="str">
        <f t="shared" ca="1" si="30"/>
        <v>Otter Tail Corporation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OTTR</v>
      </c>
    </row>
    <row r="55" spans="1:61" ht="14">
      <c r="A55" s="303" t="s">
        <v>42</v>
      </c>
      <c r="B55" s="304" t="s">
        <v>49</v>
      </c>
      <c r="C55" s="304">
        <v>17</v>
      </c>
      <c r="D55" s="304" t="s">
        <v>320</v>
      </c>
      <c r="E55" s="305" t="str">
        <f t="shared" ca="1" si="25"/>
        <v>R</v>
      </c>
      <c r="F55" s="306"/>
      <c r="G55" s="307">
        <f t="shared" ca="1" si="26"/>
        <v>46</v>
      </c>
      <c r="H55" s="250"/>
      <c r="I55" s="250"/>
      <c r="J55" s="262"/>
      <c r="K55" s="262"/>
      <c r="AF55" s="236">
        <f t="shared" si="27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28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29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40</v>
      </c>
      <c r="BF55" s="240" t="str">
        <f t="shared" ca="1" si="30"/>
        <v>PNM Resources,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PNM</v>
      </c>
    </row>
    <row r="56" spans="1:61" ht="14">
      <c r="A56" s="303" t="s">
        <v>265</v>
      </c>
      <c r="B56" s="304" t="s">
        <v>56</v>
      </c>
      <c r="C56" s="304">
        <v>16</v>
      </c>
      <c r="D56" s="304" t="s">
        <v>313</v>
      </c>
      <c r="E56" s="305" t="str">
        <f t="shared" ca="1" si="25"/>
        <v>R</v>
      </c>
      <c r="F56" s="306"/>
      <c r="G56" s="307">
        <f t="shared" ca="1" si="26"/>
        <v>40</v>
      </c>
      <c r="H56" s="250"/>
      <c r="I56" s="250"/>
      <c r="J56" s="262"/>
      <c r="K56" s="262"/>
      <c r="AF56" s="236">
        <f t="shared" si="27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28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29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30"/>
        <v>NV Energy, Inc.</v>
      </c>
      <c r="BG56" s="240" t="str">
        <f t="shared" ca="1" si="9"/>
        <v>BB+</v>
      </c>
      <c r="BH56" s="240">
        <f t="shared" ca="1" si="9"/>
        <v>16</v>
      </c>
      <c r="BI56" s="240" t="str">
        <f t="shared" ca="1" si="9"/>
        <v>NVE</v>
      </c>
    </row>
    <row r="57" spans="1:61" ht="14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25"/>
        <v>R</v>
      </c>
      <c r="F57" s="306"/>
      <c r="G57" s="307">
        <f t="shared" ca="1" si="26"/>
        <v>68</v>
      </c>
      <c r="H57" s="250"/>
      <c r="I57" s="250"/>
      <c r="J57" s="262"/>
      <c r="K57" s="262"/>
      <c r="AF57" s="236">
        <f t="shared" si="27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28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29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30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4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25"/>
        <v>R</v>
      </c>
      <c r="F58" s="306"/>
      <c r="G58" s="307">
        <f t="shared" ca="1" si="26"/>
        <v>64</v>
      </c>
      <c r="H58" s="250"/>
      <c r="I58" s="250"/>
      <c r="J58" s="262"/>
      <c r="K58" s="262"/>
      <c r="AF58" s="236">
        <f t="shared" si="27"/>
        <v>1</v>
      </c>
      <c r="AG58" s="236" t="str">
        <f t="shared" ca="1" si="3"/>
        <v/>
      </c>
      <c r="AH58" s="236">
        <f t="shared" ca="1" si="19"/>
        <v>1</v>
      </c>
      <c r="AJ58" s="236">
        <f t="shared" ca="1" si="28"/>
        <v>48</v>
      </c>
      <c r="AK58" s="236" t="str">
        <f t="shared" ca="1" si="20"/>
        <v>BBB-</v>
      </c>
      <c r="AL58" s="236">
        <f t="shared" ca="1" si="20"/>
        <v>17</v>
      </c>
      <c r="AM58" s="236" t="str">
        <f t="shared" ca="1" si="29"/>
        <v>Change</v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30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4">
      <c r="A59" s="303" t="s">
        <v>248</v>
      </c>
      <c r="B59" s="304" t="s">
        <v>422</v>
      </c>
      <c r="C59" s="304">
        <v>2</v>
      </c>
      <c r="D59" s="304" t="s">
        <v>444</v>
      </c>
      <c r="E59" s="305" t="str">
        <f t="shared" ca="1" si="25"/>
        <v>D</v>
      </c>
      <c r="F59" s="306"/>
      <c r="G59" s="307">
        <f t="shared" ca="1" si="26"/>
        <v>65</v>
      </c>
      <c r="H59" s="250"/>
      <c r="I59" s="250"/>
      <c r="J59" s="262"/>
      <c r="K59" s="262"/>
      <c r="AF59" s="236">
        <f t="shared" si="27"/>
        <v>0</v>
      </c>
      <c r="AG59" s="236" t="str">
        <f t="shared" ca="1" si="3"/>
        <v/>
      </c>
      <c r="AH59" s="236">
        <f t="shared" ca="1" si="19"/>
        <v>1</v>
      </c>
      <c r="AJ59" s="236">
        <f t="shared" ca="1" si="28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29"/>
        <v>Change</v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30"/>
        <v>Energy Future Holdings Corp.</v>
      </c>
      <c r="BG59" s="240" t="str">
        <f t="shared" ca="1" si="9"/>
        <v>SD</v>
      </c>
      <c r="BH59" s="240">
        <f t="shared" ca="1" si="9"/>
        <v>2</v>
      </c>
      <c r="BI59" s="240" t="str">
        <f t="shared" ca="1" si="9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26"/>
        <v/>
      </c>
      <c r="H60" s="250"/>
      <c r="I60" s="250"/>
      <c r="AF60" s="236">
        <f t="shared" si="27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8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29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30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26"/>
        <v/>
      </c>
      <c r="H61" s="250"/>
      <c r="I61" s="250"/>
      <c r="AF61" s="236">
        <f t="shared" si="27"/>
        <v>0</v>
      </c>
      <c r="AG61" s="236" t="str">
        <f t="shared" si="3"/>
        <v/>
      </c>
      <c r="AH61" s="236" t="str">
        <f t="shared" si="19"/>
        <v/>
      </c>
      <c r="AJ61" s="236" t="e">
        <f t="shared" ca="1" si="28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29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30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6"/>
        <v>34</v>
      </c>
      <c r="H62" s="250"/>
      <c r="I62" s="250"/>
      <c r="AF62" s="236">
        <f t="shared" si="27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28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29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30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26"/>
        <v>15</v>
      </c>
      <c r="H63" s="250"/>
      <c r="I63" s="250"/>
      <c r="AF63" s="236">
        <f t="shared" si="27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28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29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30"/>
        <v>0</v>
      </c>
      <c r="BG63" s="240">
        <f t="shared" ref="BG63:BI63" ca="1" si="31">OFFSET( AR$6, $BD63, 0 )</f>
        <v>0</v>
      </c>
      <c r="BH63" s="240">
        <f t="shared" ca="1" si="31"/>
        <v>0</v>
      </c>
      <c r="BI63" s="240">
        <f t="shared" ca="1" si="31"/>
        <v>0</v>
      </c>
    </row>
    <row r="64" spans="1:61" ht="14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26"/>
        <v>57</v>
      </c>
      <c r="H64" s="250"/>
      <c r="I64" s="250"/>
      <c r="AF64" s="236">
        <f t="shared" si="27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28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29"/>
        <v/>
      </c>
      <c r="AQ64" s="286" t="s">
        <v>474</v>
      </c>
      <c r="AR64" s="286" t="s">
        <v>2</v>
      </c>
      <c r="AS64" s="286">
        <v>21</v>
      </c>
      <c r="AT64" s="286" t="s">
        <v>440</v>
      </c>
      <c r="AU64" s="286"/>
      <c r="AZ64" s="236"/>
      <c r="BA64" s="236"/>
      <c r="BF64" s="236"/>
    </row>
    <row r="65" spans="1:58" ht="14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26"/>
        <v>56</v>
      </c>
      <c r="H65" s="250"/>
      <c r="I65" s="250"/>
      <c r="N65" s="234" t="s">
        <v>73</v>
      </c>
      <c r="AF65" s="236">
        <f t="shared" si="27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28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29"/>
        <v/>
      </c>
      <c r="AQ65" s="286" t="s">
        <v>473</v>
      </c>
      <c r="AR65" s="286" t="s">
        <v>108</v>
      </c>
      <c r="AS65" s="286">
        <v>23</v>
      </c>
      <c r="AT65" s="286" t="s">
        <v>439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7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8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29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7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8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29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18.071428571428573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Q69" s="286"/>
      <c r="AR69" s="286"/>
      <c r="AS69" s="286"/>
      <c r="AT69" s="286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  <c r="AQ70" s="286"/>
      <c r="AR70" s="286"/>
      <c r="AS70" s="286"/>
      <c r="AT70" s="286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18.303571428571427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-- 2012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Reg_Percent_2011</v>
      </c>
      <c r="G2" s="239" t="s">
        <v>436</v>
      </c>
      <c r="AJ2" s="240" t="str">
        <f>AJ4 &amp; AJ3</f>
        <v>'Credit_2012Q2'!a:a</v>
      </c>
      <c r="AK2" s="240" t="str">
        <f>AK4 &amp; AK3</f>
        <v>'Credit_2012Q2'!b1</v>
      </c>
      <c r="AL2" s="240" t="str">
        <f>AL4 &amp; AL3</f>
        <v>'Credit_2012Q2'!c1</v>
      </c>
    </row>
    <row r="3" spans="1:61" ht="19" hidden="1" outlineLevel="1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478</v>
      </c>
      <c r="AK4" s="236" t="str">
        <f>AJ4</f>
        <v>'Credit_2012Q2'!</v>
      </c>
      <c r="AL4" s="236" t="str">
        <f>AK4</f>
        <v>'Credit_2012Q2'!</v>
      </c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(56)</v>
      </c>
      <c r="M5" s="506"/>
      <c r="N5" s="314"/>
      <c r="O5" s="504" t="str">
        <f ca="1">"Regulated" &amp; CHAR( 10 ) &amp; "(" &amp; O14 &amp; ")"</f>
        <v>Regulated
(36)</v>
      </c>
      <c r="P5" s="508"/>
      <c r="Q5" s="314"/>
      <c r="R5" s="504" t="str">
        <f ca="1">"Mostly Regulated" &amp; CHAR( 10 ) &amp; "(" &amp; R14 &amp; ")"</f>
        <v>Mostly Regulated
(17)</v>
      </c>
      <c r="S5" s="508"/>
      <c r="T5" s="314"/>
      <c r="U5" s="504" t="str">
        <f ca="1">"Diversified" &amp; CHAR( 10 ) &amp; "(" &amp; U14 &amp; ")"</f>
        <v>Diversified
(3)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406</v>
      </c>
      <c r="C6" s="338" t="s">
        <v>470</v>
      </c>
      <c r="D6" s="301"/>
      <c r="E6" s="302">
        <v>40908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4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4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4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4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0.21428571428571427</v>
      </c>
      <c r="N12" s="318"/>
      <c r="O12" s="295">
        <f t="shared" ca="1" si="12"/>
        <v>7</v>
      </c>
      <c r="P12" s="296">
        <f t="shared" ca="1" si="13"/>
        <v>0.19444444444444445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4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4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18.321428571428573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4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4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18.232142857142858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18.277777777777779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18.705882352941178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15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4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4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39</v>
      </c>
      <c r="AW18" s="234">
        <f>COUNTIF( AV$7:AV18, AV18 )</f>
        <v>4</v>
      </c>
      <c r="AX18" s="287">
        <f t="shared" si="22"/>
        <v>39.4</v>
      </c>
      <c r="AY18" s="234">
        <f t="shared" si="23"/>
        <v>42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4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4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>
        <f t="shared" ca="1" si="19"/>
        <v>1</v>
      </c>
      <c r="AJ20" s="236">
        <f t="shared" ca="1" si="4"/>
        <v>10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4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5</v>
      </c>
      <c r="AX21" s="287">
        <f t="shared" si="22"/>
        <v>39.5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4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4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6</v>
      </c>
      <c r="AX23" s="287">
        <f t="shared" si="22"/>
        <v>39.6</v>
      </c>
      <c r="AY23" s="234">
        <f t="shared" si="23"/>
        <v>44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4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4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4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4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7</v>
      </c>
      <c r="AX27" s="287">
        <f t="shared" si="22"/>
        <v>39.700000000000003</v>
      </c>
      <c r="AY27" s="234">
        <f t="shared" si="23"/>
        <v>45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4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4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8</v>
      </c>
      <c r="AX29" s="287">
        <f t="shared" si="22"/>
        <v>39.799999999999997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4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10</v>
      </c>
      <c r="AW30" s="234">
        <f>COUNTIF( AV$7:AV30, AV30 )</f>
        <v>6</v>
      </c>
      <c r="AX30" s="287">
        <f t="shared" si="22"/>
        <v>10.6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4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8</v>
      </c>
      <c r="AX31" s="287">
        <f t="shared" si="22"/>
        <v>23.8</v>
      </c>
      <c r="AY31" s="234">
        <f t="shared" si="23"/>
        <v>30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4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4">
      <c r="A33" s="303" t="s">
        <v>36</v>
      </c>
      <c r="B33" s="304" t="s">
        <v>28</v>
      </c>
      <c r="C33" s="304">
        <v>18</v>
      </c>
      <c r="D33" s="304" t="s">
        <v>296</v>
      </c>
      <c r="E33" s="305" t="str">
        <f t="shared" ca="1" si="0"/>
        <v>R</v>
      </c>
      <c r="F33" s="306"/>
      <c r="G33" s="307">
        <f t="shared" ca="1" si="1"/>
        <v>26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9</v>
      </c>
      <c r="AX33" s="287">
        <f t="shared" si="22"/>
        <v>39.9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4">
      <c r="A34" s="303" t="s">
        <v>11</v>
      </c>
      <c r="B34" s="304" t="s">
        <v>28</v>
      </c>
      <c r="C34" s="304">
        <v>18</v>
      </c>
      <c r="D34" s="304" t="s">
        <v>297</v>
      </c>
      <c r="E34" s="305" t="str">
        <f t="shared" ca="1" si="0"/>
        <v>MR</v>
      </c>
      <c r="F34" s="306"/>
      <c r="G34" s="307">
        <f t="shared" ca="1" si="1"/>
        <v>27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7</v>
      </c>
      <c r="AX34" s="287">
        <f t="shared" si="22"/>
        <v>10.7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4">
      <c r="A35" s="303" t="s">
        <v>260</v>
      </c>
      <c r="B35" s="304" t="s">
        <v>28</v>
      </c>
      <c r="C35" s="304">
        <v>18</v>
      </c>
      <c r="D35" s="304" t="s">
        <v>300</v>
      </c>
      <c r="E35" s="305" t="str">
        <f t="shared" ca="1" si="0"/>
        <v>R</v>
      </c>
      <c r="F35" s="306"/>
      <c r="G35" s="307">
        <f t="shared" ca="1" si="1"/>
        <v>29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8</v>
      </c>
      <c r="AX35" s="287">
        <f t="shared" si="22"/>
        <v>10.8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4">
      <c r="A36" s="303" t="s">
        <v>20</v>
      </c>
      <c r="B36" s="304" t="s">
        <v>28</v>
      </c>
      <c r="C36" s="304">
        <v>18</v>
      </c>
      <c r="D36" s="304" t="s">
        <v>302</v>
      </c>
      <c r="E36" s="305" t="str">
        <f t="shared" ca="1" si="0"/>
        <v>R</v>
      </c>
      <c r="F36" s="306"/>
      <c r="G36" s="307">
        <f t="shared" ca="1" si="1"/>
        <v>31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25</v>
      </c>
      <c r="BF36" s="240" t="str">
        <f t="shared" ca="1" si="8"/>
        <v>IDACORP,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IDA</v>
      </c>
    </row>
    <row r="37" spans="1:61" ht="14">
      <c r="A37" s="303" t="s">
        <v>66</v>
      </c>
      <c r="B37" s="304" t="s">
        <v>28</v>
      </c>
      <c r="C37" s="304">
        <v>18</v>
      </c>
      <c r="D37" s="304" t="s">
        <v>314</v>
      </c>
      <c r="E37" s="305" t="str">
        <f t="shared" ca="1" si="0"/>
        <v>R</v>
      </c>
      <c r="F37" s="306"/>
      <c r="G37" s="307">
        <f t="shared" ca="1" si="1"/>
        <v>38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10</v>
      </c>
      <c r="AX37" s="287">
        <f t="shared" si="22"/>
        <v>40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7"/>
        <v>33</v>
      </c>
      <c r="BF37" s="240" t="str">
        <f t="shared" ca="1" si="8"/>
        <v>NorthWestern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NWE</v>
      </c>
    </row>
    <row r="38" spans="1:61" ht="14">
      <c r="A38" s="303" t="s">
        <v>53</v>
      </c>
      <c r="B38" s="304" t="s">
        <v>28</v>
      </c>
      <c r="C38" s="304">
        <v>18</v>
      </c>
      <c r="D38" s="304" t="s">
        <v>317</v>
      </c>
      <c r="E38" s="305" t="str">
        <f t="shared" ca="1" si="0"/>
        <v>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38</v>
      </c>
      <c r="BF38" s="240" t="str">
        <f t="shared" ca="1" si="8"/>
        <v>PG&amp;E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PCG</v>
      </c>
    </row>
    <row r="39" spans="1:61" ht="14">
      <c r="A39" s="303" t="s">
        <v>41</v>
      </c>
      <c r="B39" s="304" t="s">
        <v>28</v>
      </c>
      <c r="C39" s="304">
        <v>18</v>
      </c>
      <c r="D39" s="304" t="s">
        <v>321</v>
      </c>
      <c r="E39" s="305" t="str">
        <f t="shared" ca="1" si="0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9</v>
      </c>
      <c r="AX39" s="287">
        <f t="shared" si="22"/>
        <v>23.9</v>
      </c>
      <c r="AY39" s="234">
        <f t="shared" si="23"/>
        <v>31</v>
      </c>
      <c r="AZ39" s="236"/>
      <c r="BA39" s="236"/>
      <c r="BC39" s="234">
        <f t="shared" ca="1" si="24"/>
        <v>33</v>
      </c>
      <c r="BD39" s="288">
        <f t="shared" ca="1" si="7"/>
        <v>39</v>
      </c>
      <c r="BF39" s="240" t="str">
        <f t="shared" ref="BF39:BF63" ca="1" si="25">OFFSET( AQ$6, $BD39, 0 )</f>
        <v>Pinnacle West Capital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PNW</v>
      </c>
    </row>
    <row r="40" spans="1:61" ht="14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0"/>
        <v>R</v>
      </c>
      <c r="F40" s="306"/>
      <c r="G40" s="307">
        <f t="shared" ca="1" si="1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51</v>
      </c>
      <c r="AW40" s="234">
        <f>COUNTIF( AV$7:AV40, AV40 )</f>
        <v>1</v>
      </c>
      <c r="AX40" s="287">
        <f t="shared" si="22"/>
        <v>51.1</v>
      </c>
      <c r="AY40" s="234">
        <f t="shared" si="23"/>
        <v>51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25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4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0"/>
        <v>MR</v>
      </c>
      <c r="F41" s="306"/>
      <c r="G41" s="307">
        <f t="shared" ca="1" si="1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9</v>
      </c>
      <c r="AX41" s="287">
        <f t="shared" si="22"/>
        <v>10.9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25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4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0"/>
        <v>MR</v>
      </c>
      <c r="F42" s="306"/>
      <c r="G42" s="307">
        <f t="shared" ca="1" si="1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11</v>
      </c>
      <c r="AX42" s="287">
        <f t="shared" si="22"/>
        <v>40.1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25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4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0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10</v>
      </c>
      <c r="AX43" s="287">
        <f t="shared" si="22"/>
        <v>11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25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4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0"/>
        <v>R</v>
      </c>
      <c r="F44" s="306"/>
      <c r="G44" s="307">
        <f t="shared" ca="1" si="1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10</v>
      </c>
      <c r="AX44" s="287">
        <f t="shared" si="22"/>
        <v>24</v>
      </c>
      <c r="AY44" s="234">
        <f t="shared" si="23"/>
        <v>32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25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4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0"/>
        <v>R</v>
      </c>
      <c r="F45" s="306"/>
      <c r="G45" s="307">
        <f t="shared" ca="1" si="1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23</v>
      </c>
      <c r="AW45" s="234">
        <f>COUNTIF( AV$7:AV45, AV45 )</f>
        <v>11</v>
      </c>
      <c r="AX45" s="287">
        <f t="shared" si="22"/>
        <v>24.1</v>
      </c>
      <c r="AY45" s="234">
        <f t="shared" si="23"/>
        <v>33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25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4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0"/>
        <v>MR</v>
      </c>
      <c r="F46" s="306"/>
      <c r="G46" s="307">
        <f t="shared" ca="1" si="1"/>
        <v>12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12</v>
      </c>
      <c r="AX46" s="287">
        <f t="shared" si="22"/>
        <v>40.200000000000003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25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4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0"/>
        <v>R</v>
      </c>
      <c r="F47" s="306"/>
      <c r="G47" s="307">
        <f t="shared" ca="1" si="1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25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4">
      <c r="A48" s="303" t="s">
        <v>64</v>
      </c>
      <c r="B48" s="304" t="s">
        <v>49</v>
      </c>
      <c r="C48" s="304">
        <v>17</v>
      </c>
      <c r="D48" s="304" t="s">
        <v>442</v>
      </c>
      <c r="E48" s="305" t="str">
        <f t="shared" ca="1" si="0"/>
        <v>R</v>
      </c>
      <c r="F48" s="306"/>
      <c r="G48" s="307">
        <f t="shared" ca="1" si="1"/>
        <v>64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12</v>
      </c>
      <c r="BF48" s="240" t="str">
        <f t="shared" ca="1" si="25"/>
        <v>DPL Inc.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**DPL</v>
      </c>
    </row>
    <row r="49" spans="1:61" ht="14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EIX</v>
      </c>
    </row>
    <row r="50" spans="1:61" ht="14">
      <c r="A50" s="303" t="s">
        <v>35</v>
      </c>
      <c r="B50" s="304" t="s">
        <v>49</v>
      </c>
      <c r="C50" s="304">
        <v>17</v>
      </c>
      <c r="D50" s="304" t="s">
        <v>292</v>
      </c>
      <c r="E50" s="305" t="str">
        <f t="shared" ca="1" si="0"/>
        <v>R</v>
      </c>
      <c r="F50" s="306"/>
      <c r="G50" s="307">
        <f t="shared" ca="1" si="1"/>
        <v>25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2</v>
      </c>
      <c r="AX50" s="287">
        <f t="shared" si="22"/>
        <v>51.2</v>
      </c>
      <c r="AY50" s="234">
        <f t="shared" si="23"/>
        <v>52</v>
      </c>
      <c r="AZ50" s="236"/>
      <c r="BA50" s="236"/>
      <c r="BC50" s="234">
        <f t="shared" ca="1" si="24"/>
        <v>44</v>
      </c>
      <c r="BD50" s="288">
        <f t="shared" ca="1" si="7"/>
        <v>17</v>
      </c>
      <c r="BF50" s="240" t="str">
        <f t="shared" ca="1" si="25"/>
        <v>Empire District Electric Company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EDE</v>
      </c>
    </row>
    <row r="51" spans="1:61" ht="14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0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21</v>
      </c>
      <c r="BF51" s="240" t="str">
        <f t="shared" ca="1" si="25"/>
        <v>FirstEnergy Corp.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FE</v>
      </c>
    </row>
    <row r="52" spans="1:61" ht="14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0"/>
        <v>D</v>
      </c>
      <c r="F52" s="306"/>
      <c r="G52" s="307">
        <f t="shared" ca="1" si="1"/>
        <v>30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23</v>
      </c>
      <c r="BF52" s="240" t="str">
        <f t="shared" ca="1" si="25"/>
        <v>Hawaiian Electric Industries,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HE</v>
      </c>
    </row>
    <row r="53" spans="1:61" ht="14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0"/>
        <v>R</v>
      </c>
      <c r="F53" s="306"/>
      <c r="G53" s="307">
        <f t="shared" ca="1" si="1"/>
        <v>66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27</v>
      </c>
      <c r="BF53" s="240" t="str">
        <f t="shared" ca="1" si="25"/>
        <v>IPALCO Enterprises,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**IPALCO</v>
      </c>
    </row>
    <row r="54" spans="1:61" ht="14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0"/>
        <v>MR</v>
      </c>
      <c r="F54" s="306"/>
      <c r="G54" s="307">
        <f t="shared" ca="1" si="1"/>
        <v>36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31</v>
      </c>
      <c r="BF54" s="240" t="str">
        <f t="shared" ca="1" si="25"/>
        <v>NiSource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NI</v>
      </c>
    </row>
    <row r="55" spans="1:61" ht="14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OTTR</v>
      </c>
    </row>
    <row r="56" spans="1:61" ht="14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PNM</v>
      </c>
    </row>
    <row r="57" spans="1:61" ht="14">
      <c r="A57" s="303" t="s">
        <v>265</v>
      </c>
      <c r="B57" s="304" t="s">
        <v>56</v>
      </c>
      <c r="C57" s="304">
        <v>16</v>
      </c>
      <c r="D57" s="304" t="s">
        <v>313</v>
      </c>
      <c r="E57" s="305" t="str">
        <f t="shared" ca="1" si="0"/>
        <v>R</v>
      </c>
      <c r="F57" s="306"/>
      <c r="G57" s="307">
        <f t="shared" ca="1" si="1"/>
        <v>40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34</v>
      </c>
      <c r="BF57" s="240" t="str">
        <f t="shared" ca="1" si="25"/>
        <v>NV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NVE</v>
      </c>
    </row>
    <row r="58" spans="1:61" ht="14">
      <c r="A58" s="303" t="s">
        <v>54</v>
      </c>
      <c r="B58" s="304" t="s">
        <v>56</v>
      </c>
      <c r="C58" s="304">
        <v>16</v>
      </c>
      <c r="D58" s="304" t="s">
        <v>448</v>
      </c>
      <c r="E58" s="305" t="str">
        <f t="shared" ca="1" si="0"/>
        <v>R</v>
      </c>
      <c r="F58" s="306"/>
      <c r="G58" s="307">
        <f t="shared" ca="1" si="1"/>
        <v>68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44</v>
      </c>
      <c r="BF58" s="240" t="str">
        <f t="shared" ca="1" si="25"/>
        <v>Puget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**PSD</v>
      </c>
    </row>
    <row r="59" spans="1:61" ht="14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4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4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18.232142857142858</v>
      </c>
      <c r="D68" s="276"/>
      <c r="E68" s="276"/>
      <c r="F68" s="250"/>
      <c r="H68" s="250"/>
      <c r="I68" s="250"/>
      <c r="J68" s="253"/>
      <c r="K68" s="253"/>
      <c r="AQ68" s="286" t="s">
        <v>50</v>
      </c>
      <c r="AR68" s="286" t="s">
        <v>372</v>
      </c>
      <c r="AS68" s="286"/>
      <c r="AT68" s="286" t="s">
        <v>286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18.321428571428573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-- 2012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Reg_Percent_2011</v>
      </c>
      <c r="G2" s="239" t="s">
        <v>436</v>
      </c>
      <c r="AJ2" s="240" t="str">
        <f>AJ4 &amp; AJ3</f>
        <v>'Credit_2012Q1'!a:a</v>
      </c>
      <c r="AK2" s="240" t="str">
        <f>AK4 &amp; AK3</f>
        <v>'Credit_2012Q1'!b1</v>
      </c>
      <c r="AL2" s="240" t="str">
        <f>AL4 &amp; AL3</f>
        <v>'Credit_2012Q1'!c1</v>
      </c>
    </row>
    <row r="3" spans="1:61" ht="19" hidden="1" outlineLevel="1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479</v>
      </c>
      <c r="AK4" s="236" t="str">
        <f>AJ4</f>
        <v>'Credit_2012Q1'!</v>
      </c>
      <c r="AL4" s="236" t="str">
        <f>AK4</f>
        <v>'Credit_2012Q1'!</v>
      </c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(57)</v>
      </c>
      <c r="M5" s="506"/>
      <c r="N5" s="314"/>
      <c r="O5" s="504" t="str">
        <f ca="1">"Regulated" &amp; CHAR( 10 ) &amp; "(" &amp; O14 &amp; ")"</f>
        <v>Regulated
(37)</v>
      </c>
      <c r="P5" s="508"/>
      <c r="Q5" s="314"/>
      <c r="R5" s="504" t="str">
        <f ca="1">"Mostly Regulated" &amp; CHAR( 10 ) &amp; "(" &amp; R14 &amp; ")"</f>
        <v>Mostly Regulated
(17)</v>
      </c>
      <c r="S5" s="508"/>
      <c r="T5" s="314"/>
      <c r="U5" s="504" t="str">
        <f ca="1">"Diversified" &amp; CHAR( 10 ) &amp; "(" &amp; U14 &amp; ")"</f>
        <v>Diversified
(2)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405</v>
      </c>
      <c r="C6" s="338" t="s">
        <v>470</v>
      </c>
      <c r="D6" s="301"/>
      <c r="E6" s="302">
        <v>40908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48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4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5.2631578947368418E-2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5.4054054054054057E-2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11</v>
      </c>
      <c r="AW8" s="234">
        <f>COUNTIF( AV$7:AV8, AV8 )</f>
        <v>2</v>
      </c>
      <c r="AX8" s="287">
        <f t="shared" ref="AX8:AX63" si="22">AV8 + AW8 / 10</f>
        <v>11.2</v>
      </c>
      <c r="AY8" s="234">
        <f t="shared" ref="AY8:AY63" si="23">RANK( AX8, $AX$7:$AX$63, 1 )</f>
        <v>12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4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0.15789473684210525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0.17647058823529413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40</v>
      </c>
      <c r="AW9" s="234">
        <f>COUNTIF( AV$7:AV9, AV9 )</f>
        <v>1</v>
      </c>
      <c r="AX9" s="287">
        <f t="shared" si="22"/>
        <v>40.1</v>
      </c>
      <c r="AY9" s="234">
        <f t="shared" si="23"/>
        <v>40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4">
      <c r="A10" s="303" t="s">
        <v>32</v>
      </c>
      <c r="B10" s="304" t="s">
        <v>10</v>
      </c>
      <c r="C10" s="304">
        <v>20</v>
      </c>
      <c r="D10" s="304" t="s">
        <v>289</v>
      </c>
      <c r="E10" s="305" t="str">
        <f t="shared" ca="1" si="0"/>
        <v>MR</v>
      </c>
      <c r="F10" s="306"/>
      <c r="G10" s="307">
        <f t="shared" ca="1" si="1"/>
        <v>22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0.22807017543859648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0.35294117647058826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1</v>
      </c>
      <c r="AX10" s="287">
        <f t="shared" si="22"/>
        <v>24.1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14</v>
      </c>
      <c r="BF10" s="240" t="str">
        <f t="shared" ca="1" si="8"/>
        <v>Duke Energy Corporation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DUK</v>
      </c>
    </row>
    <row r="11" spans="1:61" ht="14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0.2807017543859649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13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2</v>
      </c>
      <c r="AX11" s="287">
        <f t="shared" si="22"/>
        <v>24.2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TEG</v>
      </c>
    </row>
    <row r="12" spans="1:61" ht="14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0.21052631578947367</v>
      </c>
      <c r="N12" s="318"/>
      <c r="O12" s="295">
        <f t="shared" ca="1" si="12"/>
        <v>7</v>
      </c>
      <c r="P12" s="296">
        <f t="shared" ca="1" si="13"/>
        <v>0.1891891891891892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40</v>
      </c>
      <c r="AW12" s="234">
        <f>COUNTIF( AV$7:AV12, AV12 )</f>
        <v>2</v>
      </c>
      <c r="AX12" s="287">
        <f t="shared" si="22"/>
        <v>40.200000000000003</v>
      </c>
      <c r="AY12" s="234">
        <f t="shared" si="23"/>
        <v>41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NEE</v>
      </c>
    </row>
    <row r="13" spans="1:61" ht="14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7.0175438596491224E-2</v>
      </c>
      <c r="N13" s="319"/>
      <c r="O13" s="297">
        <f t="shared" ca="1" si="12"/>
        <v>3</v>
      </c>
      <c r="P13" s="298">
        <f t="shared" ca="1" si="13"/>
        <v>8.1081081081081086E-2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24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11</v>
      </c>
      <c r="AW13" s="234">
        <f>COUNTIF( AV$7:AV13, AV13 )</f>
        <v>3</v>
      </c>
      <c r="AX13" s="287">
        <f t="shared" si="22"/>
        <v>11.3</v>
      </c>
      <c r="AY13" s="234">
        <f t="shared" si="23"/>
        <v>13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ES</v>
      </c>
    </row>
    <row r="14" spans="1:61" ht="14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57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18.350877192982455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3</v>
      </c>
      <c r="AX14" s="287">
        <f t="shared" si="22"/>
        <v>24.3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51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VVC</v>
      </c>
    </row>
    <row r="15" spans="1:61" ht="14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40</v>
      </c>
      <c r="AW15" s="234">
        <f>COUNTIF( AV$7:AV15, AV15 )</f>
        <v>3</v>
      </c>
      <c r="AX15" s="287">
        <f t="shared" si="22"/>
        <v>40.299999999999997</v>
      </c>
      <c r="AY15" s="234">
        <f t="shared" si="23"/>
        <v>42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WEC</v>
      </c>
    </row>
    <row r="16" spans="1:61" ht="14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18.263157894736842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18.297297297297298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18.764705882352942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18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XEL</v>
      </c>
    </row>
    <row r="17" spans="1:61" ht="14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ALE</v>
      </c>
    </row>
    <row r="18" spans="1:61" ht="14">
      <c r="A18" s="303" t="s">
        <v>17</v>
      </c>
      <c r="B18" s="304" t="s">
        <v>16</v>
      </c>
      <c r="C18" s="304">
        <v>19</v>
      </c>
      <c r="D18" s="304" t="s">
        <v>306</v>
      </c>
      <c r="E18" s="305" t="str">
        <f t="shared" ca="1" si="0"/>
        <v>R</v>
      </c>
      <c r="F18" s="306"/>
      <c r="G18" s="307">
        <f t="shared" ca="1" si="1"/>
        <v>8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40</v>
      </c>
      <c r="AW18" s="234">
        <f>COUNTIF( AV$7:AV18, AV18 )</f>
        <v>4</v>
      </c>
      <c r="AX18" s="287">
        <f t="shared" si="22"/>
        <v>40.4</v>
      </c>
      <c r="AY18" s="234">
        <f t="shared" si="23"/>
        <v>43</v>
      </c>
      <c r="AZ18" s="236"/>
      <c r="BA18" s="236"/>
      <c r="BC18" s="234">
        <f t="shared" ca="1" si="24"/>
        <v>12</v>
      </c>
      <c r="BD18" s="288">
        <f t="shared" ca="1" si="7"/>
        <v>2</v>
      </c>
      <c r="BF18" s="240" t="str">
        <f t="shared" ca="1" si="8"/>
        <v>Alliant Energy Corporation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LNT</v>
      </c>
    </row>
    <row r="19" spans="1:61" ht="14">
      <c r="A19" s="303" t="s">
        <v>29</v>
      </c>
      <c r="B19" s="304" t="s">
        <v>16</v>
      </c>
      <c r="C19" s="304">
        <v>19</v>
      </c>
      <c r="D19" s="304" t="s">
        <v>285</v>
      </c>
      <c r="E19" s="305" t="str">
        <f t="shared" ca="1" si="0"/>
        <v>MR</v>
      </c>
      <c r="F19" s="306"/>
      <c r="G19" s="307">
        <f t="shared" ca="1" si="1"/>
        <v>13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11</v>
      </c>
      <c r="AW19" s="234">
        <f>COUNTIF( AV$7:AV19, AV19 )</f>
        <v>4</v>
      </c>
      <c r="AX19" s="287">
        <f t="shared" si="22"/>
        <v>11.4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7</v>
      </c>
      <c r="BF19" s="240" t="str">
        <f t="shared" ca="1" si="8"/>
        <v>CenterPoint Energy,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CNP</v>
      </c>
    </row>
    <row r="20" spans="1:61" ht="14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21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21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9" t="s">
        <v>289</v>
      </c>
      <c r="AV20" s="234">
        <f t="shared" si="21"/>
        <v>2</v>
      </c>
      <c r="AW20" s="234">
        <f>COUNTIF( AV$7:AV20, AV20 )</f>
        <v>3</v>
      </c>
      <c r="AX20" s="287">
        <f t="shared" si="22"/>
        <v>2.2999999999999998</v>
      </c>
      <c r="AY20" s="234">
        <f t="shared" si="23"/>
        <v>4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4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>
        <f t="shared" ca="1" si="19"/>
        <v>1</v>
      </c>
      <c r="AJ21" s="236">
        <f t="shared" ca="1" si="4"/>
        <v>12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5"/>
        <v>Change</v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40</v>
      </c>
      <c r="AW21" s="234">
        <f>COUNTIF( AV$7:AV21, AV21 )</f>
        <v>5</v>
      </c>
      <c r="AX21" s="287">
        <f t="shared" si="22"/>
        <v>40.5</v>
      </c>
      <c r="AY21" s="234">
        <f t="shared" si="23"/>
        <v>44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4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4</v>
      </c>
      <c r="AX22" s="287">
        <f t="shared" si="22"/>
        <v>24.4</v>
      </c>
      <c r="AY22" s="234">
        <f t="shared" si="23"/>
        <v>27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4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40</v>
      </c>
      <c r="AW23" s="234">
        <f>COUNTIF( AV$7:AV23, AV23 )</f>
        <v>6</v>
      </c>
      <c r="AX23" s="287">
        <f t="shared" si="22"/>
        <v>40.6</v>
      </c>
      <c r="AY23" s="234">
        <f t="shared" si="23"/>
        <v>45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4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54</v>
      </c>
      <c r="AW24" s="234">
        <f>COUNTIF( AV$7:AV24, AV24 )</f>
        <v>1</v>
      </c>
      <c r="AX24" s="287">
        <f t="shared" si="22"/>
        <v>54.1</v>
      </c>
      <c r="AY24" s="234">
        <f t="shared" si="23"/>
        <v>54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4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5</v>
      </c>
      <c r="AX25" s="287">
        <f t="shared" si="22"/>
        <v>24.5</v>
      </c>
      <c r="AY25" s="234">
        <f t="shared" si="23"/>
        <v>28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4">
      <c r="A26" s="303" t="s">
        <v>256</v>
      </c>
      <c r="B26" s="304" t="s">
        <v>16</v>
      </c>
      <c r="C26" s="304">
        <v>19</v>
      </c>
      <c r="D26" s="304" t="s">
        <v>319</v>
      </c>
      <c r="E26" s="305" t="str">
        <f t="shared" ca="1" si="0"/>
        <v>R</v>
      </c>
      <c r="F26" s="306"/>
      <c r="G26" s="307">
        <f t="shared" ca="1" si="1"/>
        <v>49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6</v>
      </c>
      <c r="AX26" s="287">
        <f t="shared" si="22"/>
        <v>24.6</v>
      </c>
      <c r="AY26" s="234">
        <f t="shared" si="23"/>
        <v>29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Progress Energy,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PGN</v>
      </c>
    </row>
    <row r="27" spans="1:61" ht="14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51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40</v>
      </c>
      <c r="AW27" s="234">
        <f>COUNTIF( AV$7:AV27, AV27 )</f>
        <v>7</v>
      </c>
      <c r="AX27" s="287">
        <f t="shared" si="22"/>
        <v>40.700000000000003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4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52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7</v>
      </c>
      <c r="AX28" s="287">
        <f t="shared" si="22"/>
        <v>24.7</v>
      </c>
      <c r="AY28" s="234">
        <f t="shared" si="23"/>
        <v>30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4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54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40</v>
      </c>
      <c r="AW29" s="234">
        <f>COUNTIF( AV$7:AV29, AV29 )</f>
        <v>8</v>
      </c>
      <c r="AX29" s="287">
        <f t="shared" si="22"/>
        <v>40.799999999999997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49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4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11</v>
      </c>
      <c r="AW30" s="234">
        <f>COUNTIF( AV$7:AV30, AV30 )</f>
        <v>5</v>
      </c>
      <c r="AX30" s="287">
        <f t="shared" si="22"/>
        <v>11.5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AEP</v>
      </c>
    </row>
    <row r="31" spans="1:61" ht="14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8</v>
      </c>
      <c r="AX31" s="287">
        <f t="shared" si="22"/>
        <v>24.8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AVA</v>
      </c>
    </row>
    <row r="32" spans="1:61" ht="14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CNL</v>
      </c>
    </row>
    <row r="33" spans="1:61" ht="14">
      <c r="A33" s="303" t="s">
        <v>34</v>
      </c>
      <c r="B33" s="304" t="s">
        <v>28</v>
      </c>
      <c r="C33" s="304">
        <v>18</v>
      </c>
      <c r="D33" s="304" t="s">
        <v>293</v>
      </c>
      <c r="E33" s="305" t="str">
        <f t="shared" ca="1" si="0"/>
        <v>R</v>
      </c>
      <c r="F33" s="306"/>
      <c r="G33" s="307">
        <f t="shared" ca="1" si="1"/>
        <v>24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40</v>
      </c>
      <c r="AW33" s="234">
        <f>COUNTIF( AV$7:AV33, AV33 )</f>
        <v>9</v>
      </c>
      <c r="AX33" s="287">
        <f t="shared" si="22"/>
        <v>40.9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16</v>
      </c>
      <c r="BF33" s="240" t="str">
        <f t="shared" ca="1" si="8"/>
        <v>El Paso Electric Company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EE</v>
      </c>
    </row>
    <row r="34" spans="1:61" ht="14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11</v>
      </c>
      <c r="AW34" s="234">
        <f>COUNTIF( AV$7:AV34, AV34 )</f>
        <v>6</v>
      </c>
      <c r="AX34" s="287">
        <f t="shared" si="22"/>
        <v>11.6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19</v>
      </c>
      <c r="BF34" s="240" t="str">
        <f t="shared" ca="1" si="8"/>
        <v>Entergy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ETR</v>
      </c>
    </row>
    <row r="35" spans="1:61" ht="14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11</v>
      </c>
      <c r="AW35" s="234">
        <f>COUNTIF( AV$7:AV35, AV35 )</f>
        <v>7</v>
      </c>
      <c r="AX35" s="287">
        <f t="shared" si="22"/>
        <v>11.7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20</v>
      </c>
      <c r="BF35" s="240" t="str">
        <f t="shared" ca="1" si="8"/>
        <v>Exelon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EXC</v>
      </c>
    </row>
    <row r="36" spans="1:61" ht="14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22</v>
      </c>
      <c r="BF36" s="240" t="str">
        <f t="shared" ca="1" si="8"/>
        <v>Great Plains Energy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GXP</v>
      </c>
    </row>
    <row r="37" spans="1:61" ht="14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40</v>
      </c>
      <c r="AW37" s="234">
        <f>COUNTIF( AV$7:AV37, AV37 )</f>
        <v>10</v>
      </c>
      <c r="AX37" s="287">
        <f t="shared" si="22"/>
        <v>41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4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4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ca="1" si="0"/>
        <v>R</v>
      </c>
      <c r="F39" s="306"/>
      <c r="G39" s="307">
        <f t="shared" ca="1" si="1"/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9</v>
      </c>
      <c r="AX39" s="287">
        <f t="shared" si="22"/>
        <v>24.9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25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4">
      <c r="A40" s="303" t="s">
        <v>41</v>
      </c>
      <c r="B40" s="304" t="s">
        <v>28</v>
      </c>
      <c r="C40" s="304">
        <v>18</v>
      </c>
      <c r="D40" s="304" t="s">
        <v>321</v>
      </c>
      <c r="E40" s="305" t="str">
        <f t="shared" ca="1" si="0"/>
        <v>R</v>
      </c>
      <c r="F40" s="306"/>
      <c r="G40" s="307">
        <f t="shared" ca="1" si="1"/>
        <v>45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52</v>
      </c>
      <c r="AW40" s="234">
        <f>COUNTIF( AV$7:AV40, AV40 )</f>
        <v>1</v>
      </c>
      <c r="AX40" s="287">
        <f t="shared" si="22"/>
        <v>52.1</v>
      </c>
      <c r="AY40" s="234">
        <f t="shared" si="23"/>
        <v>52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Pinnacle West Capital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PNW</v>
      </c>
    </row>
    <row r="41" spans="1:61" ht="14">
      <c r="A41" s="303" t="s">
        <v>24</v>
      </c>
      <c r="B41" s="304" t="s">
        <v>28</v>
      </c>
      <c r="C41" s="304">
        <v>18</v>
      </c>
      <c r="D41" s="304" t="s">
        <v>323</v>
      </c>
      <c r="E41" s="305" t="str">
        <f t="shared" ca="1" si="0"/>
        <v>R</v>
      </c>
      <c r="F41" s="306"/>
      <c r="G41" s="307">
        <f t="shared" ca="1" si="1"/>
        <v>47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11</v>
      </c>
      <c r="AW41" s="234">
        <f>COUNTIF( AV$7:AV41, AV41 )</f>
        <v>8</v>
      </c>
      <c r="AX41" s="287">
        <f t="shared" si="22"/>
        <v>11.8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41</v>
      </c>
      <c r="BF41" s="240" t="str">
        <f t="shared" ca="1" si="25"/>
        <v>Portland General Electric Company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POR</v>
      </c>
    </row>
    <row r="42" spans="1:61" ht="14">
      <c r="A42" s="303" t="s">
        <v>43</v>
      </c>
      <c r="B42" s="304" t="s">
        <v>28</v>
      </c>
      <c r="C42" s="304">
        <v>18</v>
      </c>
      <c r="D42" s="304" t="s">
        <v>324</v>
      </c>
      <c r="E42" s="305" t="str">
        <f t="shared" ca="1" si="0"/>
        <v>MR</v>
      </c>
      <c r="F42" s="306"/>
      <c r="G42" s="307">
        <f t="shared" ca="1" si="1"/>
        <v>48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40</v>
      </c>
      <c r="AW42" s="234">
        <f>COUNTIF( AV$7:AV42, AV42 )</f>
        <v>11</v>
      </c>
      <c r="AX42" s="287">
        <f t="shared" si="22"/>
        <v>41.1</v>
      </c>
      <c r="AY42" s="234">
        <f t="shared" si="23"/>
        <v>50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PPL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PPL</v>
      </c>
    </row>
    <row r="43" spans="1:61" ht="14">
      <c r="A43" s="303" t="s">
        <v>45</v>
      </c>
      <c r="B43" s="304" t="s">
        <v>28</v>
      </c>
      <c r="C43" s="304">
        <v>18</v>
      </c>
      <c r="D43" s="304" t="s">
        <v>318</v>
      </c>
      <c r="E43" s="305" t="str">
        <f t="shared" ca="1" si="0"/>
        <v>MR</v>
      </c>
      <c r="F43" s="306"/>
      <c r="G43" s="307">
        <f t="shared" ca="1" si="1"/>
        <v>50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11</v>
      </c>
      <c r="AW43" s="234">
        <f>COUNTIF( AV$7:AV43, AV43 )</f>
        <v>9</v>
      </c>
      <c r="AX43" s="287">
        <f t="shared" si="22"/>
        <v>11.9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44</v>
      </c>
      <c r="BF43" s="240" t="str">
        <f t="shared" ca="1" si="25"/>
        <v>Public Service Enterprise Group Incorporated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PEG</v>
      </c>
    </row>
    <row r="44" spans="1:61" ht="14">
      <c r="A44" s="303" t="s">
        <v>75</v>
      </c>
      <c r="B44" s="304" t="s">
        <v>28</v>
      </c>
      <c r="C44" s="304">
        <v>18</v>
      </c>
      <c r="D44" s="304" t="s">
        <v>331</v>
      </c>
      <c r="E44" s="305" t="str">
        <f t="shared" ca="1" si="0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9" t="s">
        <v>317</v>
      </c>
      <c r="AV44" s="234">
        <f t="shared" si="21"/>
        <v>24</v>
      </c>
      <c r="AW44" s="234">
        <f>COUNTIF( AV$7:AV44, AV44 )</f>
        <v>10</v>
      </c>
      <c r="AX44" s="287">
        <f t="shared" si="22"/>
        <v>25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50</v>
      </c>
      <c r="BF44" s="240" t="str">
        <f t="shared" ca="1" si="25"/>
        <v>UIL Holdings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UIL</v>
      </c>
    </row>
    <row r="45" spans="1:61" ht="14">
      <c r="A45" s="303" t="s">
        <v>59</v>
      </c>
      <c r="B45" s="304" t="s">
        <v>28</v>
      </c>
      <c r="C45" s="304">
        <v>18</v>
      </c>
      <c r="D45" s="304" t="s">
        <v>336</v>
      </c>
      <c r="E45" s="305" t="str">
        <f t="shared" ca="1" si="0"/>
        <v>R</v>
      </c>
      <c r="F45" s="306"/>
      <c r="G45" s="307">
        <f t="shared" ca="1" si="1"/>
        <v>59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24</v>
      </c>
      <c r="AW45" s="234">
        <f>COUNTIF( AV$7:AV45, AV45 )</f>
        <v>11</v>
      </c>
      <c r="AX45" s="287">
        <f t="shared" si="22"/>
        <v>25.1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52</v>
      </c>
      <c r="BF45" s="240" t="str">
        <f t="shared" ca="1" si="25"/>
        <v>Westar Energy,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WR</v>
      </c>
    </row>
    <row r="46" spans="1:61" ht="14">
      <c r="A46" s="303" t="s">
        <v>9</v>
      </c>
      <c r="B46" s="304" t="s">
        <v>49</v>
      </c>
      <c r="C46" s="304">
        <v>17</v>
      </c>
      <c r="D46" s="304" t="s">
        <v>273</v>
      </c>
      <c r="E46" s="305" t="str">
        <f t="shared" ca="1" si="0"/>
        <v>R</v>
      </c>
      <c r="F46" s="306"/>
      <c r="G46" s="307">
        <f t="shared" ca="1" si="1"/>
        <v>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40</v>
      </c>
      <c r="AW46" s="234">
        <f>COUNTIF( AV$7:AV46, AV46 )</f>
        <v>12</v>
      </c>
      <c r="AX46" s="287">
        <f t="shared" si="22"/>
        <v>41.2</v>
      </c>
      <c r="AY46" s="234">
        <f t="shared" si="23"/>
        <v>51</v>
      </c>
      <c r="AZ46" s="236"/>
      <c r="BA46" s="236"/>
      <c r="BC46" s="234">
        <f t="shared" ca="1" si="24"/>
        <v>40</v>
      </c>
      <c r="BD46" s="288">
        <f t="shared" ca="1" si="7"/>
        <v>3</v>
      </c>
      <c r="BF46" s="240" t="str">
        <f t="shared" ca="1" si="25"/>
        <v>Ameren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AEE</v>
      </c>
    </row>
    <row r="47" spans="1:61" ht="14">
      <c r="A47" s="303" t="s">
        <v>48</v>
      </c>
      <c r="B47" s="304" t="s">
        <v>49</v>
      </c>
      <c r="C47" s="304">
        <v>17</v>
      </c>
      <c r="D47" s="304" t="s">
        <v>279</v>
      </c>
      <c r="E47" s="305" t="str">
        <f t="shared" ca="1" si="0"/>
        <v>MR</v>
      </c>
      <c r="F47" s="306"/>
      <c r="G47" s="307">
        <f t="shared" ca="1" si="1"/>
        <v>12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12</v>
      </c>
      <c r="AX47" s="287">
        <f t="shared" si="22"/>
        <v>25.2</v>
      </c>
      <c r="AY47" s="234">
        <f t="shared" si="23"/>
        <v>35</v>
      </c>
      <c r="AZ47" s="236"/>
      <c r="BA47" s="236"/>
      <c r="BC47" s="234">
        <f t="shared" ca="1" si="24"/>
        <v>41</v>
      </c>
      <c r="BD47" s="288">
        <f t="shared" ca="1" si="7"/>
        <v>6</v>
      </c>
      <c r="BF47" s="240" t="str">
        <f t="shared" ca="1" si="25"/>
        <v>Black Hills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BKH</v>
      </c>
    </row>
    <row r="48" spans="1:61" ht="14">
      <c r="A48" s="303" t="s">
        <v>60</v>
      </c>
      <c r="B48" s="304" t="s">
        <v>49</v>
      </c>
      <c r="C48" s="304">
        <v>17</v>
      </c>
      <c r="D48" s="304" t="s">
        <v>283</v>
      </c>
      <c r="E48" s="305" t="str">
        <f t="shared" ca="1" si="0"/>
        <v>R</v>
      </c>
      <c r="F48" s="306"/>
      <c r="G48" s="307">
        <f t="shared" ca="1" si="1"/>
        <v>17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13</v>
      </c>
      <c r="AX48" s="287">
        <f t="shared" si="22"/>
        <v>25.3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9</v>
      </c>
      <c r="BF48" s="240" t="str">
        <f t="shared" ca="1" si="25"/>
        <v>CMS Energy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CMS</v>
      </c>
    </row>
    <row r="49" spans="1:61" ht="14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0"/>
        <v>R</v>
      </c>
      <c r="F49" s="306"/>
      <c r="G49" s="307">
        <f t="shared" ca="1" si="1"/>
        <v>64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256</v>
      </c>
      <c r="AR49" s="286" t="s">
        <v>16</v>
      </c>
      <c r="AS49" s="286">
        <v>19</v>
      </c>
      <c r="AT49" s="286" t="s">
        <v>319</v>
      </c>
      <c r="AV49" s="234">
        <f t="shared" si="21"/>
        <v>11</v>
      </c>
      <c r="AW49" s="234">
        <f>COUNTIF( AV$7:AV49, AV49 )</f>
        <v>10</v>
      </c>
      <c r="AX49" s="287">
        <f t="shared" si="22"/>
        <v>12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12</v>
      </c>
      <c r="BF49" s="240" t="str">
        <f t="shared" ca="1" si="25"/>
        <v>DPL Inc.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**DPL</v>
      </c>
    </row>
    <row r="50" spans="1:61" ht="14">
      <c r="A50" s="303" t="s">
        <v>57</v>
      </c>
      <c r="B50" s="304" t="s">
        <v>49</v>
      </c>
      <c r="C50" s="304">
        <v>17</v>
      </c>
      <c r="D50" s="304" t="s">
        <v>295</v>
      </c>
      <c r="E50" s="305" t="str">
        <f t="shared" ca="1" si="0"/>
        <v>R</v>
      </c>
      <c r="F50" s="306"/>
      <c r="G50" s="307">
        <f t="shared" ca="1" si="1"/>
        <v>23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45</v>
      </c>
      <c r="AR50" s="286" t="s">
        <v>28</v>
      </c>
      <c r="AS50" s="286">
        <v>18</v>
      </c>
      <c r="AT50" s="286" t="s">
        <v>318</v>
      </c>
      <c r="AV50" s="234">
        <f t="shared" si="21"/>
        <v>24</v>
      </c>
      <c r="AW50" s="234">
        <f>COUNTIF( AV$7:AV50, AV50 )</f>
        <v>14</v>
      </c>
      <c r="AX50" s="287">
        <f t="shared" si="22"/>
        <v>25.4</v>
      </c>
      <c r="AY50" s="234">
        <f t="shared" si="23"/>
        <v>37</v>
      </c>
      <c r="AZ50" s="236"/>
      <c r="BA50" s="236"/>
      <c r="BC50" s="234">
        <f t="shared" ca="1" si="24"/>
        <v>44</v>
      </c>
      <c r="BD50" s="288">
        <f t="shared" ca="1" si="7"/>
        <v>15</v>
      </c>
      <c r="BF50" s="240" t="str">
        <f t="shared" ca="1" si="25"/>
        <v>Edison International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EIX</v>
      </c>
    </row>
    <row r="51" spans="1:61" ht="14">
      <c r="A51" s="303" t="s">
        <v>35</v>
      </c>
      <c r="B51" s="304" t="s">
        <v>49</v>
      </c>
      <c r="C51" s="304">
        <v>17</v>
      </c>
      <c r="D51" s="304" t="s">
        <v>292</v>
      </c>
      <c r="E51" s="305" t="str">
        <f t="shared" ca="1" si="0"/>
        <v>R</v>
      </c>
      <c r="F51" s="306"/>
      <c r="G51" s="307">
        <f t="shared" ca="1" si="1"/>
        <v>25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54</v>
      </c>
      <c r="AR51" s="286" t="s">
        <v>56</v>
      </c>
      <c r="AS51" s="286">
        <v>16</v>
      </c>
      <c r="AT51" s="286" t="s">
        <v>448</v>
      </c>
      <c r="AV51" s="234">
        <f t="shared" si="21"/>
        <v>52</v>
      </c>
      <c r="AW51" s="234">
        <f>COUNTIF( AV$7:AV51, AV51 )</f>
        <v>2</v>
      </c>
      <c r="AX51" s="287">
        <f t="shared" si="22"/>
        <v>52.2</v>
      </c>
      <c r="AY51" s="234">
        <f t="shared" si="23"/>
        <v>53</v>
      </c>
      <c r="AZ51" s="236"/>
      <c r="BA51" s="236"/>
      <c r="BC51" s="234">
        <f t="shared" ca="1" si="24"/>
        <v>45</v>
      </c>
      <c r="BD51" s="288">
        <f t="shared" ca="1" si="7"/>
        <v>17</v>
      </c>
      <c r="BF51" s="240" t="str">
        <f t="shared" ca="1" si="25"/>
        <v>Empire District Electric Company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EDE</v>
      </c>
    </row>
    <row r="52" spans="1:61" ht="14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28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13</v>
      </c>
      <c r="AR52" s="286" t="s">
        <v>16</v>
      </c>
      <c r="AS52" s="286">
        <v>19</v>
      </c>
      <c r="AT52" s="286" t="s">
        <v>326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4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D</v>
      </c>
      <c r="F53" s="306"/>
      <c r="G53" s="307">
        <f t="shared" ca="1" si="1"/>
        <v>30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25</v>
      </c>
      <c r="AR53" s="286" t="s">
        <v>16</v>
      </c>
      <c r="AS53" s="286">
        <v>19</v>
      </c>
      <c r="AT53" s="286" t="s">
        <v>328</v>
      </c>
      <c r="AV53" s="234">
        <f t="shared" si="21"/>
        <v>11</v>
      </c>
      <c r="AW53" s="234">
        <f>COUNTIF( AV$7:AV53, AV53 )</f>
        <v>12</v>
      </c>
      <c r="AX53" s="287">
        <f t="shared" si="22"/>
        <v>12.2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4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7</v>
      </c>
      <c r="AR54" s="286" t="s">
        <v>2</v>
      </c>
      <c r="AS54" s="286">
        <v>21</v>
      </c>
      <c r="AT54" s="286" t="s">
        <v>327</v>
      </c>
      <c r="AV54" s="234">
        <f t="shared" si="21"/>
        <v>1</v>
      </c>
      <c r="AW54" s="234">
        <f>COUNTIF( AV$7:AV54, AV54 )</f>
        <v>1</v>
      </c>
      <c r="AX54" s="287">
        <f t="shared" si="22"/>
        <v>1.1000000000000001</v>
      </c>
      <c r="AY54" s="234">
        <f t="shared" si="23"/>
        <v>1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4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36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62</v>
      </c>
      <c r="AR55" s="286" t="s">
        <v>16</v>
      </c>
      <c r="AS55" s="286">
        <v>19</v>
      </c>
      <c r="AT55" s="286" t="s">
        <v>329</v>
      </c>
      <c r="AV55" s="234">
        <f t="shared" si="21"/>
        <v>11</v>
      </c>
      <c r="AW55" s="234">
        <f>COUNTIF( AV$7:AV55, AV55 )</f>
        <v>13</v>
      </c>
      <c r="AX55" s="287">
        <f t="shared" si="22"/>
        <v>12.3</v>
      </c>
      <c r="AY55" s="234">
        <f t="shared" si="23"/>
        <v>23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4">
      <c r="A56" s="303" t="s">
        <v>22</v>
      </c>
      <c r="B56" s="304" t="s">
        <v>49</v>
      </c>
      <c r="C56" s="304">
        <v>17</v>
      </c>
      <c r="D56" s="304" t="s">
        <v>316</v>
      </c>
      <c r="E56" s="305" t="str">
        <f t="shared" ca="1" si="0"/>
        <v>MR</v>
      </c>
      <c r="F56" s="306"/>
      <c r="G56" s="307">
        <f t="shared" ca="1" si="1"/>
        <v>42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75</v>
      </c>
      <c r="AR56" s="286" t="s">
        <v>28</v>
      </c>
      <c r="AS56" s="286">
        <v>18</v>
      </c>
      <c r="AT56" s="286" t="s">
        <v>331</v>
      </c>
      <c r="AV56" s="234">
        <f t="shared" si="21"/>
        <v>24</v>
      </c>
      <c r="AW56" s="234">
        <f>COUNTIF( AV$7:AV56, AV56 )</f>
        <v>15</v>
      </c>
      <c r="AX56" s="287">
        <f t="shared" si="22"/>
        <v>25.5</v>
      </c>
      <c r="AY56" s="234">
        <f t="shared" si="23"/>
        <v>38</v>
      </c>
      <c r="AZ56" s="236"/>
      <c r="BA56" s="236"/>
      <c r="BC56" s="234">
        <f t="shared" ca="1" si="24"/>
        <v>50</v>
      </c>
      <c r="BD56" s="288">
        <f t="shared" ca="1" si="7"/>
        <v>36</v>
      </c>
      <c r="BF56" s="240" t="str">
        <f t="shared" ca="1" si="25"/>
        <v>Otter Tail Corporation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OTTR</v>
      </c>
    </row>
    <row r="57" spans="1:61" ht="14">
      <c r="A57" s="303" t="s">
        <v>42</v>
      </c>
      <c r="B57" s="304" t="s">
        <v>49</v>
      </c>
      <c r="C57" s="304">
        <v>17</v>
      </c>
      <c r="D57" s="304" t="s">
        <v>320</v>
      </c>
      <c r="E57" s="305" t="str">
        <f t="shared" ca="1" si="0"/>
        <v>R</v>
      </c>
      <c r="F57" s="306"/>
      <c r="G57" s="307">
        <f t="shared" ca="1" si="1"/>
        <v>46</v>
      </c>
      <c r="H57" s="250"/>
      <c r="I57" s="250"/>
      <c r="J57" s="262"/>
      <c r="K57" s="262"/>
      <c r="AF57" s="236">
        <f t="shared" si="2"/>
        <v>1</v>
      </c>
      <c r="AG57" s="236">
        <f t="shared" ca="1" si="3"/>
        <v>1</v>
      </c>
      <c r="AH57" s="236" t="str">
        <f t="shared" ca="1" si="19"/>
        <v/>
      </c>
      <c r="AJ57" s="236">
        <f t="shared" ca="1" si="4"/>
        <v>60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5"/>
        <v>Change</v>
      </c>
      <c r="AQ57" s="286" t="s">
        <v>14</v>
      </c>
      <c r="AR57" s="286" t="s">
        <v>10</v>
      </c>
      <c r="AS57" s="286">
        <v>20</v>
      </c>
      <c r="AT57" s="286" t="s">
        <v>334</v>
      </c>
      <c r="AV57" s="234">
        <f t="shared" si="21"/>
        <v>2</v>
      </c>
      <c r="AW57" s="234">
        <f>COUNTIF( AV$7:AV57, AV57 )</f>
        <v>7</v>
      </c>
      <c r="AX57" s="287">
        <f t="shared" si="22"/>
        <v>2.7</v>
      </c>
      <c r="AY57" s="234">
        <f t="shared" si="23"/>
        <v>8</v>
      </c>
      <c r="AZ57" s="236"/>
      <c r="BA57" s="236"/>
      <c r="BC57" s="234">
        <f t="shared" ca="1" si="24"/>
        <v>51</v>
      </c>
      <c r="BD57" s="288">
        <f t="shared" ca="1" si="7"/>
        <v>40</v>
      </c>
      <c r="BF57" s="240" t="str">
        <f t="shared" ca="1" si="25"/>
        <v>PNM Resources, Inc.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PNM</v>
      </c>
    </row>
    <row r="58" spans="1:61" ht="14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59</v>
      </c>
      <c r="AR58" s="286" t="s">
        <v>28</v>
      </c>
      <c r="AS58" s="286">
        <v>18</v>
      </c>
      <c r="AT58" s="286" t="s">
        <v>336</v>
      </c>
      <c r="AV58" s="234">
        <f t="shared" si="21"/>
        <v>24</v>
      </c>
      <c r="AW58" s="234">
        <f>COUNTIF( AV$7:AV58, AV58 )</f>
        <v>16</v>
      </c>
      <c r="AX58" s="287">
        <f t="shared" si="22"/>
        <v>25.6</v>
      </c>
      <c r="AY58" s="234">
        <f t="shared" si="23"/>
        <v>39</v>
      </c>
      <c r="AZ58" s="236"/>
      <c r="BA58" s="236"/>
      <c r="BC58" s="234">
        <f t="shared" ca="1" si="24"/>
        <v>52</v>
      </c>
      <c r="BD58" s="288">
        <f t="shared" ca="1" si="7"/>
        <v>34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4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26</v>
      </c>
      <c r="AR59" s="286" t="s">
        <v>10</v>
      </c>
      <c r="AS59" s="286">
        <v>20</v>
      </c>
      <c r="AT59" s="286" t="s">
        <v>335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45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4">
      <c r="A60" s="247" t="s">
        <v>248</v>
      </c>
      <c r="B60" s="248" t="s">
        <v>125</v>
      </c>
      <c r="C60" s="248">
        <v>9</v>
      </c>
      <c r="D60" s="248" t="s">
        <v>444</v>
      </c>
      <c r="E60" s="249"/>
      <c r="F60" s="250"/>
      <c r="G60" s="251">
        <f t="shared" ca="1" si="1"/>
        <v>65</v>
      </c>
      <c r="H60" s="250"/>
      <c r="I60" s="250"/>
      <c r="AF60" s="236">
        <f t="shared" si="2"/>
        <v>1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CCC</v>
      </c>
      <c r="AL60" s="236">
        <f t="shared" ca="1" si="20"/>
        <v>9</v>
      </c>
      <c r="AM60" s="236" t="str">
        <f t="shared" ca="1" si="5"/>
        <v/>
      </c>
      <c r="AQ60" s="286" t="s">
        <v>257</v>
      </c>
      <c r="AR60" s="286" t="s">
        <v>10</v>
      </c>
      <c r="AS60" s="286">
        <v>20</v>
      </c>
      <c r="AT60" s="286" t="s">
        <v>337</v>
      </c>
      <c r="AV60" s="234">
        <f t="shared" si="21"/>
        <v>2</v>
      </c>
      <c r="AW60" s="234">
        <f>COUNTIF( AV$7:AV60, AV60 )</f>
        <v>9</v>
      </c>
      <c r="AX60" s="287">
        <f t="shared" si="22"/>
        <v>2.9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18</v>
      </c>
      <c r="BF60" s="240" t="str">
        <f t="shared" ca="1" si="25"/>
        <v>Energy Future Holdings Corp.</v>
      </c>
      <c r="BG60" s="240" t="str">
        <f t="shared" ca="1" si="9"/>
        <v>CCC</v>
      </c>
      <c r="BH60" s="240">
        <f t="shared" ca="1" si="9"/>
        <v>9</v>
      </c>
      <c r="BI60" s="240" t="str">
        <f t="shared" ca="1" si="9"/>
        <v>**EFH</v>
      </c>
    </row>
    <row r="61" spans="1:61" ht="15" thickBot="1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</v>
      </c>
      <c r="AX61" s="287">
        <f t="shared" si="22"/>
        <v>99.1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4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63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2</v>
      </c>
      <c r="AX62" s="287">
        <f t="shared" si="22"/>
        <v>99.2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3</v>
      </c>
      <c r="AX63" s="287">
        <f t="shared" si="22"/>
        <v>99.3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4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65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4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66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18.263157894736842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18.350877192982455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customWidth="1"/>
    <col min="23" max="23" width="2" style="234" customWidth="1"/>
    <col min="24" max="24" width="4.1640625" style="234" bestFit="1" customWidth="1"/>
    <col min="25" max="25" width="5.5" style="234" bestFit="1" customWidth="1"/>
    <col min="26" max="26" width="2.5" style="234" bestFit="1" customWidth="1"/>
    <col min="27" max="27" width="4.33203125" style="234" bestFit="1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7.83203125" style="236" hidden="1" customWidth="1" outlineLevel="1" collapsed="1"/>
    <col min="37" max="38" width="9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3.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style="234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-- 2012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9" hidden="1" outlineLevel="1">
      <c r="A2" s="233"/>
      <c r="E2" s="238" t="str">
        <f>G2</f>
        <v>Reg_Percent_2010</v>
      </c>
      <c r="G2" s="239" t="s">
        <v>486</v>
      </c>
      <c r="AJ2" s="240" t="str">
        <f>AJ4 &amp; AJ3</f>
        <v>'Credit_2011Q4'!a:a</v>
      </c>
      <c r="AK2" s="240" t="str">
        <f>AK4 &amp; AK3</f>
        <v>'Credit_2011Q4'!b1</v>
      </c>
      <c r="AL2" s="240" t="str">
        <f>AL4 &amp; AL3</f>
        <v>'Credit_2011Q4'!c1</v>
      </c>
    </row>
    <row r="3" spans="1:61" ht="19" hidden="1" outlineLevel="1">
      <c r="A3" s="233"/>
      <c r="E3" s="241" t="str">
        <f>"'" &amp; E2 &amp; "'!"</f>
        <v>'Reg_Percent_2010'!</v>
      </c>
      <c r="G3" s="234" t="str">
        <f>"'" &amp; G2 &amp; "'!"</f>
        <v>'Reg_Percent_2010'!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492</v>
      </c>
      <c r="AK4" s="236" t="str">
        <f>AJ4</f>
        <v>'Credit_2011Q4'!</v>
      </c>
      <c r="AL4" s="236" t="str">
        <f>AK4</f>
        <v>'Credit_2011Q4'!</v>
      </c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(58)</v>
      </c>
      <c r="M5" s="506"/>
      <c r="N5" s="314"/>
      <c r="O5" s="504" t="str">
        <f ca="1">"Regulated" &amp; CHAR( 10 ) &amp; "(" &amp; O14 &amp; ")"</f>
        <v>Regulated
(37)</v>
      </c>
      <c r="P5" s="508"/>
      <c r="Q5" s="314"/>
      <c r="R5" s="504" t="str">
        <f ca="1">"Mostly Regulated" &amp; CHAR( 10 ) &amp; "(" &amp; R14 &amp; ")"</f>
        <v>Mostly Regulated
(18)</v>
      </c>
      <c r="S5" s="508"/>
      <c r="T5" s="314"/>
      <c r="U5" s="504" t="str">
        <f ca="1">"Diversified" &amp; CHAR( 10 ) &amp; "(" &amp; U14 &amp; ")"</f>
        <v>Diversified
(3)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>
      <c r="A6" s="299" t="s">
        <v>0</v>
      </c>
      <c r="B6" s="300" t="s">
        <v>390</v>
      </c>
      <c r="C6" s="338" t="s">
        <v>470</v>
      </c>
      <c r="D6" s="301"/>
      <c r="E6" s="302">
        <v>40543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6</v>
      </c>
      <c r="B7" s="304" t="s">
        <v>110</v>
      </c>
      <c r="C7" s="304">
        <v>22</v>
      </c>
      <c r="D7" s="304" t="s">
        <v>312</v>
      </c>
      <c r="E7" s="305" t="str">
        <f t="shared" ref="E7:E61" ca="1" si="0">OFFSET( INDIRECT( E$3 &amp; E$4 ), $G7 - 1, 0 )</f>
        <v>R</v>
      </c>
      <c r="F7" s="306"/>
      <c r="G7" s="307">
        <f t="shared" ref="G7:G66" ca="1" si="1">IF( LEN( $D7 ) = 0, "", MATCH( $D7, INDIRECT( G$3 &amp; G$4 ), 0 ) )</f>
        <v>39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12</v>
      </c>
      <c r="AW7" s="234">
        <f>COUNTIF( AV7:AV$7, AV7 )</f>
        <v>1</v>
      </c>
      <c r="AX7" s="287">
        <f>AV7 + AW7 / 10</f>
        <v>12.1</v>
      </c>
      <c r="AY7" s="234">
        <f>RANK( AX7, $AX$7:$AX$63, 1 )</f>
        <v>12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34</v>
      </c>
      <c r="BF7" s="240" t="str">
        <f t="shared" ref="BF7:BF38" ca="1" si="8">OFFSET( AQ$6, $BD7, 0 )</f>
        <v>NSTAR</v>
      </c>
      <c r="BG7" s="240" t="str">
        <f t="shared" ref="BG7:BI62" ca="1" si="9">OFFSET( AR$6, $BD7, 0 )</f>
        <v>A+</v>
      </c>
      <c r="BH7" s="240">
        <f t="shared" ca="1" si="9"/>
        <v>22</v>
      </c>
      <c r="BI7" s="240" t="str">
        <f t="shared" ca="1" si="9"/>
        <v>NST</v>
      </c>
    </row>
    <row r="8" spans="1:61" ht="14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ca="1" si="0"/>
        <v>R</v>
      </c>
      <c r="F8" s="306"/>
      <c r="G8" s="307">
        <f t="shared" ca="1" si="1"/>
        <v>53</v>
      </c>
      <c r="H8" s="250"/>
      <c r="I8" s="317"/>
      <c r="J8" s="293" t="s">
        <v>138</v>
      </c>
      <c r="K8" s="317"/>
      <c r="L8" s="293">
        <f t="shared" ref="L8:L13" si="10">COUNTIF($C$7:$C$67,$X8)</f>
        <v>4</v>
      </c>
      <c r="M8" s="294">
        <f t="shared" ref="M8:M13" si="11">IF( L8 = 0, "", L8/L$14 )</f>
        <v>6.8965517241379309E-2</v>
      </c>
      <c r="N8" s="317"/>
      <c r="O8" s="293">
        <f t="shared" ref="O8:O13" ca="1" si="12">COUNTIFS( $E$7:$E$66, O$3, $C$7:$C$66, $X8 )</f>
        <v>3</v>
      </c>
      <c r="P8" s="294">
        <f t="shared" ref="P8:P13" ca="1" si="13">IF( O8 = 0, "", O8/O$14 )</f>
        <v>8.1081081081081086E-2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5.5555555555555552E-2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4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12</v>
      </c>
      <c r="AW8" s="234">
        <f>COUNTIF( AV$7:AV8, AV8 )</f>
        <v>2</v>
      </c>
      <c r="AX8" s="287">
        <f t="shared" ref="AX8:AX63" si="22">AV8 + AW8 / 10</f>
        <v>12.2</v>
      </c>
      <c r="AY8" s="234">
        <f t="shared" ref="AY8:AY63" si="23">RANK( AX8, $AX$7:$AX$63, 1 )</f>
        <v>13</v>
      </c>
      <c r="AZ8" s="236"/>
      <c r="BA8" s="236"/>
      <c r="BC8" s="234">
        <f ca="1">OFFSET( BC8, -1, 0 ) + 1</f>
        <v>2</v>
      </c>
      <c r="BD8" s="288">
        <f t="shared" ca="1" si="7"/>
        <v>49</v>
      </c>
      <c r="BF8" s="240" t="str">
        <f t="shared" ca="1" si="8"/>
        <v>Southern Company</v>
      </c>
      <c r="BG8" s="240" t="str">
        <f t="shared" ca="1" si="9"/>
        <v>A</v>
      </c>
      <c r="BH8" s="240">
        <f t="shared" ca="1" si="9"/>
        <v>21</v>
      </c>
      <c r="BI8" s="240" t="str">
        <f t="shared" ca="1" si="9"/>
        <v>SO</v>
      </c>
    </row>
    <row r="9" spans="1:61" ht="14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0.15517241379310345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0.16666666666666666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41</v>
      </c>
      <c r="AW9" s="234">
        <f>COUNTIF( AV$7:AV9, AV9 )</f>
        <v>1</v>
      </c>
      <c r="AX9" s="287">
        <f t="shared" si="22"/>
        <v>41.1</v>
      </c>
      <c r="AY9" s="234">
        <f t="shared" si="23"/>
        <v>41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ED</v>
      </c>
    </row>
    <row r="10" spans="1:61" ht="14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0.22413793103448276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0.33333333333333331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25</v>
      </c>
      <c r="AW10" s="234">
        <f>COUNTIF( AV$7:AV10, AV10 )</f>
        <v>1</v>
      </c>
      <c r="AX10" s="287">
        <f t="shared" si="22"/>
        <v>25.1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</v>
      </c>
    </row>
    <row r="11" spans="1:61" ht="14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0"/>
        <v>MR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0.27586206896551724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0.16666666666666666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25</v>
      </c>
      <c r="AW11" s="234">
        <f>COUNTIF( AV$7:AV11, AV11 )</f>
        <v>2</v>
      </c>
      <c r="AX11" s="287">
        <f t="shared" si="22"/>
        <v>25.2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14</v>
      </c>
      <c r="BF11" s="240" t="str">
        <f t="shared" ca="1" si="8"/>
        <v>Duke Energy Corporation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DUK</v>
      </c>
    </row>
    <row r="12" spans="1:61" ht="14">
      <c r="A12" s="303" t="s">
        <v>451</v>
      </c>
      <c r="B12" s="304" t="s">
        <v>10</v>
      </c>
      <c r="C12" s="304">
        <v>20</v>
      </c>
      <c r="D12" s="304" t="s">
        <v>443</v>
      </c>
      <c r="E12" s="305" t="str">
        <f t="shared" ca="1" si="0"/>
        <v>R</v>
      </c>
      <c r="F12" s="306"/>
      <c r="G12" s="307">
        <f t="shared" ca="1" si="1"/>
        <v>65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0.18965517241379309</v>
      </c>
      <c r="N12" s="318"/>
      <c r="O12" s="295">
        <f t="shared" ca="1" si="12"/>
        <v>5</v>
      </c>
      <c r="P12" s="296">
        <f t="shared" ca="1" si="13"/>
        <v>0.13513513513513514</v>
      </c>
      <c r="Q12" s="318"/>
      <c r="R12" s="295">
        <f t="shared" ca="1" si="14"/>
        <v>5</v>
      </c>
      <c r="S12" s="296">
        <f t="shared" ca="1" si="15"/>
        <v>0.27777777777777779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41</v>
      </c>
      <c r="AW12" s="234">
        <f>COUNTIF( AV$7:AV12, AV12 )</f>
        <v>2</v>
      </c>
      <c r="AX12" s="287">
        <f t="shared" si="22"/>
        <v>41.2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24</v>
      </c>
      <c r="BF12" s="240" t="str">
        <f t="shared" ca="1" si="8"/>
        <v>Iberdrola USA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**EAST</v>
      </c>
    </row>
    <row r="13" spans="1:61" ht="14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0"/>
        <v>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8.6206896551724144E-2</v>
      </c>
      <c r="N13" s="319"/>
      <c r="O13" s="297">
        <f t="shared" ca="1" si="12"/>
        <v>4</v>
      </c>
      <c r="P13" s="298">
        <f t="shared" ca="1" si="13"/>
        <v>0.10810810810810811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1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21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9" t="s">
        <v>285</v>
      </c>
      <c r="AV13" s="234">
        <f t="shared" si="21"/>
        <v>12</v>
      </c>
      <c r="AW13" s="234">
        <f>COUNTIF( AV$7:AV13, AV13 )</f>
        <v>3</v>
      </c>
      <c r="AX13" s="287">
        <f t="shared" si="22"/>
        <v>12.3</v>
      </c>
      <c r="AY13" s="234">
        <f t="shared" si="23"/>
        <v>14</v>
      </c>
      <c r="AZ13" s="236"/>
      <c r="BA13" s="236"/>
      <c r="BC13" s="234">
        <f t="shared" ca="1" si="24"/>
        <v>7</v>
      </c>
      <c r="BD13" s="288">
        <f t="shared" ca="1" si="7"/>
        <v>26</v>
      </c>
      <c r="BF13" s="240" t="str">
        <f t="shared" ca="1" si="8"/>
        <v>Integrys Energy Group,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TEG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0"/>
        <v>MR</v>
      </c>
      <c r="F14" s="306"/>
      <c r="G14" s="307">
        <f t="shared" ca="1" si="1"/>
        <v>35</v>
      </c>
      <c r="H14" s="250"/>
      <c r="I14" s="320"/>
      <c r="J14" s="291" t="s">
        <v>80</v>
      </c>
      <c r="K14" s="320"/>
      <c r="L14" s="291">
        <f>SUM(L8:L13)</f>
        <v>58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18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18.379310344827587</v>
      </c>
      <c r="Z14" s="261"/>
      <c r="AA14" s="260">
        <f ca="1">SUM(AA8:AA13)</f>
        <v>58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25</v>
      </c>
      <c r="AW14" s="234">
        <f>COUNTIF( AV$7:AV14, AV14 )</f>
        <v>3</v>
      </c>
      <c r="AX14" s="287">
        <f t="shared" si="22"/>
        <v>25.3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30</v>
      </c>
      <c r="BF14" s="240" t="str">
        <f t="shared" ca="1" si="8"/>
        <v>NextEra Energy, Inc.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NEE</v>
      </c>
    </row>
    <row r="15" spans="1:61" ht="14">
      <c r="A15" s="303" t="s">
        <v>14</v>
      </c>
      <c r="B15" s="304" t="s">
        <v>10</v>
      </c>
      <c r="C15" s="304">
        <v>20</v>
      </c>
      <c r="D15" s="304" t="s">
        <v>334</v>
      </c>
      <c r="E15" s="305" t="str">
        <f t="shared" ca="1" si="0"/>
        <v>R</v>
      </c>
      <c r="F15" s="306"/>
      <c r="G15" s="307">
        <f t="shared" ca="1" si="1"/>
        <v>58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41</v>
      </c>
      <c r="AW15" s="234">
        <f>COUNTIF( AV$7:AV15, AV15 )</f>
        <v>3</v>
      </c>
      <c r="AX15" s="287">
        <f t="shared" si="22"/>
        <v>41.3</v>
      </c>
      <c r="AY15" s="234">
        <f t="shared" si="23"/>
        <v>43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Vectren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VVC</v>
      </c>
    </row>
    <row r="16" spans="1:61" ht="14">
      <c r="A16" s="303" t="s">
        <v>26</v>
      </c>
      <c r="B16" s="304" t="s">
        <v>10</v>
      </c>
      <c r="C16" s="304">
        <v>20</v>
      </c>
      <c r="D16" s="304" t="s">
        <v>335</v>
      </c>
      <c r="E16" s="305" t="str">
        <f t="shared" ca="1" si="0"/>
        <v>R</v>
      </c>
      <c r="F16" s="306"/>
      <c r="G16" s="307">
        <f t="shared" ca="1" si="1"/>
        <v>60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18.293103448275861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18.378378378378379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18.666666666666668</v>
      </c>
      <c r="S16" s="502"/>
      <c r="T16" s="316"/>
      <c r="U16" s="501">
        <f t="array" aca="1" ref="U16" ca="1">SUM( IF( LEN( $C$7:$C$65 ) = 0, 0, IF( $E$7:$E$65 = U3, $C$7:$C$65, 0 ) ) ) / SUM( IF( LEN( $C$7:$C$65 ) = 0, 0, IF( $E$7:$E$65 = U3, 1, 0 ) ) )</f>
        <v>15</v>
      </c>
      <c r="V16" s="503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3</v>
      </c>
      <c r="AW16" s="234">
        <f>COUNTIF( AV$7:AV16, AV16 )</f>
        <v>1</v>
      </c>
      <c r="AX16" s="287">
        <f t="shared" si="22"/>
        <v>3.1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Wisconsin Energy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WEC</v>
      </c>
    </row>
    <row r="17" spans="1:61" ht="14">
      <c r="A17" s="303" t="s">
        <v>257</v>
      </c>
      <c r="B17" s="304" t="s">
        <v>10</v>
      </c>
      <c r="C17" s="304">
        <v>20</v>
      </c>
      <c r="D17" s="304" t="s">
        <v>337</v>
      </c>
      <c r="E17" s="305" t="str">
        <f t="shared" ca="1" si="0"/>
        <v>R</v>
      </c>
      <c r="F17" s="306"/>
      <c r="G17" s="307">
        <f t="shared" ca="1" si="1"/>
        <v>61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3</v>
      </c>
      <c r="AW17" s="234">
        <f>COUNTIF( AV$7:AV17, AV17 )</f>
        <v>2</v>
      </c>
      <c r="AX17" s="287">
        <f t="shared" si="22"/>
        <v>3.2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55</v>
      </c>
      <c r="BF17" s="240" t="str">
        <f t="shared" ca="1" si="8"/>
        <v>Xcel Energy Inc.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XEL</v>
      </c>
    </row>
    <row r="18" spans="1:61" ht="14">
      <c r="A18" s="303" t="s">
        <v>15</v>
      </c>
      <c r="B18" s="304" t="s">
        <v>16</v>
      </c>
      <c r="C18" s="304">
        <v>19</v>
      </c>
      <c r="D18" s="304" t="s">
        <v>276</v>
      </c>
      <c r="E18" s="305" t="str">
        <f t="shared" ca="1" si="0"/>
        <v>R</v>
      </c>
      <c r="F18" s="306"/>
      <c r="G18" s="307">
        <f t="shared" ca="1" si="1"/>
        <v>7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17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41</v>
      </c>
      <c r="AW18" s="234">
        <f>COUNTIF( AV$7:AV18, AV18 )</f>
        <v>4</v>
      </c>
      <c r="AX18" s="287">
        <f t="shared" si="22"/>
        <v>41.4</v>
      </c>
      <c r="AY18" s="234">
        <f t="shared" si="23"/>
        <v>44</v>
      </c>
      <c r="AZ18" s="236"/>
      <c r="BA18" s="236"/>
      <c r="BC18" s="234">
        <f t="shared" ca="1" si="24"/>
        <v>12</v>
      </c>
      <c r="BD18" s="288">
        <f t="shared" ca="1" si="7"/>
        <v>1</v>
      </c>
      <c r="BF18" s="240" t="str">
        <f t="shared" ca="1" si="8"/>
        <v>ALLETE,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ALE</v>
      </c>
    </row>
    <row r="19" spans="1:61" ht="14">
      <c r="A19" s="303" t="s">
        <v>17</v>
      </c>
      <c r="B19" s="304" t="s">
        <v>16</v>
      </c>
      <c r="C19" s="304">
        <v>19</v>
      </c>
      <c r="D19" s="304" t="s">
        <v>306</v>
      </c>
      <c r="E19" s="305" t="str">
        <f t="shared" ca="1" si="0"/>
        <v>R</v>
      </c>
      <c r="F19" s="306"/>
      <c r="G19" s="307">
        <f t="shared" ca="1" si="1"/>
        <v>8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18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12</v>
      </c>
      <c r="AW19" s="234">
        <f>COUNTIF( AV$7:AV19, AV19 )</f>
        <v>4</v>
      </c>
      <c r="AX19" s="287">
        <f t="shared" si="22"/>
        <v>12.4</v>
      </c>
      <c r="AY19" s="234">
        <f t="shared" si="23"/>
        <v>15</v>
      </c>
      <c r="AZ19" s="236"/>
      <c r="BA19" s="236"/>
      <c r="BC19" s="234">
        <f t="shared" ca="1" si="24"/>
        <v>13</v>
      </c>
      <c r="BD19" s="288">
        <f t="shared" ca="1" si="7"/>
        <v>2</v>
      </c>
      <c r="BF19" s="240" t="str">
        <f t="shared" ca="1" si="8"/>
        <v>Alliant Energy Corporation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LNT</v>
      </c>
    </row>
    <row r="20" spans="1:61" ht="14">
      <c r="A20" s="303" t="s">
        <v>29</v>
      </c>
      <c r="B20" s="304" t="s">
        <v>16</v>
      </c>
      <c r="C20" s="304">
        <v>19</v>
      </c>
      <c r="D20" s="304" t="s">
        <v>285</v>
      </c>
      <c r="E20" s="305" t="str">
        <f t="shared" ca="1" si="0"/>
        <v>MR</v>
      </c>
      <c r="F20" s="306"/>
      <c r="G20" s="307">
        <f t="shared" ca="1" si="1"/>
        <v>13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6" t="s">
        <v>289</v>
      </c>
      <c r="AV20" s="234">
        <f t="shared" si="21"/>
        <v>3</v>
      </c>
      <c r="AW20" s="234">
        <f>COUNTIF( AV$7:AV20, AV20 )</f>
        <v>3</v>
      </c>
      <c r="AX20" s="287">
        <f t="shared" si="22"/>
        <v>3.3</v>
      </c>
      <c r="AY20" s="234">
        <f t="shared" si="23"/>
        <v>5</v>
      </c>
      <c r="AZ20" s="236"/>
      <c r="BA20" s="236"/>
      <c r="BC20" s="234">
        <f t="shared" ca="1" si="24"/>
        <v>14</v>
      </c>
      <c r="BD20" s="288">
        <f t="shared" ca="1" si="7"/>
        <v>7</v>
      </c>
      <c r="BF20" s="240" t="str">
        <f t="shared" ca="1" si="8"/>
        <v>CenterPoint Energy,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CNP</v>
      </c>
    </row>
    <row r="21" spans="1:61" ht="14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21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41</v>
      </c>
      <c r="AW21" s="234">
        <f>COUNTIF( AV$7:AV21, AV21 )</f>
        <v>5</v>
      </c>
      <c r="AX21" s="287">
        <f t="shared" si="22"/>
        <v>41.5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DTE</v>
      </c>
    </row>
    <row r="22" spans="1:61" ht="14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25</v>
      </c>
      <c r="AW22" s="234">
        <f>COUNTIF( AV$7:AV22, AV22 )</f>
        <v>4</v>
      </c>
      <c r="AX22" s="287">
        <f t="shared" si="22"/>
        <v>25.4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4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41</v>
      </c>
      <c r="AW23" s="234">
        <f>COUNTIF( AV$7:AV23, AV23 )</f>
        <v>6</v>
      </c>
      <c r="AX23" s="287">
        <f t="shared" si="22"/>
        <v>41.6</v>
      </c>
      <c r="AY23" s="234">
        <f t="shared" si="23"/>
        <v>46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4">
      <c r="A24" s="303" t="s">
        <v>512</v>
      </c>
      <c r="B24" s="304" t="s">
        <v>16</v>
      </c>
      <c r="C24" s="304">
        <v>19</v>
      </c>
      <c r="D24" s="304" t="s">
        <v>511</v>
      </c>
      <c r="E24" s="305" t="str">
        <f t="shared" ca="1" si="0"/>
        <v>R</v>
      </c>
      <c r="F24" s="306"/>
      <c r="G24" s="307">
        <f t="shared" ca="1" si="1"/>
        <v>37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55</v>
      </c>
      <c r="AW24" s="234">
        <f>COUNTIF( AV$7:AV24, AV24 )</f>
        <v>1</v>
      </c>
      <c r="AX24" s="287">
        <f t="shared" si="22"/>
        <v>55.1</v>
      </c>
      <c r="AY24" s="234">
        <f t="shared" si="23"/>
        <v>55</v>
      </c>
      <c r="AZ24" s="236"/>
      <c r="BA24" s="236"/>
      <c r="BC24" s="234">
        <f t="shared" ca="1" si="24"/>
        <v>18</v>
      </c>
      <c r="BD24" s="288">
        <f t="shared" ca="1" si="7"/>
        <v>32</v>
      </c>
      <c r="BF24" s="240" t="str">
        <f t="shared" ca="1" si="8"/>
        <v>Eversource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ES</v>
      </c>
    </row>
    <row r="25" spans="1:61" ht="14">
      <c r="A25" s="303" t="s">
        <v>21</v>
      </c>
      <c r="B25" s="304" t="s">
        <v>16</v>
      </c>
      <c r="C25" s="304">
        <v>19</v>
      </c>
      <c r="D25" s="304" t="s">
        <v>315</v>
      </c>
      <c r="E25" s="305" t="str">
        <f t="shared" ca="1" si="0"/>
        <v>MR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25</v>
      </c>
      <c r="AW25" s="234">
        <f>COUNTIF( AV$7:AV25, AV25 )</f>
        <v>5</v>
      </c>
      <c r="AX25" s="287">
        <f t="shared" si="22"/>
        <v>25.5</v>
      </c>
      <c r="AY25" s="234">
        <f t="shared" si="23"/>
        <v>29</v>
      </c>
      <c r="AZ25" s="236"/>
      <c r="BA25" s="236"/>
      <c r="BC25" s="234">
        <f t="shared" ca="1" si="24"/>
        <v>19</v>
      </c>
      <c r="BD25" s="288">
        <f t="shared" ca="1" si="7"/>
        <v>36</v>
      </c>
      <c r="BF25" s="240" t="str">
        <f t="shared" ca="1" si="8"/>
        <v>OGE Energy Corp.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OGE</v>
      </c>
    </row>
    <row r="26" spans="1:61" ht="14">
      <c r="A26" s="303" t="s">
        <v>23</v>
      </c>
      <c r="B26" s="304" t="s">
        <v>16</v>
      </c>
      <c r="C26" s="304">
        <v>19</v>
      </c>
      <c r="D26" s="304" t="s">
        <v>322</v>
      </c>
      <c r="E26" s="305" t="str">
        <f t="shared" ca="1" si="0"/>
        <v>MR</v>
      </c>
      <c r="F26" s="306"/>
      <c r="G26" s="307">
        <f t="shared" ca="1" si="1"/>
        <v>43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25</v>
      </c>
      <c r="AW26" s="234">
        <f>COUNTIF( AV$7:AV26, AV26 )</f>
        <v>6</v>
      </c>
      <c r="AX26" s="287">
        <f t="shared" si="22"/>
        <v>25.6</v>
      </c>
      <c r="AY26" s="234">
        <f t="shared" si="23"/>
        <v>30</v>
      </c>
      <c r="AZ26" s="236"/>
      <c r="BA26" s="236"/>
      <c r="BC26" s="234">
        <f t="shared" ca="1" si="24"/>
        <v>20</v>
      </c>
      <c r="BD26" s="288">
        <f t="shared" ca="1" si="7"/>
        <v>38</v>
      </c>
      <c r="BF26" s="240" t="str">
        <f t="shared" ca="1" si="8"/>
        <v>Pepco Holdings,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POM</v>
      </c>
    </row>
    <row r="27" spans="1:61" ht="14">
      <c r="A27" s="303" t="s">
        <v>256</v>
      </c>
      <c r="B27" s="304" t="s">
        <v>16</v>
      </c>
      <c r="C27" s="304">
        <v>19</v>
      </c>
      <c r="D27" s="304" t="s">
        <v>319</v>
      </c>
      <c r="E27" s="305" t="str">
        <f t="shared" ca="1" si="0"/>
        <v>R</v>
      </c>
      <c r="F27" s="306"/>
      <c r="G27" s="307">
        <f t="shared" ca="1" si="1"/>
        <v>49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41</v>
      </c>
      <c r="AW27" s="234">
        <f>COUNTIF( AV$7:AV27, AV27 )</f>
        <v>7</v>
      </c>
      <c r="AX27" s="287">
        <f t="shared" si="22"/>
        <v>41.7</v>
      </c>
      <c r="AY27" s="234">
        <f t="shared" si="23"/>
        <v>47</v>
      </c>
      <c r="AZ27" s="236"/>
      <c r="BA27" s="236"/>
      <c r="BC27" s="234">
        <f t="shared" ca="1" si="24"/>
        <v>21</v>
      </c>
      <c r="BD27" s="288">
        <f t="shared" ca="1" si="7"/>
        <v>44</v>
      </c>
      <c r="BF27" s="240" t="str">
        <f t="shared" ca="1" si="8"/>
        <v>Progress Energy,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PGN</v>
      </c>
    </row>
    <row r="28" spans="1:61" ht="14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51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25</v>
      </c>
      <c r="AW28" s="234">
        <f>COUNTIF( AV$7:AV28, AV28 )</f>
        <v>7</v>
      </c>
      <c r="AX28" s="287">
        <f t="shared" si="22"/>
        <v>25.7</v>
      </c>
      <c r="AY28" s="234">
        <f t="shared" si="23"/>
        <v>31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SCANA Corporation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SCG</v>
      </c>
    </row>
    <row r="29" spans="1:61" ht="14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52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41</v>
      </c>
      <c r="AW29" s="234">
        <f>COUNTIF( AV$7:AV29, AV29 )</f>
        <v>8</v>
      </c>
      <c r="AX29" s="287">
        <f t="shared" si="22"/>
        <v>41.8</v>
      </c>
      <c r="AY29" s="234">
        <f t="shared" si="23"/>
        <v>48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Sempra Energy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SRE</v>
      </c>
    </row>
    <row r="30" spans="1:61" ht="14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54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5"/>
        <v/>
      </c>
      <c r="AQ30" s="286" t="s">
        <v>451</v>
      </c>
      <c r="AR30" s="286" t="s">
        <v>10</v>
      </c>
      <c r="AS30" s="286">
        <v>20</v>
      </c>
      <c r="AT30" s="286" t="s">
        <v>443</v>
      </c>
      <c r="AV30" s="234">
        <f t="shared" si="21"/>
        <v>3</v>
      </c>
      <c r="AW30" s="234">
        <f>COUNTIF( AV$7:AV30, AV30 )</f>
        <v>4</v>
      </c>
      <c r="AX30" s="287">
        <f t="shared" si="22"/>
        <v>3.4</v>
      </c>
      <c r="AY30" s="234">
        <f t="shared" si="23"/>
        <v>6</v>
      </c>
      <c r="AZ30" s="236"/>
      <c r="BA30" s="236"/>
      <c r="BC30" s="234">
        <f t="shared" ca="1" si="24"/>
        <v>24</v>
      </c>
      <c r="BD30" s="288">
        <f t="shared" ca="1" si="7"/>
        <v>50</v>
      </c>
      <c r="BF30" s="240" t="str">
        <f t="shared" ca="1" si="8"/>
        <v>TECO Energy, Inc.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TE</v>
      </c>
    </row>
    <row r="31" spans="1:61" ht="14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25</v>
      </c>
      <c r="AW31" s="234">
        <f>COUNTIF( AV$7:AV31, AV31 )</f>
        <v>8</v>
      </c>
      <c r="AX31" s="287">
        <f t="shared" si="22"/>
        <v>25.8</v>
      </c>
      <c r="AY31" s="234">
        <f t="shared" si="23"/>
        <v>32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4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3</v>
      </c>
      <c r="AW32" s="234">
        <f>COUNTIF( AV$7:AV32, AV32 )</f>
        <v>5</v>
      </c>
      <c r="AX32" s="287">
        <f t="shared" si="22"/>
        <v>3.5</v>
      </c>
      <c r="AY32" s="234">
        <f t="shared" si="23"/>
        <v>7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4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41</v>
      </c>
      <c r="AW33" s="234">
        <f>COUNTIF( AV$7:AV33, AV33 )</f>
        <v>9</v>
      </c>
      <c r="AX33" s="287">
        <f t="shared" si="22"/>
        <v>41.9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4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12</v>
      </c>
      <c r="AW34" s="234">
        <f>COUNTIF( AV$7:AV34, AV34 )</f>
        <v>5</v>
      </c>
      <c r="AX34" s="287">
        <f t="shared" si="22"/>
        <v>12.5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EE</v>
      </c>
    </row>
    <row r="35" spans="1:61" ht="14">
      <c r="A35" s="303" t="s">
        <v>36</v>
      </c>
      <c r="B35" s="304" t="s">
        <v>28</v>
      </c>
      <c r="C35" s="304">
        <v>18</v>
      </c>
      <c r="D35" s="304" t="s">
        <v>296</v>
      </c>
      <c r="E35" s="305" t="str">
        <f t="shared" ca="1" si="0"/>
        <v>R</v>
      </c>
      <c r="F35" s="306"/>
      <c r="G35" s="307">
        <f t="shared" ca="1" si="1"/>
        <v>26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12</v>
      </c>
      <c r="AW35" s="234">
        <f>COUNTIF( AV$7:AV35, AV35 )</f>
        <v>6</v>
      </c>
      <c r="AX35" s="287">
        <f t="shared" si="22"/>
        <v>12.6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19</v>
      </c>
      <c r="BF35" s="240" t="str">
        <f t="shared" ca="1" si="8"/>
        <v>Entergy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ETR</v>
      </c>
    </row>
    <row r="36" spans="1:61" ht="14">
      <c r="A36" s="303" t="s">
        <v>11</v>
      </c>
      <c r="B36" s="304" t="s">
        <v>28</v>
      </c>
      <c r="C36" s="304">
        <v>18</v>
      </c>
      <c r="D36" s="304" t="s">
        <v>297</v>
      </c>
      <c r="E36" s="305" t="str">
        <f t="shared" ca="1" si="0"/>
        <v>MR</v>
      </c>
      <c r="F36" s="306"/>
      <c r="G36" s="307">
        <f t="shared" ca="1" si="1"/>
        <v>27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3</v>
      </c>
      <c r="AW36" s="234">
        <f>COUNTIF( AV$7:AV36, AV36 )</f>
        <v>6</v>
      </c>
      <c r="AX36" s="287">
        <f t="shared" si="22"/>
        <v>3.6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7"/>
        <v>20</v>
      </c>
      <c r="BF36" s="240" t="str">
        <f t="shared" ca="1" si="8"/>
        <v>Exelon Corporation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EXC</v>
      </c>
    </row>
    <row r="37" spans="1:61" ht="14">
      <c r="A37" s="303" t="s">
        <v>260</v>
      </c>
      <c r="B37" s="304" t="s">
        <v>28</v>
      </c>
      <c r="C37" s="304">
        <v>18</v>
      </c>
      <c r="D37" s="304" t="s">
        <v>300</v>
      </c>
      <c r="E37" s="305" t="str">
        <f t="shared" ca="1" si="0"/>
        <v>R</v>
      </c>
      <c r="F37" s="306"/>
      <c r="G37" s="307">
        <f t="shared" ca="1" si="1"/>
        <v>29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41</v>
      </c>
      <c r="AW37" s="234">
        <f>COUNTIF( AV$7:AV37, AV37 )</f>
        <v>10</v>
      </c>
      <c r="AX37" s="287">
        <f t="shared" si="22"/>
        <v>42</v>
      </c>
      <c r="AY37" s="234">
        <f t="shared" si="23"/>
        <v>50</v>
      </c>
      <c r="AZ37" s="236"/>
      <c r="BA37" s="236"/>
      <c r="BC37" s="234">
        <f t="shared" ca="1" si="24"/>
        <v>31</v>
      </c>
      <c r="BD37" s="288">
        <f t="shared" ca="1" si="7"/>
        <v>22</v>
      </c>
      <c r="BF37" s="240" t="str">
        <f t="shared" ca="1" si="8"/>
        <v>Great Plains Energy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GXP</v>
      </c>
    </row>
    <row r="38" spans="1:61" ht="14">
      <c r="A38" s="303" t="s">
        <v>20</v>
      </c>
      <c r="B38" s="304" t="s">
        <v>28</v>
      </c>
      <c r="C38" s="304">
        <v>18</v>
      </c>
      <c r="D38" s="304" t="s">
        <v>302</v>
      </c>
      <c r="E38" s="305" t="str">
        <f t="shared" ca="1" si="0"/>
        <v>R</v>
      </c>
      <c r="F38" s="306"/>
      <c r="G38" s="307">
        <f t="shared" ca="1" si="1"/>
        <v>31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16</v>
      </c>
      <c r="AS38" s="286">
        <v>19</v>
      </c>
      <c r="AT38" s="286" t="s">
        <v>511</v>
      </c>
      <c r="AV38" s="234">
        <f t="shared" si="21"/>
        <v>12</v>
      </c>
      <c r="AW38" s="234">
        <f>COUNTIF( AV$7:AV38, AV38 )</f>
        <v>7</v>
      </c>
      <c r="AX38" s="287">
        <f t="shared" si="22"/>
        <v>12.7</v>
      </c>
      <c r="AY38" s="234">
        <f t="shared" si="23"/>
        <v>18</v>
      </c>
      <c r="AZ38" s="236"/>
      <c r="BA38" s="236"/>
      <c r="BC38" s="234">
        <f t="shared" ca="1" si="24"/>
        <v>32</v>
      </c>
      <c r="BD38" s="288">
        <f t="shared" ca="1" si="7"/>
        <v>25</v>
      </c>
      <c r="BF38" s="240" t="str">
        <f t="shared" ca="1" si="8"/>
        <v>IDACORP, Inc.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IDA</v>
      </c>
    </row>
    <row r="39" spans="1:61" ht="14">
      <c r="A39" s="303" t="s">
        <v>66</v>
      </c>
      <c r="B39" s="304" t="s">
        <v>28</v>
      </c>
      <c r="C39" s="304">
        <v>18</v>
      </c>
      <c r="D39" s="304" t="s">
        <v>314</v>
      </c>
      <c r="E39" s="305" t="str">
        <f t="shared" ca="1" si="0"/>
        <v>R</v>
      </c>
      <c r="F39" s="306"/>
      <c r="G39" s="307">
        <f t="shared" ca="1" si="1"/>
        <v>38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25</v>
      </c>
      <c r="AW39" s="234">
        <f>COUNTIF( AV$7:AV39, AV39 )</f>
        <v>9</v>
      </c>
      <c r="AX39" s="287">
        <f t="shared" si="22"/>
        <v>25.9</v>
      </c>
      <c r="AY39" s="234">
        <f t="shared" si="23"/>
        <v>33</v>
      </c>
      <c r="AZ39" s="236"/>
      <c r="BA39" s="236"/>
      <c r="BC39" s="234">
        <f t="shared" ca="1" si="24"/>
        <v>33</v>
      </c>
      <c r="BD39" s="288">
        <f t="shared" ca="1" si="7"/>
        <v>33</v>
      </c>
      <c r="BF39" s="240" t="str">
        <f t="shared" ref="BF39:BF63" ca="1" si="25">OFFSET( AQ$6, $BD39, 0 )</f>
        <v>NorthWestern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NWE</v>
      </c>
    </row>
    <row r="40" spans="1:61" ht="14">
      <c r="A40" s="303" t="s">
        <v>53</v>
      </c>
      <c r="B40" s="304" t="s">
        <v>28</v>
      </c>
      <c r="C40" s="304">
        <v>18</v>
      </c>
      <c r="D40" s="304" t="s">
        <v>317</v>
      </c>
      <c r="E40" s="305" t="str">
        <f t="shared" ca="1" si="0"/>
        <v>R</v>
      </c>
      <c r="F40" s="306"/>
      <c r="G40" s="307">
        <f t="shared" ca="1" si="1"/>
        <v>44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6</v>
      </c>
      <c r="AR40" s="286" t="s">
        <v>110</v>
      </c>
      <c r="AS40" s="286">
        <v>22</v>
      </c>
      <c r="AT40" s="286" t="s">
        <v>312</v>
      </c>
      <c r="AV40" s="234">
        <f t="shared" si="21"/>
        <v>1</v>
      </c>
      <c r="AW40" s="234">
        <f>COUNTIF( AV$7:AV40, AV40 )</f>
        <v>1</v>
      </c>
      <c r="AX40" s="287">
        <f t="shared" si="22"/>
        <v>1.1000000000000001</v>
      </c>
      <c r="AY40" s="234">
        <f t="shared" si="23"/>
        <v>1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PG&amp;E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PCG</v>
      </c>
    </row>
    <row r="41" spans="1:61" ht="14">
      <c r="A41" s="303" t="s">
        <v>41</v>
      </c>
      <c r="B41" s="304" t="s">
        <v>28</v>
      </c>
      <c r="C41" s="304">
        <v>18</v>
      </c>
      <c r="D41" s="304" t="s">
        <v>321</v>
      </c>
      <c r="E41" s="305" t="str">
        <f t="shared" ca="1" si="0"/>
        <v>R</v>
      </c>
      <c r="F41" s="306"/>
      <c r="G41" s="307">
        <f t="shared" ca="1" si="1"/>
        <v>45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265</v>
      </c>
      <c r="AR41" s="286" t="s">
        <v>56</v>
      </c>
      <c r="AS41" s="286">
        <v>16</v>
      </c>
      <c r="AT41" s="286" t="s">
        <v>313</v>
      </c>
      <c r="AV41" s="234">
        <f t="shared" si="21"/>
        <v>52</v>
      </c>
      <c r="AW41" s="234">
        <f>COUNTIF( AV$7:AV41, AV41 )</f>
        <v>1</v>
      </c>
      <c r="AX41" s="287">
        <f t="shared" si="22"/>
        <v>52.1</v>
      </c>
      <c r="AY41" s="234">
        <f t="shared" si="23"/>
        <v>52</v>
      </c>
      <c r="AZ41" s="236"/>
      <c r="BA41" s="236"/>
      <c r="BC41" s="234">
        <f t="shared" ca="1" si="24"/>
        <v>35</v>
      </c>
      <c r="BD41" s="288">
        <f t="shared" ca="1" si="7"/>
        <v>40</v>
      </c>
      <c r="BF41" s="240" t="str">
        <f t="shared" ca="1" si="25"/>
        <v>Pinnacle West Capital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PNW</v>
      </c>
    </row>
    <row r="42" spans="1:61" ht="14">
      <c r="A42" s="303" t="s">
        <v>24</v>
      </c>
      <c r="B42" s="304" t="s">
        <v>28</v>
      </c>
      <c r="C42" s="304">
        <v>18</v>
      </c>
      <c r="D42" s="304" t="s">
        <v>323</v>
      </c>
      <c r="E42" s="305" t="str">
        <f t="shared" ca="1" si="0"/>
        <v>R</v>
      </c>
      <c r="F42" s="306"/>
      <c r="G42" s="307">
        <f t="shared" ca="1" si="1"/>
        <v>47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21</v>
      </c>
      <c r="AR42" s="286" t="s">
        <v>16</v>
      </c>
      <c r="AS42" s="286">
        <v>19</v>
      </c>
      <c r="AT42" s="286" t="s">
        <v>315</v>
      </c>
      <c r="AV42" s="234">
        <f t="shared" si="21"/>
        <v>12</v>
      </c>
      <c r="AW42" s="234">
        <f>COUNTIF( AV$7:AV42, AV42 )</f>
        <v>8</v>
      </c>
      <c r="AX42" s="287">
        <f t="shared" si="22"/>
        <v>12.8</v>
      </c>
      <c r="AY42" s="234">
        <f t="shared" si="23"/>
        <v>19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Portland General Electric Company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POR</v>
      </c>
    </row>
    <row r="43" spans="1:61" ht="14">
      <c r="A43" s="303" t="s">
        <v>43</v>
      </c>
      <c r="B43" s="304" t="s">
        <v>28</v>
      </c>
      <c r="C43" s="304">
        <v>18</v>
      </c>
      <c r="D43" s="304" t="s">
        <v>324</v>
      </c>
      <c r="E43" s="305" t="str">
        <f t="shared" ca="1" si="0"/>
        <v>MR</v>
      </c>
      <c r="F43" s="306"/>
      <c r="G43" s="307">
        <f t="shared" ca="1" si="1"/>
        <v>48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22</v>
      </c>
      <c r="AR43" s="286" t="s">
        <v>49</v>
      </c>
      <c r="AS43" s="286">
        <v>17</v>
      </c>
      <c r="AT43" s="286" t="s">
        <v>316</v>
      </c>
      <c r="AV43" s="234">
        <f t="shared" si="21"/>
        <v>41</v>
      </c>
      <c r="AW43" s="234">
        <f>COUNTIF( AV$7:AV43, AV43 )</f>
        <v>11</v>
      </c>
      <c r="AX43" s="287">
        <f t="shared" si="22"/>
        <v>42.1</v>
      </c>
      <c r="AY43" s="234">
        <f t="shared" si="23"/>
        <v>51</v>
      </c>
      <c r="AZ43" s="236"/>
      <c r="BA43" s="236"/>
      <c r="BC43" s="234">
        <f t="shared" ca="1" si="24"/>
        <v>37</v>
      </c>
      <c r="BD43" s="288">
        <f t="shared" ca="1" si="7"/>
        <v>43</v>
      </c>
      <c r="BF43" s="240" t="str">
        <f t="shared" ca="1" si="25"/>
        <v>PPL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PPL</v>
      </c>
    </row>
    <row r="44" spans="1:61" ht="14">
      <c r="A44" s="303" t="s">
        <v>45</v>
      </c>
      <c r="B44" s="304" t="s">
        <v>28</v>
      </c>
      <c r="C44" s="304">
        <v>18</v>
      </c>
      <c r="D44" s="304" t="s">
        <v>318</v>
      </c>
      <c r="E44" s="305" t="str">
        <f t="shared" ca="1" si="0"/>
        <v>MR</v>
      </c>
      <c r="F44" s="306"/>
      <c r="G44" s="307">
        <f t="shared" ca="1" si="1"/>
        <v>50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23</v>
      </c>
      <c r="AR44" s="286" t="s">
        <v>16</v>
      </c>
      <c r="AS44" s="286">
        <v>19</v>
      </c>
      <c r="AT44" s="286" t="s">
        <v>322</v>
      </c>
      <c r="AV44" s="234">
        <f t="shared" si="21"/>
        <v>12</v>
      </c>
      <c r="AW44" s="234">
        <f>COUNTIF( AV$7:AV44, AV44 )</f>
        <v>9</v>
      </c>
      <c r="AX44" s="287">
        <f t="shared" si="22"/>
        <v>12.9</v>
      </c>
      <c r="AY44" s="234">
        <f t="shared" si="23"/>
        <v>20</v>
      </c>
      <c r="AZ44" s="236"/>
      <c r="BA44" s="236"/>
      <c r="BC44" s="234">
        <f t="shared" ca="1" si="24"/>
        <v>38</v>
      </c>
      <c r="BD44" s="288">
        <f t="shared" ca="1" si="7"/>
        <v>45</v>
      </c>
      <c r="BF44" s="240" t="str">
        <f t="shared" ca="1" si="25"/>
        <v>Public Service Enterprise Group Incorporated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PEG</v>
      </c>
    </row>
    <row r="45" spans="1:61" ht="14">
      <c r="A45" s="303" t="s">
        <v>75</v>
      </c>
      <c r="B45" s="304" t="s">
        <v>28</v>
      </c>
      <c r="C45" s="304">
        <v>18</v>
      </c>
      <c r="D45" s="304" t="s">
        <v>331</v>
      </c>
      <c r="E45" s="305" t="str">
        <f t="shared" ca="1" si="0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53</v>
      </c>
      <c r="AR45" s="286" t="s">
        <v>28</v>
      </c>
      <c r="AS45" s="286">
        <v>18</v>
      </c>
      <c r="AT45" s="286" t="s">
        <v>317</v>
      </c>
      <c r="AV45" s="234">
        <f t="shared" si="21"/>
        <v>25</v>
      </c>
      <c r="AW45" s="234">
        <f>COUNTIF( AV$7:AV45, AV45 )</f>
        <v>10</v>
      </c>
      <c r="AX45" s="287">
        <f t="shared" si="22"/>
        <v>26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51</v>
      </c>
      <c r="BF45" s="240" t="str">
        <f t="shared" ca="1" si="25"/>
        <v>UIL Holdings Corporation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UIL</v>
      </c>
    </row>
    <row r="46" spans="1:61" ht="14">
      <c r="A46" s="303" t="s">
        <v>59</v>
      </c>
      <c r="B46" s="304" t="s">
        <v>28</v>
      </c>
      <c r="C46" s="304">
        <v>18</v>
      </c>
      <c r="D46" s="304" t="s">
        <v>336</v>
      </c>
      <c r="E46" s="305" t="str">
        <f t="shared" ca="1" si="0"/>
        <v>R</v>
      </c>
      <c r="F46" s="306"/>
      <c r="G46" s="307">
        <f t="shared" ca="1" si="1"/>
        <v>59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41</v>
      </c>
      <c r="AR46" s="286" t="s">
        <v>28</v>
      </c>
      <c r="AS46" s="286">
        <v>18</v>
      </c>
      <c r="AT46" s="286" t="s">
        <v>321</v>
      </c>
      <c r="AV46" s="234">
        <f t="shared" si="21"/>
        <v>25</v>
      </c>
      <c r="AW46" s="234">
        <f>COUNTIF( AV$7:AV46, AV46 )</f>
        <v>11</v>
      </c>
      <c r="AX46" s="287">
        <f t="shared" si="22"/>
        <v>26.1</v>
      </c>
      <c r="AY46" s="234">
        <f t="shared" si="23"/>
        <v>35</v>
      </c>
      <c r="AZ46" s="236"/>
      <c r="BA46" s="236"/>
      <c r="BC46" s="234">
        <f t="shared" ca="1" si="24"/>
        <v>40</v>
      </c>
      <c r="BD46" s="288">
        <f t="shared" ca="1" si="7"/>
        <v>53</v>
      </c>
      <c r="BF46" s="240" t="str">
        <f t="shared" ca="1" si="25"/>
        <v>Westar Energy, Inc.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WR</v>
      </c>
    </row>
    <row r="47" spans="1:61" ht="14">
      <c r="A47" s="303" t="s">
        <v>9</v>
      </c>
      <c r="B47" s="304" t="s">
        <v>49</v>
      </c>
      <c r="C47" s="304">
        <v>17</v>
      </c>
      <c r="D47" s="304" t="s">
        <v>273</v>
      </c>
      <c r="E47" s="305" t="str">
        <f t="shared" ca="1" si="0"/>
        <v>R</v>
      </c>
      <c r="F47" s="306"/>
      <c r="G47" s="307">
        <f t="shared" ca="1" si="1"/>
        <v>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42</v>
      </c>
      <c r="AR47" s="286" t="s">
        <v>61</v>
      </c>
      <c r="AS47" s="286">
        <v>15</v>
      </c>
      <c r="AT47" s="286" t="s">
        <v>320</v>
      </c>
      <c r="AV47" s="234">
        <f t="shared" si="21"/>
        <v>54</v>
      </c>
      <c r="AW47" s="234">
        <f>COUNTIF( AV$7:AV47, AV47 )</f>
        <v>1</v>
      </c>
      <c r="AX47" s="287">
        <f t="shared" si="22"/>
        <v>54.1</v>
      </c>
      <c r="AY47" s="234">
        <f t="shared" si="23"/>
        <v>54</v>
      </c>
      <c r="AZ47" s="236"/>
      <c r="BA47" s="236"/>
      <c r="BC47" s="234">
        <f t="shared" ca="1" si="24"/>
        <v>41</v>
      </c>
      <c r="BD47" s="288">
        <f t="shared" ca="1" si="7"/>
        <v>3</v>
      </c>
      <c r="BF47" s="240" t="str">
        <f t="shared" ca="1" si="25"/>
        <v>Ameren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AEE</v>
      </c>
    </row>
    <row r="48" spans="1:61" ht="14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24</v>
      </c>
      <c r="AR48" s="286" t="s">
        <v>28</v>
      </c>
      <c r="AS48" s="286">
        <v>18</v>
      </c>
      <c r="AT48" s="286" t="s">
        <v>323</v>
      </c>
      <c r="AV48" s="234">
        <f t="shared" si="21"/>
        <v>25</v>
      </c>
      <c r="AW48" s="234">
        <f>COUNTIF( AV$7:AV48, AV48 )</f>
        <v>12</v>
      </c>
      <c r="AX48" s="287">
        <f t="shared" si="22"/>
        <v>26.2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BKH</v>
      </c>
    </row>
    <row r="49" spans="1:61" ht="14">
      <c r="A49" s="303" t="s">
        <v>60</v>
      </c>
      <c r="B49" s="304" t="s">
        <v>49</v>
      </c>
      <c r="C49" s="304">
        <v>17</v>
      </c>
      <c r="D49" s="304" t="s">
        <v>283</v>
      </c>
      <c r="E49" s="305" t="str">
        <f t="shared" ca="1" si="0"/>
        <v>R</v>
      </c>
      <c r="F49" s="306"/>
      <c r="G49" s="307">
        <f t="shared" ca="1" si="1"/>
        <v>17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43</v>
      </c>
      <c r="AR49" s="286" t="s">
        <v>28</v>
      </c>
      <c r="AS49" s="286">
        <v>18</v>
      </c>
      <c r="AT49" s="286" t="s">
        <v>324</v>
      </c>
      <c r="AV49" s="234">
        <f t="shared" si="21"/>
        <v>25</v>
      </c>
      <c r="AW49" s="234">
        <f>COUNTIF( AV$7:AV49, AV49 )</f>
        <v>13</v>
      </c>
      <c r="AX49" s="287">
        <f t="shared" si="22"/>
        <v>26.3</v>
      </c>
      <c r="AY49" s="234">
        <f t="shared" si="23"/>
        <v>37</v>
      </c>
      <c r="AZ49" s="236"/>
      <c r="BA49" s="236"/>
      <c r="BC49" s="234">
        <f t="shared" ca="1" si="24"/>
        <v>43</v>
      </c>
      <c r="BD49" s="288">
        <f t="shared" ca="1" si="7"/>
        <v>9</v>
      </c>
      <c r="BF49" s="240" t="str">
        <f t="shared" ca="1" si="25"/>
        <v>CMS Energy Corporation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CMS</v>
      </c>
    </row>
    <row r="50" spans="1:61" ht="14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0"/>
        <v>R</v>
      </c>
      <c r="F50" s="306"/>
      <c r="G50" s="307">
        <f t="shared" ca="1" si="1"/>
        <v>63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256</v>
      </c>
      <c r="AR50" s="286" t="s">
        <v>16</v>
      </c>
      <c r="AS50" s="286">
        <v>19</v>
      </c>
      <c r="AT50" s="286" t="s">
        <v>319</v>
      </c>
      <c r="AV50" s="234">
        <f t="shared" si="21"/>
        <v>12</v>
      </c>
      <c r="AW50" s="234">
        <f>COUNTIF( AV$7:AV50, AV50 )</f>
        <v>10</v>
      </c>
      <c r="AX50" s="287">
        <f t="shared" si="22"/>
        <v>13</v>
      </c>
      <c r="AY50" s="234">
        <f t="shared" si="23"/>
        <v>21</v>
      </c>
      <c r="AZ50" s="236"/>
      <c r="BA50" s="236"/>
      <c r="BC50" s="234">
        <f t="shared" ca="1" si="24"/>
        <v>44</v>
      </c>
      <c r="BD50" s="288">
        <f t="shared" ca="1" si="7"/>
        <v>12</v>
      </c>
      <c r="BF50" s="240" t="str">
        <f t="shared" ca="1" si="25"/>
        <v>DPL Inc.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**DPL</v>
      </c>
    </row>
    <row r="51" spans="1:61" ht="14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MR</v>
      </c>
      <c r="F51" s="306"/>
      <c r="G51" s="307">
        <f t="shared" ca="1" si="1"/>
        <v>23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45</v>
      </c>
      <c r="AR51" s="286" t="s">
        <v>28</v>
      </c>
      <c r="AS51" s="286">
        <v>18</v>
      </c>
      <c r="AT51" s="289" t="s">
        <v>318</v>
      </c>
      <c r="AV51" s="234">
        <f t="shared" si="21"/>
        <v>25</v>
      </c>
      <c r="AW51" s="234">
        <f>COUNTIF( AV$7:AV51, AV51 )</f>
        <v>14</v>
      </c>
      <c r="AX51" s="287">
        <f t="shared" si="22"/>
        <v>26.4</v>
      </c>
      <c r="AY51" s="234">
        <f t="shared" si="23"/>
        <v>38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4">
      <c r="A52" s="303" t="s">
        <v>35</v>
      </c>
      <c r="B52" s="304" t="s">
        <v>49</v>
      </c>
      <c r="C52" s="304">
        <v>17</v>
      </c>
      <c r="D52" s="304" t="s">
        <v>292</v>
      </c>
      <c r="E52" s="305" t="str">
        <f t="shared" ca="1" si="0"/>
        <v>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54</v>
      </c>
      <c r="AR52" s="286" t="s">
        <v>56</v>
      </c>
      <c r="AS52" s="286">
        <v>16</v>
      </c>
      <c r="AT52" s="286" t="s">
        <v>448</v>
      </c>
      <c r="AV52" s="234">
        <f t="shared" si="21"/>
        <v>52</v>
      </c>
      <c r="AW52" s="234">
        <f>COUNTIF( AV$7:AV52, AV52 )</f>
        <v>2</v>
      </c>
      <c r="AX52" s="287">
        <f t="shared" si="22"/>
        <v>52.2</v>
      </c>
      <c r="AY52" s="234">
        <f t="shared" si="23"/>
        <v>53</v>
      </c>
      <c r="AZ52" s="236"/>
      <c r="BA52" s="236"/>
      <c r="BC52" s="234">
        <f t="shared" ca="1" si="24"/>
        <v>46</v>
      </c>
      <c r="BD52" s="288">
        <f t="shared" ca="1" si="7"/>
        <v>17</v>
      </c>
      <c r="BF52" s="240" t="str">
        <f t="shared" ca="1" si="25"/>
        <v>Empire District Electric Company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EDE</v>
      </c>
    </row>
    <row r="53" spans="1:61" ht="14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0"/>
        <v>MR</v>
      </c>
      <c r="F53" s="306"/>
      <c r="G53" s="307">
        <f t="shared" ca="1" si="1"/>
        <v>28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13</v>
      </c>
      <c r="AR53" s="286" t="s">
        <v>16</v>
      </c>
      <c r="AS53" s="286">
        <v>19</v>
      </c>
      <c r="AT53" s="286" t="s">
        <v>326</v>
      </c>
      <c r="AV53" s="234">
        <f t="shared" si="21"/>
        <v>12</v>
      </c>
      <c r="AW53" s="234">
        <f>COUNTIF( AV$7:AV53, AV53 )</f>
        <v>11</v>
      </c>
      <c r="AX53" s="287">
        <f t="shared" si="22"/>
        <v>13.1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21</v>
      </c>
      <c r="BF53" s="240" t="str">
        <f t="shared" ca="1" si="25"/>
        <v>FirstEnergy Corp.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FE</v>
      </c>
    </row>
    <row r="54" spans="1:61" ht="14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0"/>
        <v>D</v>
      </c>
      <c r="F54" s="306"/>
      <c r="G54" s="307">
        <f t="shared" ca="1" si="1"/>
        <v>30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25</v>
      </c>
      <c r="AR54" s="286" t="s">
        <v>16</v>
      </c>
      <c r="AS54" s="286">
        <v>19</v>
      </c>
      <c r="AT54" s="286" t="s">
        <v>328</v>
      </c>
      <c r="AV54" s="234">
        <f t="shared" si="21"/>
        <v>12</v>
      </c>
      <c r="AW54" s="234">
        <f>COUNTIF( AV$7:AV54, AV54 )</f>
        <v>12</v>
      </c>
      <c r="AX54" s="287">
        <f t="shared" si="22"/>
        <v>13.2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23</v>
      </c>
      <c r="BF54" s="240" t="str">
        <f t="shared" ca="1" si="25"/>
        <v>Hawaiian Electric Industries,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HE</v>
      </c>
    </row>
    <row r="55" spans="1:61" ht="14">
      <c r="A55" s="303" t="s">
        <v>58</v>
      </c>
      <c r="B55" s="304" t="s">
        <v>49</v>
      </c>
      <c r="C55" s="304">
        <v>17</v>
      </c>
      <c r="D55" s="304" t="s">
        <v>445</v>
      </c>
      <c r="E55" s="305" t="str">
        <f t="shared" ca="1" si="0"/>
        <v>R</v>
      </c>
      <c r="F55" s="306"/>
      <c r="G55" s="307">
        <f t="shared" ca="1" si="1"/>
        <v>66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</v>
      </c>
      <c r="AR55" s="286" t="s">
        <v>2</v>
      </c>
      <c r="AS55" s="286">
        <v>21</v>
      </c>
      <c r="AT55" s="289" t="s">
        <v>327</v>
      </c>
      <c r="AV55" s="234">
        <f t="shared" si="21"/>
        <v>2</v>
      </c>
      <c r="AW55" s="234">
        <f>COUNTIF( AV$7:AV55, AV55 )</f>
        <v>1</v>
      </c>
      <c r="AX55" s="287">
        <f t="shared" si="22"/>
        <v>2.1</v>
      </c>
      <c r="AY55" s="234">
        <f t="shared" si="23"/>
        <v>2</v>
      </c>
      <c r="AZ55" s="236"/>
      <c r="BA55" s="236"/>
      <c r="BC55" s="234">
        <f t="shared" ca="1" si="24"/>
        <v>49</v>
      </c>
      <c r="BD55" s="288">
        <f t="shared" ca="1" si="7"/>
        <v>27</v>
      </c>
      <c r="BF55" s="240" t="str">
        <f t="shared" ca="1" si="25"/>
        <v>IPALCO Enterprises,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**IPALCO</v>
      </c>
    </row>
    <row r="56" spans="1:61" ht="14">
      <c r="A56" s="303" t="s">
        <v>40</v>
      </c>
      <c r="B56" s="304" t="s">
        <v>49</v>
      </c>
      <c r="C56" s="304">
        <v>17</v>
      </c>
      <c r="D56" s="304" t="s">
        <v>310</v>
      </c>
      <c r="E56" s="305" t="str">
        <f t="shared" ca="1" si="0"/>
        <v>MR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62</v>
      </c>
      <c r="AR56" s="286" t="s">
        <v>16</v>
      </c>
      <c r="AS56" s="286">
        <v>19</v>
      </c>
      <c r="AT56" s="286" t="s">
        <v>329</v>
      </c>
      <c r="AV56" s="234">
        <f t="shared" si="21"/>
        <v>12</v>
      </c>
      <c r="AW56" s="234">
        <f>COUNTIF( AV$7:AV56, AV56 )</f>
        <v>13</v>
      </c>
      <c r="AX56" s="287">
        <f t="shared" si="22"/>
        <v>13.3</v>
      </c>
      <c r="AY56" s="234">
        <f t="shared" si="23"/>
        <v>24</v>
      </c>
      <c r="AZ56" s="236"/>
      <c r="BA56" s="236"/>
      <c r="BC56" s="234">
        <f t="shared" ca="1" si="24"/>
        <v>50</v>
      </c>
      <c r="BD56" s="288">
        <f t="shared" ca="1" si="7"/>
        <v>31</v>
      </c>
      <c r="BF56" s="240" t="str">
        <f t="shared" ca="1" si="25"/>
        <v>NiSource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NI</v>
      </c>
    </row>
    <row r="57" spans="1:61" ht="14">
      <c r="A57" s="303" t="s">
        <v>22</v>
      </c>
      <c r="B57" s="304" t="s">
        <v>49</v>
      </c>
      <c r="C57" s="304">
        <v>17</v>
      </c>
      <c r="D57" s="304" t="s">
        <v>316</v>
      </c>
      <c r="E57" s="305" t="str">
        <f t="shared" ca="1" si="0"/>
        <v>MR</v>
      </c>
      <c r="F57" s="306"/>
      <c r="G57" s="307">
        <f t="shared" ca="1" si="1"/>
        <v>42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BBB-</v>
      </c>
      <c r="AL57" s="236">
        <f t="shared" ca="1" si="20"/>
        <v>17</v>
      </c>
      <c r="AM57" s="236" t="str">
        <f t="shared" ca="1" si="5"/>
        <v/>
      </c>
      <c r="AQ57" s="286" t="s">
        <v>75</v>
      </c>
      <c r="AR57" s="286" t="s">
        <v>28</v>
      </c>
      <c r="AS57" s="286">
        <v>18</v>
      </c>
      <c r="AT57" s="286" t="s">
        <v>331</v>
      </c>
      <c r="AV57" s="234">
        <f t="shared" si="21"/>
        <v>25</v>
      </c>
      <c r="AW57" s="234">
        <f>COUNTIF( AV$7:AV57, AV57 )</f>
        <v>15</v>
      </c>
      <c r="AX57" s="287">
        <f t="shared" si="22"/>
        <v>26.5</v>
      </c>
      <c r="AY57" s="234">
        <f t="shared" si="23"/>
        <v>39</v>
      </c>
      <c r="AZ57" s="236"/>
      <c r="BA57" s="236"/>
      <c r="BC57" s="234">
        <f t="shared" ca="1" si="24"/>
        <v>51</v>
      </c>
      <c r="BD57" s="288">
        <f t="shared" ca="1" si="7"/>
        <v>37</v>
      </c>
      <c r="BF57" s="240" t="str">
        <f t="shared" ca="1" si="25"/>
        <v>Otter Tail Corporation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OTTR</v>
      </c>
    </row>
    <row r="58" spans="1:61" ht="14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14</v>
      </c>
      <c r="AR58" s="286" t="s">
        <v>10</v>
      </c>
      <c r="AS58" s="286">
        <v>20</v>
      </c>
      <c r="AT58" s="286" t="s">
        <v>334</v>
      </c>
      <c r="AV58" s="234">
        <f t="shared" si="21"/>
        <v>3</v>
      </c>
      <c r="AW58" s="234">
        <f>COUNTIF( AV$7:AV58, AV58 )</f>
        <v>7</v>
      </c>
      <c r="AX58" s="287">
        <f t="shared" si="22"/>
        <v>3.7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35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4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59</v>
      </c>
      <c r="AR59" s="286" t="s">
        <v>28</v>
      </c>
      <c r="AS59" s="286">
        <v>18</v>
      </c>
      <c r="AT59" s="286" t="s">
        <v>336</v>
      </c>
      <c r="AV59" s="234">
        <f t="shared" si="21"/>
        <v>25</v>
      </c>
      <c r="AW59" s="234">
        <f>COUNTIF( AV$7:AV59, AV59 )</f>
        <v>16</v>
      </c>
      <c r="AX59" s="287">
        <f t="shared" si="22"/>
        <v>26.6</v>
      </c>
      <c r="AY59" s="234">
        <f t="shared" si="23"/>
        <v>40</v>
      </c>
      <c r="AZ59" s="236"/>
      <c r="BA59" s="236"/>
      <c r="BC59" s="234">
        <f t="shared" ca="1" si="24"/>
        <v>53</v>
      </c>
      <c r="BD59" s="288">
        <f t="shared" ca="1" si="7"/>
        <v>46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4">
      <c r="A60" s="247" t="s">
        <v>42</v>
      </c>
      <c r="B60" s="248" t="s">
        <v>61</v>
      </c>
      <c r="C60" s="248">
        <v>15</v>
      </c>
      <c r="D60" s="248" t="s">
        <v>320</v>
      </c>
      <c r="E60" s="305" t="str">
        <f t="shared" ca="1" si="0"/>
        <v>R</v>
      </c>
      <c r="F60" s="250"/>
      <c r="G60" s="251">
        <f t="shared" ca="1" si="1"/>
        <v>46</v>
      </c>
      <c r="H60" s="250"/>
      <c r="I60" s="250"/>
      <c r="AF60" s="236">
        <f t="shared" si="2"/>
        <v>0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BB</v>
      </c>
      <c r="AL60" s="236">
        <f t="shared" ca="1" si="20"/>
        <v>15</v>
      </c>
      <c r="AM60" s="236" t="str">
        <f t="shared" ca="1" si="5"/>
        <v/>
      </c>
      <c r="AQ60" s="286" t="s">
        <v>26</v>
      </c>
      <c r="AR60" s="286" t="s">
        <v>10</v>
      </c>
      <c r="AS60" s="286">
        <v>20</v>
      </c>
      <c r="AT60" s="286" t="s">
        <v>335</v>
      </c>
      <c r="AV60" s="234">
        <f t="shared" si="21"/>
        <v>3</v>
      </c>
      <c r="AW60" s="234">
        <f>COUNTIF( AV$7:AV60, AV60 )</f>
        <v>8</v>
      </c>
      <c r="AX60" s="287">
        <f t="shared" si="22"/>
        <v>3.8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41</v>
      </c>
      <c r="BF60" s="240" t="str">
        <f t="shared" ca="1" si="25"/>
        <v>PNM Resources, Inc.</v>
      </c>
      <c r="BG60" s="240" t="str">
        <f t="shared" ca="1" si="9"/>
        <v>BB</v>
      </c>
      <c r="BH60" s="240">
        <f t="shared" ca="1" si="9"/>
        <v>15</v>
      </c>
      <c r="BI60" s="240" t="str">
        <f t="shared" ca="1" si="9"/>
        <v>PNM</v>
      </c>
    </row>
    <row r="61" spans="1:61" ht="14">
      <c r="A61" s="247" t="s">
        <v>248</v>
      </c>
      <c r="B61" s="248" t="s">
        <v>125</v>
      </c>
      <c r="C61" s="248">
        <v>9</v>
      </c>
      <c r="D61" s="248" t="s">
        <v>444</v>
      </c>
      <c r="E61" s="305" t="str">
        <f t="shared" ca="1" si="0"/>
        <v>D</v>
      </c>
      <c r="F61" s="250"/>
      <c r="G61" s="251">
        <f t="shared" ca="1" si="1"/>
        <v>64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4"/>
        <v>62</v>
      </c>
      <c r="AK61" s="236" t="str">
        <f t="shared" ca="1" si="20"/>
        <v>CCC</v>
      </c>
      <c r="AL61" s="236">
        <f t="shared" ca="1" si="20"/>
        <v>9</v>
      </c>
      <c r="AM61" s="236" t="str">
        <f t="shared" ca="1" si="5"/>
        <v/>
      </c>
      <c r="AQ61" s="286" t="s">
        <v>257</v>
      </c>
      <c r="AR61" s="286" t="s">
        <v>10</v>
      </c>
      <c r="AS61" s="286">
        <v>20</v>
      </c>
      <c r="AT61" s="286" t="s">
        <v>337</v>
      </c>
      <c r="AV61" s="234">
        <f t="shared" si="21"/>
        <v>3</v>
      </c>
      <c r="AW61" s="234">
        <f>COUNTIF( AV$7:AV61, AV61 )</f>
        <v>9</v>
      </c>
      <c r="AX61" s="287">
        <f t="shared" si="22"/>
        <v>3.9</v>
      </c>
      <c r="AY61" s="234">
        <f t="shared" si="23"/>
        <v>11</v>
      </c>
      <c r="AZ61" s="236"/>
      <c r="BA61" s="236"/>
      <c r="BC61" s="234">
        <f t="shared" ca="1" si="24"/>
        <v>55</v>
      </c>
      <c r="BD61" s="288">
        <f t="shared" ca="1" si="7"/>
        <v>18</v>
      </c>
      <c r="BF61" s="240" t="str">
        <f t="shared" ca="1" si="25"/>
        <v>Energy Future Holdings Corp.</v>
      </c>
      <c r="BG61" s="240" t="str">
        <f t="shared" ca="1" si="9"/>
        <v>CCC</v>
      </c>
      <c r="BH61" s="240">
        <f t="shared" ca="1" si="9"/>
        <v>9</v>
      </c>
      <c r="BI61" s="240" t="str">
        <f t="shared" ca="1" si="9"/>
        <v>**EFH</v>
      </c>
    </row>
    <row r="62" spans="1:61" ht="15" thickBot="1">
      <c r="A62" s="265"/>
      <c r="B62" s="266"/>
      <c r="C62" s="266"/>
      <c r="D62" s="266"/>
      <c r="E62" s="267"/>
      <c r="F62" s="250"/>
      <c r="G62" s="251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9"/>
        <v/>
      </c>
      <c r="AJ62" s="236" t="e">
        <f t="shared" ca="1" si="4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</v>
      </c>
      <c r="AX62" s="287">
        <f t="shared" si="22"/>
        <v>99.1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4">
      <c r="A63" s="308" t="s">
        <v>473</v>
      </c>
      <c r="B63" s="309" t="s">
        <v>108</v>
      </c>
      <c r="C63" s="309">
        <v>23</v>
      </c>
      <c r="D63" s="309" t="s">
        <v>439</v>
      </c>
      <c r="E63" s="310" t="str">
        <f ca="1">OFFSET( INDIRECT( E$3 &amp; E$4 ), $G63 - 1, 0 )</f>
        <v>MR</v>
      </c>
      <c r="F63" s="311"/>
      <c r="G63" s="312">
        <f t="shared" ca="1" si="1"/>
        <v>34</v>
      </c>
      <c r="H63" s="250"/>
      <c r="I63" s="250"/>
      <c r="AF63" s="236">
        <f t="shared" si="2"/>
        <v>1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AA-</v>
      </c>
      <c r="AL63" s="236">
        <f t="shared" ca="1" si="20"/>
        <v>23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2</v>
      </c>
      <c r="AX63" s="287">
        <f t="shared" si="22"/>
        <v>99.2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" ca="1" si="26">OFFSET( AR$6, $BD63, 0 )</f>
        <v>0</v>
      </c>
      <c r="BH63" s="240">
        <f t="shared" ref="BH63" ca="1" si="27">OFFSET( AS$6, $BD63, 0 )</f>
        <v>0</v>
      </c>
      <c r="BI63" s="240">
        <f t="shared" ref="BI63" ca="1" si="28">OFFSET( AT$6, $BD63, 0 )</f>
        <v>0</v>
      </c>
    </row>
    <row r="64" spans="1:61" ht="14">
      <c r="A64" s="303" t="s">
        <v>474</v>
      </c>
      <c r="B64" s="304" t="s">
        <v>2</v>
      </c>
      <c r="C64" s="304">
        <v>21</v>
      </c>
      <c r="D64" s="304" t="s">
        <v>440</v>
      </c>
      <c r="E64" s="305" t="str">
        <f ca="1">OFFSET( INDIRECT( E$3 &amp; E$4 ), $G64 - 1, 0 )</f>
        <v>R</v>
      </c>
      <c r="F64" s="306"/>
      <c r="G64" s="307">
        <f t="shared" ca="1" si="1"/>
        <v>15</v>
      </c>
      <c r="H64" s="250"/>
      <c r="I64" s="250"/>
      <c r="AF64" s="236">
        <f t="shared" si="2"/>
        <v>0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A</v>
      </c>
      <c r="AL64" s="236">
        <f t="shared" ca="1" si="20"/>
        <v>21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4">
      <c r="A65" s="303" t="s">
        <v>475</v>
      </c>
      <c r="B65" s="304" t="s">
        <v>56</v>
      </c>
      <c r="C65" s="304">
        <v>16</v>
      </c>
      <c r="D65" s="304" t="s">
        <v>441</v>
      </c>
      <c r="E65" s="305" t="str">
        <f ca="1">OFFSET( INDIRECT( E$3 &amp; E$4 ), $G65 - 1, 0 )</f>
        <v>R</v>
      </c>
      <c r="F65" s="306"/>
      <c r="G65" s="307">
        <f t="shared" ca="1" si="1"/>
        <v>57</v>
      </c>
      <c r="H65" s="250"/>
      <c r="I65" s="250"/>
      <c r="N65" s="234" t="s">
        <v>73</v>
      </c>
      <c r="AF65" s="236">
        <f t="shared" si="2"/>
        <v>1</v>
      </c>
      <c r="AG65" s="236" t="str">
        <f ca="1">IF( LEN( $C65 ) = 0, "", IF( $C65 &gt; $AL65, 1, "" ) )</f>
        <v/>
      </c>
      <c r="AH65" s="236" t="str">
        <f t="shared" ca="1" si="19"/>
        <v/>
      </c>
      <c r="AJ65" s="236">
        <f t="shared" ca="1" si="4"/>
        <v>65</v>
      </c>
      <c r="AK65" s="236" t="str">
        <f t="shared" ca="1" si="20"/>
        <v>BB+</v>
      </c>
      <c r="AL65" s="236">
        <f t="shared" ca="1" si="20"/>
        <v>16</v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303" t="s">
        <v>476</v>
      </c>
      <c r="B66" s="313"/>
      <c r="C66" s="304"/>
      <c r="D66" s="304" t="s">
        <v>447</v>
      </c>
      <c r="E66" s="305" t="str">
        <f ca="1">OFFSET( INDIRECT( E$3 &amp; E$4 ), $G66 - 1, 0 )</f>
        <v>R</v>
      </c>
      <c r="F66" s="306"/>
      <c r="G66" s="307">
        <f t="shared" ca="1" si="1"/>
        <v>56</v>
      </c>
      <c r="H66" s="250"/>
      <c r="I66" s="250"/>
      <c r="AF66" s="236">
        <f t="shared" si="2"/>
        <v>0</v>
      </c>
      <c r="AG66" s="236" t="str">
        <f t="shared" ref="AG66:AG67" si="29">IF( LEN( $C66 ) = 0, "", IF( $C66 &gt; $AL66, 1, "" ) )</f>
        <v/>
      </c>
      <c r="AH66" s="236" t="str">
        <f t="shared" si="19"/>
        <v/>
      </c>
      <c r="AJ66" s="236">
        <f t="shared" ca="1" si="4"/>
        <v>67</v>
      </c>
      <c r="AK66" s="236" t="str">
        <f t="shared" ca="1" si="20"/>
        <v>N.A.</v>
      </c>
      <c r="AL66" s="236">
        <f t="shared" ca="1" si="20"/>
        <v>0</v>
      </c>
      <c r="AM66" s="236" t="str">
        <f t="shared" ca="1" si="5"/>
        <v>Change</v>
      </c>
      <c r="AQ66" s="286" t="s">
        <v>474</v>
      </c>
      <c r="AR66" s="286" t="s">
        <v>2</v>
      </c>
      <c r="AS66" s="286">
        <v>21</v>
      </c>
      <c r="AT66" s="286" t="s">
        <v>440</v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9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473</v>
      </c>
      <c r="AR67" s="286" t="s">
        <v>108</v>
      </c>
      <c r="AS67" s="286">
        <v>23</v>
      </c>
      <c r="AT67" s="286" t="s">
        <v>439</v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">
        <v>28</v>
      </c>
      <c r="C68" s="276">
        <f>AVERAGE(C7:C65)</f>
        <v>18.293103448275861</v>
      </c>
      <c r="D68" s="276"/>
      <c r="E68" s="276"/>
      <c r="F68" s="250"/>
      <c r="H68" s="250"/>
      <c r="I68" s="250"/>
      <c r="J68" s="253"/>
      <c r="K68" s="253"/>
      <c r="AQ68" s="286" t="s">
        <v>475</v>
      </c>
      <c r="AR68" s="286" t="s">
        <v>56</v>
      </c>
      <c r="AS68" s="286">
        <v>16</v>
      </c>
      <c r="AT68" s="286" t="s">
        <v>441</v>
      </c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Q69" s="286" t="s">
        <v>76</v>
      </c>
      <c r="AR69" s="286" t="s">
        <v>372</v>
      </c>
      <c r="AS69" s="286"/>
      <c r="AT69" s="286" t="s">
        <v>333</v>
      </c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  <c r="AQ70" s="286" t="s">
        <v>50</v>
      </c>
      <c r="AR70" s="286" t="s">
        <v>372</v>
      </c>
      <c r="AS70" s="286"/>
      <c r="AT70" s="286" t="s">
        <v>286</v>
      </c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355</v>
      </c>
      <c r="B73" s="240"/>
      <c r="D73" s="264"/>
      <c r="E73" s="264"/>
      <c r="F73" s="280"/>
      <c r="H73" s="280"/>
      <c r="I73" s="280"/>
    </row>
    <row r="74" spans="1:58">
      <c r="A74" s="281" t="s">
        <v>356</v>
      </c>
      <c r="B74" s="240"/>
      <c r="D74" s="264"/>
      <c r="E74" s="264"/>
      <c r="F74" s="280"/>
      <c r="H74" s="280"/>
      <c r="I74" s="280"/>
    </row>
    <row r="75" spans="1:58">
      <c r="A75" s="281" t="s">
        <v>469</v>
      </c>
      <c r="D75" s="280"/>
      <c r="E75" s="234"/>
      <c r="F75" s="282"/>
      <c r="H75" s="282"/>
      <c r="I75" s="282"/>
    </row>
    <row r="76" spans="1:58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>
      <c r="A78" s="279"/>
      <c r="AQ78" s="286"/>
      <c r="AR78" s="286"/>
      <c r="AS78" s="286"/>
    </row>
    <row r="79" spans="1:58">
      <c r="C79" s="339">
        <f>SUMPRODUCT( L8:L13, Y8:Y13 ) / L14</f>
        <v>18.379310344827587</v>
      </c>
      <c r="E79" s="283"/>
      <c r="G79" s="251"/>
      <c r="J79" s="240"/>
      <c r="K79" s="240"/>
      <c r="AQ79" s="286"/>
      <c r="AR79" s="286"/>
      <c r="AS79" s="286"/>
    </row>
    <row r="80" spans="1:58" s="240" customFormat="1" ht="14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>
      <c r="AQ81" s="286"/>
      <c r="AR81" s="286"/>
      <c r="AS81" s="286"/>
    </row>
    <row r="82" spans="43:45">
      <c r="AQ82" s="286"/>
      <c r="AR82" s="286"/>
      <c r="AS82" s="286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92D050"/>
    <pageSetUpPr fitToPage="1"/>
  </sheetPr>
  <dimension ref="C1:CD40"/>
  <sheetViews>
    <sheetView showGridLines="0" zoomScale="90" zoomScaleNormal="90" workbookViewId="0"/>
  </sheetViews>
  <sheetFormatPr baseColWidth="10" defaultColWidth="9.1640625" defaultRowHeight="14" outlineLevelCol="2"/>
  <cols>
    <col min="1" max="2" width="2.83203125" style="258" customWidth="1"/>
    <col min="3" max="3" width="2.6640625" style="258" customWidth="1"/>
    <col min="4" max="4" width="24.6640625" style="258" customWidth="1"/>
    <col min="5" max="5" width="6.6640625" style="258" hidden="1" customWidth="1" outlineLevel="1"/>
    <col min="6" max="6" width="5.83203125" style="258" hidden="1" customWidth="1" outlineLevel="1"/>
    <col min="7" max="7" width="4.5" style="258" hidden="1" customWidth="1" outlineLevel="1"/>
    <col min="8" max="8" width="6.6640625" style="258" hidden="1" customWidth="1" outlineLevel="1"/>
    <col min="9" max="9" width="5.83203125" style="258" hidden="1" customWidth="1" outlineLevel="1"/>
    <col min="10" max="10" width="4.5" style="258" hidden="1" customWidth="1" outlineLevel="1"/>
    <col min="11" max="11" width="6.6640625" style="258" hidden="1" customWidth="1" outlineLevel="1"/>
    <col min="12" max="12" width="5.83203125" style="258" hidden="1" customWidth="1" outlineLevel="1"/>
    <col min="13" max="13" width="4.5" style="258" hidden="1" customWidth="1" outlineLevel="1"/>
    <col min="14" max="14" width="6.6640625" style="258" hidden="1" customWidth="1" outlineLevel="1"/>
    <col min="15" max="15" width="5.83203125" style="258" hidden="1" customWidth="1" outlineLevel="1"/>
    <col min="16" max="16" width="4.5" style="258" hidden="1" customWidth="1" outlineLevel="1"/>
    <col min="17" max="17" width="6.6640625" style="258" hidden="1" customWidth="1" outlineLevel="1"/>
    <col min="18" max="18" width="5.83203125" style="258" hidden="1" customWidth="1" outlineLevel="1"/>
    <col min="19" max="19" width="4.5" style="258" hidden="1" customWidth="1" outlineLevel="1"/>
    <col min="20" max="20" width="6.6640625" style="258" hidden="1" customWidth="1" outlineLevel="1"/>
    <col min="21" max="21" width="5.83203125" style="258" hidden="1" customWidth="1" outlineLevel="1"/>
    <col min="22" max="22" width="4.5" style="258" hidden="1" customWidth="1" outlineLevel="1"/>
    <col min="23" max="23" width="6.6640625" style="258" hidden="1" customWidth="1" outlineLevel="1"/>
    <col min="24" max="24" width="5.83203125" style="258" hidden="1" customWidth="1" outlineLevel="1"/>
    <col min="25" max="25" width="4.5" style="258" hidden="1" customWidth="1" outlineLevel="1"/>
    <col min="26" max="26" width="6.6640625" style="258" hidden="1" customWidth="1" outlineLevel="1"/>
    <col min="27" max="27" width="5.83203125" style="258" hidden="1" customWidth="1" outlineLevel="1"/>
    <col min="28" max="28" width="4.5" style="258" hidden="1" customWidth="1" outlineLevel="1"/>
    <col min="29" max="29" width="6.6640625" style="258" hidden="1" customWidth="1" outlineLevel="1"/>
    <col min="30" max="30" width="5.83203125" style="258" hidden="1" customWidth="1" outlineLevel="1"/>
    <col min="31" max="31" width="4.5" style="258" hidden="1" customWidth="1" outlineLevel="1"/>
    <col min="32" max="32" width="6.6640625" style="258" hidden="1" customWidth="1" outlineLevel="1"/>
    <col min="33" max="33" width="5.83203125" style="258" hidden="1" customWidth="1" outlineLevel="1"/>
    <col min="34" max="34" width="4.5" style="258" hidden="1" customWidth="1" outlineLevel="1"/>
    <col min="35" max="35" width="6.6640625" style="258" hidden="1" customWidth="1" outlineLevel="1"/>
    <col min="36" max="36" width="5.83203125" style="258" hidden="1" customWidth="1" outlineLevel="1"/>
    <col min="37" max="37" width="4.5" style="258" hidden="1" customWidth="1" outlineLevel="1"/>
    <col min="38" max="38" width="6.6640625" style="258" customWidth="1" collapsed="1"/>
    <col min="39" max="39" width="5.83203125" style="258" customWidth="1"/>
    <col min="40" max="40" width="4.5" style="258" customWidth="1"/>
    <col min="41" max="41" width="6.6640625" style="258" customWidth="1"/>
    <col min="42" max="42" width="5.83203125" style="258" customWidth="1"/>
    <col min="43" max="43" width="4.5" style="258" customWidth="1"/>
    <col min="44" max="44" width="6.6640625" style="258" customWidth="1"/>
    <col min="45" max="45" width="5.83203125" style="258" customWidth="1"/>
    <col min="46" max="46" width="4.5" style="258" customWidth="1"/>
    <col min="47" max="47" width="6.6640625" style="258" customWidth="1"/>
    <col min="48" max="48" width="5.83203125" style="258" customWidth="1"/>
    <col min="49" max="49" width="4.5" style="258" customWidth="1"/>
    <col min="50" max="50" width="6.6640625" style="258" customWidth="1"/>
    <col min="51" max="51" width="5.83203125" style="258" customWidth="1"/>
    <col min="52" max="52" width="4.5" style="258" customWidth="1"/>
    <col min="53" max="53" width="6.6640625" style="258" customWidth="1"/>
    <col min="54" max="54" width="5.83203125" style="258" customWidth="1"/>
    <col min="55" max="55" width="4.5" style="258" customWidth="1"/>
    <col min="56" max="56" width="6.6640625" style="258" customWidth="1"/>
    <col min="57" max="57" width="5.83203125" style="258" customWidth="1"/>
    <col min="58" max="58" width="4.5" style="258" customWidth="1"/>
    <col min="59" max="59" width="6.6640625" style="258" customWidth="1"/>
    <col min="60" max="60" width="5.83203125" style="258" customWidth="1"/>
    <col min="61" max="61" width="4.5" style="258" customWidth="1"/>
    <col min="62" max="62" width="3.5" style="258" hidden="1" customWidth="1" outlineLevel="1"/>
    <col min="63" max="63" width="3.83203125" style="258" hidden="1" customWidth="1" outlineLevel="2"/>
    <col min="64" max="64" width="6.5" style="255" hidden="1" customWidth="1" outlineLevel="2"/>
    <col min="65" max="65" width="16.6640625" style="258" hidden="1" customWidth="1" outlineLevel="2"/>
    <col min="66" max="66" width="6.5" style="258" hidden="1" customWidth="1" outlineLevel="2"/>
    <col min="67" max="67" width="16.6640625" style="258" hidden="1" customWidth="1" outlineLevel="2"/>
    <col min="68" max="68" width="6.5" style="258" hidden="1" customWidth="1" outlineLevel="2"/>
    <col min="69" max="69" width="16.6640625" style="258" hidden="1" customWidth="1" outlineLevel="2"/>
    <col min="70" max="70" width="6.5" style="258" hidden="1" customWidth="1" outlineLevel="2"/>
    <col min="71" max="71" width="16.6640625" style="258" hidden="1" customWidth="1" outlineLevel="2"/>
    <col min="72" max="72" width="6.5" style="258" hidden="1" customWidth="1" outlineLevel="2"/>
    <col min="73" max="73" width="16.6640625" style="258" hidden="1" customWidth="1" outlineLevel="2"/>
    <col min="74" max="74" width="6.5" style="258" hidden="1" customWidth="1" outlineLevel="2"/>
    <col min="75" max="75" width="16.6640625" style="258" hidden="1" customWidth="1" outlineLevel="2"/>
    <col min="76" max="76" width="6.5" style="258" hidden="1" customWidth="1" outlineLevel="2"/>
    <col min="77" max="77" width="16.6640625" style="258" hidden="1" customWidth="1" outlineLevel="2"/>
    <col min="78" max="78" width="6.5" style="258" hidden="1" customWidth="1" outlineLevel="2"/>
    <col min="79" max="79" width="16.6640625" style="258" hidden="1" customWidth="1" outlineLevel="2"/>
    <col min="80" max="80" width="6.5" style="258" hidden="1" customWidth="1" outlineLevel="1" collapsed="1"/>
    <col min="81" max="81" width="16.6640625" style="258" hidden="1" customWidth="1" outlineLevel="1"/>
    <col min="82" max="82" width="9.1640625" style="258" collapsed="1"/>
    <col min="83" max="16384" width="9.1640625" style="258"/>
  </cols>
  <sheetData>
    <row r="1" spans="3:81" ht="19">
      <c r="C1" s="233"/>
      <c r="D1" s="233" t="s">
        <v>339</v>
      </c>
    </row>
    <row r="4" spans="3:81">
      <c r="C4" s="340"/>
      <c r="D4" s="340"/>
      <c r="E4" s="341"/>
      <c r="F4" s="341"/>
      <c r="G4" s="341"/>
      <c r="H4" s="341"/>
      <c r="I4" s="341"/>
      <c r="J4" s="341"/>
      <c r="K4" s="341"/>
    </row>
    <row r="5" spans="3:81" ht="20" customHeight="1">
      <c r="C5" s="496" t="s">
        <v>142</v>
      </c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342"/>
      <c r="T5" s="342"/>
      <c r="U5" s="342"/>
      <c r="V5" s="342"/>
      <c r="W5" s="343"/>
      <c r="X5" s="343"/>
      <c r="Y5" s="342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4"/>
      <c r="BH5" s="344"/>
      <c r="BM5" s="347" t="s">
        <v>487</v>
      </c>
      <c r="BN5" s="347"/>
      <c r="BO5" s="347" t="s">
        <v>494</v>
      </c>
      <c r="BP5" s="347"/>
      <c r="BQ5" s="347" t="s">
        <v>509</v>
      </c>
      <c r="BR5" s="347"/>
      <c r="BS5" s="347" t="s">
        <v>528</v>
      </c>
      <c r="BT5" s="347"/>
      <c r="BU5" s="347" t="s">
        <v>545</v>
      </c>
      <c r="BV5" s="347"/>
      <c r="BW5" s="347" t="s">
        <v>563</v>
      </c>
      <c r="BX5" s="347"/>
      <c r="BY5" s="347" t="s">
        <v>575</v>
      </c>
      <c r="BZ5" s="347"/>
      <c r="CA5" s="347" t="s">
        <v>596</v>
      </c>
      <c r="CB5" s="347"/>
      <c r="CC5" s="347" t="s">
        <v>599</v>
      </c>
    </row>
    <row r="6" spans="3:81">
      <c r="BG6" s="345"/>
      <c r="BH6" s="345"/>
    </row>
    <row r="7" spans="3:81" s="279" customFormat="1">
      <c r="E7" s="498">
        <v>37621</v>
      </c>
      <c r="F7" s="499"/>
      <c r="G7" s="404"/>
      <c r="H7" s="498">
        <v>37986</v>
      </c>
      <c r="I7" s="499"/>
      <c r="J7" s="365"/>
      <c r="K7" s="498">
        <v>38352</v>
      </c>
      <c r="L7" s="499"/>
      <c r="M7" s="404"/>
      <c r="N7" s="498">
        <v>38717</v>
      </c>
      <c r="O7" s="499"/>
      <c r="P7" s="260"/>
      <c r="Q7" s="498">
        <v>39082</v>
      </c>
      <c r="R7" s="499"/>
      <c r="S7" s="260"/>
      <c r="T7" s="498" t="s">
        <v>349</v>
      </c>
      <c r="U7" s="499"/>
      <c r="V7" s="260"/>
      <c r="W7" s="498" t="s">
        <v>344</v>
      </c>
      <c r="X7" s="499"/>
      <c r="Y7" s="260"/>
      <c r="Z7" s="498">
        <v>40178</v>
      </c>
      <c r="AA7" s="499"/>
      <c r="AB7" s="260"/>
      <c r="AC7" s="498">
        <v>40543</v>
      </c>
      <c r="AD7" s="499"/>
      <c r="AE7" s="260"/>
      <c r="AF7" s="498">
        <v>40908</v>
      </c>
      <c r="AG7" s="499"/>
      <c r="AH7" s="260"/>
      <c r="AI7" s="498">
        <v>41274</v>
      </c>
      <c r="AJ7" s="499"/>
      <c r="AK7" s="260"/>
      <c r="AL7" s="498" t="str">
        <f ca="1">INDIRECT( BO7 )</f>
        <v>2013 Q4</v>
      </c>
      <c r="AM7" s="499"/>
      <c r="AN7" s="433"/>
      <c r="AO7" s="498" t="str">
        <f ca="1">INDIRECT( BQ7 )</f>
        <v>2014 Q4</v>
      </c>
      <c r="AP7" s="499"/>
      <c r="AQ7" s="446"/>
      <c r="AR7" s="498" t="str">
        <f ca="1">INDIRECT( BS7 )</f>
        <v>2015 Q4</v>
      </c>
      <c r="AS7" s="499"/>
      <c r="AT7" s="455"/>
      <c r="AU7" s="498" t="str">
        <f ca="1">INDIRECT( BU7 )</f>
        <v>2016 Q4</v>
      </c>
      <c r="AV7" s="499"/>
      <c r="AW7" s="481"/>
      <c r="AX7" s="498" t="str">
        <f ca="1">INDIRECT( BW7 )</f>
        <v>2017 Q4</v>
      </c>
      <c r="AY7" s="499"/>
      <c r="AZ7" s="481"/>
      <c r="BA7" s="498" t="str">
        <f ca="1">INDIRECT( BY7 )</f>
        <v>2018 Q4</v>
      </c>
      <c r="BB7" s="499"/>
      <c r="BC7" s="485"/>
      <c r="BD7" s="498" t="str">
        <f ca="1">INDIRECT( CA7 )</f>
        <v>2019 Q4</v>
      </c>
      <c r="BE7" s="499"/>
      <c r="BF7" s="490"/>
      <c r="BG7" s="500" t="str">
        <f ca="1">INDIRECT( CC7 )</f>
        <v>2020 Q2</v>
      </c>
      <c r="BH7" s="500"/>
      <c r="BL7" s="353" t="s">
        <v>491</v>
      </c>
      <c r="BM7" s="258" t="str">
        <f ca="1">BM$5 &amp; "!" &amp;$BL7</f>
        <v>'Credit_2012Q4'!b6</v>
      </c>
      <c r="BO7" s="258" t="str">
        <f ca="1">BO$5 &amp; "!" &amp;$BL7</f>
        <v>'Credit_2013Q4'!b6</v>
      </c>
      <c r="BQ7" s="258" t="str">
        <f ca="1">BQ$5 &amp; "!" &amp;$BL7</f>
        <v>'Credit_2014Q4'!b6</v>
      </c>
      <c r="BS7" s="258" t="str">
        <f ca="1">BS$5 &amp; "!" &amp;$BL7</f>
        <v>'Credit_2015Q4'!b6</v>
      </c>
      <c r="BU7" s="258" t="str">
        <f ca="1">BU$5 &amp; "!" &amp;$BL7</f>
        <v>'Credit_2016Q4'!b6</v>
      </c>
      <c r="BW7" s="258" t="str">
        <f ca="1">BW$5 &amp; "!" &amp;$BL7</f>
        <v>'Credit_2017Q4'!b6</v>
      </c>
      <c r="BY7" s="258" t="str">
        <f ca="1">BY$5 &amp; "!" &amp;$BL7</f>
        <v>'Credit_2018Q4'!b6</v>
      </c>
      <c r="CA7" s="258" t="str">
        <f ca="1">CA$5 &amp; "!" &amp;$BL7</f>
        <v>'Credit_2019Q4'!b6</v>
      </c>
      <c r="CC7" s="258" t="str">
        <f ca="1">CC$5 &amp; "!" &amp;$BL7</f>
        <v>'Credit_2020Q2'!b6</v>
      </c>
    </row>
    <row r="8" spans="3:81" s="279" customFormat="1">
      <c r="E8" s="255" t="s">
        <v>81</v>
      </c>
      <c r="F8" s="367" t="s">
        <v>82</v>
      </c>
      <c r="G8" s="255"/>
      <c r="H8" s="255" t="s">
        <v>81</v>
      </c>
      <c r="I8" s="367" t="s">
        <v>82</v>
      </c>
      <c r="J8" s="255"/>
      <c r="K8" s="255" t="s">
        <v>81</v>
      </c>
      <c r="L8" s="367" t="s">
        <v>82</v>
      </c>
      <c r="M8" s="255"/>
      <c r="N8" s="255" t="s">
        <v>81</v>
      </c>
      <c r="O8" s="367" t="s">
        <v>82</v>
      </c>
      <c r="P8" s="367"/>
      <c r="Q8" s="255" t="s">
        <v>81</v>
      </c>
      <c r="R8" s="255" t="s">
        <v>82</v>
      </c>
      <c r="S8" s="367"/>
      <c r="T8" s="255" t="s">
        <v>81</v>
      </c>
      <c r="U8" s="255" t="s">
        <v>82</v>
      </c>
      <c r="V8" s="367"/>
      <c r="W8" s="378" t="s">
        <v>81</v>
      </c>
      <c r="X8" s="346" t="s">
        <v>82</v>
      </c>
      <c r="Y8" s="367"/>
      <c r="Z8" s="378" t="s">
        <v>81</v>
      </c>
      <c r="AA8" s="346" t="s">
        <v>82</v>
      </c>
      <c r="AB8" s="367"/>
      <c r="AC8" s="378" t="s">
        <v>81</v>
      </c>
      <c r="AD8" s="346" t="s">
        <v>82</v>
      </c>
      <c r="AE8" s="367"/>
      <c r="AF8" s="378" t="s">
        <v>81</v>
      </c>
      <c r="AG8" s="346" t="s">
        <v>82</v>
      </c>
      <c r="AH8" s="367"/>
      <c r="AI8" s="378" t="s">
        <v>81</v>
      </c>
      <c r="AJ8" s="346" t="s">
        <v>82</v>
      </c>
      <c r="AK8" s="367"/>
      <c r="AL8" s="378" t="s">
        <v>81</v>
      </c>
      <c r="AM8" s="346" t="s">
        <v>82</v>
      </c>
      <c r="AN8" s="367"/>
      <c r="AO8" s="378" t="s">
        <v>81</v>
      </c>
      <c r="AP8" s="346" t="s">
        <v>82</v>
      </c>
      <c r="AQ8" s="367"/>
      <c r="AR8" s="378" t="s">
        <v>81</v>
      </c>
      <c r="AS8" s="346" t="s">
        <v>82</v>
      </c>
      <c r="AT8" s="367"/>
      <c r="AU8" s="378" t="s">
        <v>81</v>
      </c>
      <c r="AV8" s="346" t="s">
        <v>82</v>
      </c>
      <c r="AW8" s="367"/>
      <c r="AX8" s="378" t="s">
        <v>81</v>
      </c>
      <c r="AY8" s="346" t="s">
        <v>82</v>
      </c>
      <c r="AZ8" s="367"/>
      <c r="BA8" s="378" t="s">
        <v>81</v>
      </c>
      <c r="BB8" s="346" t="s">
        <v>82</v>
      </c>
      <c r="BC8" s="367"/>
      <c r="BD8" s="378" t="s">
        <v>81</v>
      </c>
      <c r="BE8" s="346" t="s">
        <v>82</v>
      </c>
      <c r="BF8" s="367"/>
      <c r="BG8" s="379" t="s">
        <v>81</v>
      </c>
      <c r="BH8" s="380" t="s">
        <v>82</v>
      </c>
      <c r="BL8" s="346"/>
    </row>
    <row r="9" spans="3:81" s="279" customFormat="1">
      <c r="E9" s="255"/>
      <c r="F9" s="367"/>
      <c r="G9" s="255"/>
      <c r="H9" s="255"/>
      <c r="I9" s="367"/>
      <c r="J9" s="255"/>
      <c r="K9" s="255"/>
      <c r="L9" s="367"/>
      <c r="M9" s="255"/>
      <c r="N9" s="255"/>
      <c r="O9" s="367"/>
      <c r="P9" s="367"/>
      <c r="Q9" s="255"/>
      <c r="R9" s="255"/>
      <c r="S9" s="367"/>
      <c r="T9" s="255"/>
      <c r="U9" s="255"/>
      <c r="V9" s="367"/>
      <c r="W9" s="378"/>
      <c r="X9" s="346"/>
      <c r="Y9" s="367"/>
      <c r="Z9" s="378"/>
      <c r="AA9" s="346"/>
      <c r="AB9" s="367"/>
      <c r="AC9" s="378"/>
      <c r="AD9" s="346"/>
      <c r="AE9" s="367"/>
      <c r="AF9" s="378"/>
      <c r="AG9" s="346"/>
      <c r="AH9" s="367"/>
      <c r="AI9" s="378"/>
      <c r="AJ9" s="346"/>
      <c r="AK9" s="367"/>
      <c r="AL9" s="378"/>
      <c r="AM9" s="346"/>
      <c r="AN9" s="367"/>
      <c r="AO9" s="378"/>
      <c r="AP9" s="346"/>
      <c r="AQ9" s="367"/>
      <c r="AR9" s="378"/>
      <c r="AS9" s="346"/>
      <c r="AT9" s="367"/>
      <c r="AU9" s="378"/>
      <c r="AV9" s="346"/>
      <c r="AW9" s="367"/>
      <c r="AX9" s="378"/>
      <c r="AY9" s="346"/>
      <c r="AZ9" s="367"/>
      <c r="BA9" s="378"/>
      <c r="BB9" s="346"/>
      <c r="BC9" s="367"/>
      <c r="BD9" s="378"/>
      <c r="BE9" s="346"/>
      <c r="BF9" s="367"/>
      <c r="BG9" s="379"/>
      <c r="BH9" s="380"/>
      <c r="BL9" s="346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</row>
    <row r="10" spans="3:81">
      <c r="C10" s="348"/>
      <c r="D10" s="348" t="s">
        <v>137</v>
      </c>
      <c r="E10" s="381"/>
      <c r="F10" s="368"/>
      <c r="G10" s="349"/>
      <c r="H10" s="381"/>
      <c r="I10" s="368"/>
      <c r="J10" s="349"/>
      <c r="K10" s="381"/>
      <c r="L10" s="368"/>
      <c r="M10" s="349"/>
      <c r="N10" s="381"/>
      <c r="O10" s="368"/>
      <c r="P10" s="368"/>
      <c r="Q10" s="382"/>
      <c r="R10" s="381"/>
      <c r="S10" s="368"/>
      <c r="T10" s="382"/>
      <c r="U10" s="381"/>
      <c r="V10" s="368"/>
      <c r="W10" s="383"/>
      <c r="X10" s="383"/>
      <c r="Y10" s="368"/>
      <c r="Z10" s="383"/>
      <c r="AA10" s="383"/>
      <c r="AB10" s="368"/>
      <c r="AC10" s="383"/>
      <c r="AD10" s="383"/>
      <c r="AE10" s="368"/>
      <c r="AF10" s="383"/>
      <c r="AG10" s="383"/>
      <c r="AH10" s="368"/>
      <c r="AI10" s="383"/>
      <c r="AJ10" s="383"/>
      <c r="AK10" s="368"/>
      <c r="AL10" s="383"/>
      <c r="AM10" s="383"/>
      <c r="AN10" s="368"/>
      <c r="AO10" s="383"/>
      <c r="AP10" s="383"/>
      <c r="AQ10" s="368"/>
      <c r="AR10" s="383"/>
      <c r="AS10" s="383"/>
      <c r="AT10" s="368"/>
      <c r="AU10" s="383"/>
      <c r="AV10" s="383"/>
      <c r="AW10" s="368"/>
      <c r="AX10" s="383"/>
      <c r="AY10" s="383"/>
      <c r="AZ10" s="368"/>
      <c r="BA10" s="383"/>
      <c r="BB10" s="383"/>
      <c r="BC10" s="368"/>
      <c r="BD10" s="383"/>
      <c r="BE10" s="383"/>
      <c r="BF10" s="368"/>
      <c r="BG10" s="384"/>
      <c r="BH10" s="384"/>
    </row>
    <row r="11" spans="3:81">
      <c r="C11" s="350"/>
      <c r="D11" s="350" t="s">
        <v>138</v>
      </c>
      <c r="E11" s="385">
        <v>6</v>
      </c>
      <c r="F11" s="369">
        <f t="shared" ref="F11:F16" ca="1" si="0">E11/$E$17</f>
        <v>0.1875</v>
      </c>
      <c r="G11" s="351"/>
      <c r="H11" s="385">
        <v>6</v>
      </c>
      <c r="I11" s="369">
        <f t="shared" ref="I11:I16" ca="1" si="1">H11/$H$17</f>
        <v>0.16666666666666666</v>
      </c>
      <c r="J11" s="351"/>
      <c r="K11" s="385">
        <v>7</v>
      </c>
      <c r="L11" s="369">
        <f t="shared" ref="L11:L16" ca="1" si="2">K11/$K$17</f>
        <v>0.19444444444444445</v>
      </c>
      <c r="M11" s="351"/>
      <c r="N11" s="385">
        <v>7</v>
      </c>
      <c r="O11" s="369">
        <f t="shared" ref="O11:O16" ca="1" si="3">N11/$N$17</f>
        <v>0.19444444444444445</v>
      </c>
      <c r="P11" s="369"/>
      <c r="Q11" s="385">
        <v>6</v>
      </c>
      <c r="R11" s="369">
        <f t="shared" ref="R11:R16" ca="1" si="4">Q11/$Q$17</f>
        <v>0.1875</v>
      </c>
      <c r="S11" s="369"/>
      <c r="T11" s="385">
        <v>5</v>
      </c>
      <c r="U11" s="369">
        <f t="shared" ref="U11:U16" ca="1" si="5">T11/$T$17</f>
        <v>0.13157894736842105</v>
      </c>
      <c r="V11" s="369"/>
      <c r="W11" s="293">
        <v>3</v>
      </c>
      <c r="X11" s="394">
        <f t="shared" ref="X11:X16" ca="1" si="6">W11/$W$17</f>
        <v>7.6923076923076927E-2</v>
      </c>
      <c r="Y11" s="369"/>
      <c r="Z11" s="293">
        <v>3</v>
      </c>
      <c r="AA11" s="394">
        <f t="shared" ref="AA11:AA16" ca="1" si="7">Z11/Z$17</f>
        <v>7.3170731707317069E-2</v>
      </c>
      <c r="AB11" s="369"/>
      <c r="AC11" s="293">
        <f ca="1">Credit_2010Q4!$AD8</f>
        <v>3</v>
      </c>
      <c r="AD11" s="394">
        <f t="shared" ref="AD11:AD16" ca="1" si="8">AC11/AC$17</f>
        <v>8.5714285714285715E-2</v>
      </c>
      <c r="AE11" s="369"/>
      <c r="AF11" s="293">
        <f ca="1">Credit_2011Q4!$AD8</f>
        <v>3</v>
      </c>
      <c r="AG11" s="394">
        <f t="shared" ref="AG11:AG16" ca="1" si="9">AF11/AF$17</f>
        <v>8.1081081081081086E-2</v>
      </c>
      <c r="AH11" s="369"/>
      <c r="AI11" s="293">
        <f t="shared" ref="AI11:AI16" ca="1" si="10">INDIRECT( BM11 &amp; $BK11 )</f>
        <v>2</v>
      </c>
      <c r="AJ11" s="394">
        <f t="shared" ref="AJ11:AJ16" ca="1" si="11">AI11/AI$17</f>
        <v>5.5555555555555552E-2</v>
      </c>
      <c r="AK11" s="369"/>
      <c r="AL11" s="293">
        <f t="shared" ref="AL11:AL16" ca="1" si="12">INDIRECT( BO11 &amp; $BK11 )</f>
        <v>1</v>
      </c>
      <c r="AM11" s="394">
        <f t="shared" ref="AM11:AM16" ca="1" si="13">AL11/AL$17</f>
        <v>2.8571428571428571E-2</v>
      </c>
      <c r="AN11" s="369"/>
      <c r="AO11" s="293">
        <f ca="1">INDIRECT( BQ11 &amp; $BK11 )</f>
        <v>1</v>
      </c>
      <c r="AP11" s="394">
        <f t="shared" ref="AP11:AP16" ca="1" si="14">AO11/AO$17</f>
        <v>2.6315789473684209E-2</v>
      </c>
      <c r="AQ11" s="369"/>
      <c r="AR11" s="293">
        <f t="shared" ref="AR11:AR16" ca="1" si="15">INDIRECT( BS11 &amp; $BK11 )</f>
        <v>1</v>
      </c>
      <c r="AS11" s="394">
        <f t="shared" ref="AS11:AS16" ca="1" si="16">AR11/AR$17</f>
        <v>2.7777777777777776E-2</v>
      </c>
      <c r="AT11" s="369"/>
      <c r="AU11" s="293">
        <f t="shared" ref="AU11:AU16" ca="1" si="17">INDIRECT( BU11 &amp; $BK11 )</f>
        <v>2</v>
      </c>
      <c r="AV11" s="394">
        <f t="shared" ref="AV11:AV16" ca="1" si="18">AU11/AU$17</f>
        <v>5.5555555555555552E-2</v>
      </c>
      <c r="AW11" s="369"/>
      <c r="AX11" s="293">
        <f t="shared" ref="AX11:AX16" ca="1" si="19">INDIRECT( BW11 &amp; $BK11 )</f>
        <v>2</v>
      </c>
      <c r="AY11" s="394">
        <f t="shared" ref="AY11:AY16" ca="1" si="20">AX11/AX$17</f>
        <v>5.7142857142857141E-2</v>
      </c>
      <c r="AZ11" s="369"/>
      <c r="BA11" s="293">
        <f ca="1">INDIRECT( BY11 &amp; $BK11 )</f>
        <v>1</v>
      </c>
      <c r="BB11" s="394">
        <f t="shared" ref="BB11:BB16" ca="1" si="21">BA11/BA$17</f>
        <v>2.9411764705882353E-2</v>
      </c>
      <c r="BC11" s="369"/>
      <c r="BD11" s="293">
        <f t="shared" ref="BD11:BD16" ca="1" si="22">INDIRECT( CA11 &amp; $BK11 )</f>
        <v>1</v>
      </c>
      <c r="BE11" s="394">
        <f t="shared" ref="BE11:BE16" ca="1" si="23">BD11/BD$17</f>
        <v>2.8571428571428571E-2</v>
      </c>
      <c r="BF11" s="369"/>
      <c r="BG11" s="386">
        <f t="shared" ref="BG11:BG16" ca="1" si="24">INDIRECT( CC11 &amp; $BK11 )</f>
        <v>1</v>
      </c>
      <c r="BH11" s="398">
        <f t="shared" ref="BH11:BH16" ca="1" si="25">BG11/BG$17</f>
        <v>2.8571428571428571E-2</v>
      </c>
      <c r="BK11" s="352">
        <v>8</v>
      </c>
      <c r="BL11" s="353" t="s">
        <v>488</v>
      </c>
      <c r="BM11" s="258" t="str">
        <f t="shared" ref="BM11:BM16" ca="1" si="26">BM$5 &amp; "!" &amp;$BL11</f>
        <v>'Credit_2012Q4'!o</v>
      </c>
      <c r="BO11" s="258" t="str">
        <f t="shared" ref="BO11:BO16" ca="1" si="27">BO$5 &amp; "!" &amp;$BL11</f>
        <v>'Credit_2013Q4'!o</v>
      </c>
      <c r="BQ11" s="258" t="str">
        <f t="shared" ref="BQ11:CC16" ca="1" si="28">BQ$5 &amp; "!" &amp;$BL11</f>
        <v>'Credit_2014Q4'!o</v>
      </c>
      <c r="BS11" s="258" t="str">
        <f t="shared" ca="1" si="28"/>
        <v>'Credit_2015Q4'!o</v>
      </c>
      <c r="BU11" s="258" t="str">
        <f t="shared" ca="1" si="28"/>
        <v>'Credit_2016Q4'!o</v>
      </c>
      <c r="BW11" s="258" t="str">
        <f t="shared" ca="1" si="28"/>
        <v>'Credit_2017Q4'!o</v>
      </c>
      <c r="BY11" s="258" t="str">
        <f t="shared" ca="1" si="28"/>
        <v>'Credit_2018Q4'!o</v>
      </c>
      <c r="CA11" s="258" t="str">
        <f t="shared" ca="1" si="28"/>
        <v>'Credit_2019Q4'!o</v>
      </c>
      <c r="CC11" s="258" t="str">
        <f t="shared" ca="1" si="28"/>
        <v>'Credit_2020Q2'!o</v>
      </c>
    </row>
    <row r="12" spans="3:81">
      <c r="C12" s="354"/>
      <c r="D12" s="354" t="s">
        <v>10</v>
      </c>
      <c r="E12" s="387">
        <v>7</v>
      </c>
      <c r="F12" s="370">
        <f t="shared" ca="1" si="0"/>
        <v>0.21875</v>
      </c>
      <c r="G12" s="355"/>
      <c r="H12" s="387">
        <v>5</v>
      </c>
      <c r="I12" s="370">
        <f t="shared" ca="1" si="1"/>
        <v>0.1388888888888889</v>
      </c>
      <c r="J12" s="355"/>
      <c r="K12" s="387">
        <v>4</v>
      </c>
      <c r="L12" s="370">
        <f t="shared" ca="1" si="2"/>
        <v>0.1111111111111111</v>
      </c>
      <c r="M12" s="355"/>
      <c r="N12" s="387">
        <v>3</v>
      </c>
      <c r="O12" s="370">
        <f t="shared" ca="1" si="3"/>
        <v>8.3333333333333329E-2</v>
      </c>
      <c r="P12" s="370"/>
      <c r="Q12" s="387">
        <v>1</v>
      </c>
      <c r="R12" s="370">
        <f t="shared" ca="1" si="4"/>
        <v>3.125E-2</v>
      </c>
      <c r="S12" s="370"/>
      <c r="T12" s="387">
        <v>2</v>
      </c>
      <c r="U12" s="370">
        <f t="shared" ca="1" si="5"/>
        <v>5.2631578947368418E-2</v>
      </c>
      <c r="V12" s="370"/>
      <c r="W12" s="295">
        <v>4</v>
      </c>
      <c r="X12" s="395">
        <f t="shared" ca="1" si="6"/>
        <v>0.10256410256410256</v>
      </c>
      <c r="Y12" s="370"/>
      <c r="Z12" s="295">
        <v>6</v>
      </c>
      <c r="AA12" s="395">
        <f t="shared" ca="1" si="7"/>
        <v>0.14634146341463414</v>
      </c>
      <c r="AB12" s="370"/>
      <c r="AC12" s="295">
        <f ca="1">Credit_2010Q4!$AD9</f>
        <v>5</v>
      </c>
      <c r="AD12" s="395">
        <f t="shared" ca="1" si="8"/>
        <v>0.14285714285714285</v>
      </c>
      <c r="AE12" s="370"/>
      <c r="AF12" s="295">
        <f ca="1">Credit_2011Q4!$AD9</f>
        <v>5</v>
      </c>
      <c r="AG12" s="395">
        <f t="shared" ca="1" si="9"/>
        <v>0.13513513513513514</v>
      </c>
      <c r="AH12" s="370"/>
      <c r="AI12" s="295">
        <f t="shared" ca="1" si="10"/>
        <v>6</v>
      </c>
      <c r="AJ12" s="395">
        <f t="shared" ca="1" si="11"/>
        <v>0.16666666666666666</v>
      </c>
      <c r="AK12" s="370"/>
      <c r="AL12" s="295">
        <f t="shared" ca="1" si="12"/>
        <v>7</v>
      </c>
      <c r="AM12" s="395">
        <f t="shared" ca="1" si="13"/>
        <v>0.2</v>
      </c>
      <c r="AN12" s="370"/>
      <c r="AO12" s="295">
        <f t="shared" ref="AO12:AO16" ca="1" si="29">INDIRECT( BQ12 &amp; $BK12 )</f>
        <v>8</v>
      </c>
      <c r="AP12" s="395">
        <f t="shared" ca="1" si="14"/>
        <v>0.21052631578947367</v>
      </c>
      <c r="AQ12" s="370"/>
      <c r="AR12" s="295">
        <f t="shared" ca="1" si="15"/>
        <v>8</v>
      </c>
      <c r="AS12" s="395">
        <f t="shared" ca="1" si="16"/>
        <v>0.22222222222222221</v>
      </c>
      <c r="AT12" s="370"/>
      <c r="AU12" s="295">
        <f t="shared" ca="1" si="17"/>
        <v>10</v>
      </c>
      <c r="AV12" s="395">
        <f t="shared" ca="1" si="18"/>
        <v>0.27777777777777779</v>
      </c>
      <c r="AW12" s="370"/>
      <c r="AX12" s="295">
        <f t="shared" ca="1" si="19"/>
        <v>12</v>
      </c>
      <c r="AY12" s="395">
        <f t="shared" ca="1" si="20"/>
        <v>0.34285714285714286</v>
      </c>
      <c r="AZ12" s="370"/>
      <c r="BA12" s="295">
        <f t="shared" ref="BA12:BA26" ca="1" si="30">INDIRECT( BY12 &amp; $BK12 )</f>
        <v>11</v>
      </c>
      <c r="BB12" s="395">
        <f t="shared" ca="1" si="21"/>
        <v>0.3235294117647059</v>
      </c>
      <c r="BC12" s="370"/>
      <c r="BD12" s="295">
        <f t="shared" ca="1" si="22"/>
        <v>11</v>
      </c>
      <c r="BE12" s="395">
        <f t="shared" ca="1" si="23"/>
        <v>0.31428571428571428</v>
      </c>
      <c r="BF12" s="370"/>
      <c r="BG12" s="388">
        <f t="shared" ca="1" si="24"/>
        <v>11</v>
      </c>
      <c r="BH12" s="399">
        <f t="shared" ca="1" si="25"/>
        <v>0.31428571428571428</v>
      </c>
      <c r="BK12" s="258">
        <f ca="1">BK11+1</f>
        <v>9</v>
      </c>
      <c r="BL12" s="255" t="str">
        <f ca="1">BL11</f>
        <v>o</v>
      </c>
      <c r="BM12" s="258" t="str">
        <f t="shared" ca="1" si="26"/>
        <v>'Credit_2012Q4'!o</v>
      </c>
      <c r="BO12" s="258" t="str">
        <f t="shared" ca="1" si="27"/>
        <v>'Credit_2013Q4'!o</v>
      </c>
      <c r="BQ12" s="258" t="str">
        <f t="shared" ca="1" si="28"/>
        <v>'Credit_2014Q4'!o</v>
      </c>
      <c r="BS12" s="258" t="str">
        <f t="shared" ca="1" si="28"/>
        <v>'Credit_2015Q4'!o</v>
      </c>
      <c r="BU12" s="258" t="str">
        <f t="shared" ca="1" si="28"/>
        <v>'Credit_2016Q4'!o</v>
      </c>
      <c r="BW12" s="258" t="str">
        <f t="shared" ca="1" si="28"/>
        <v>'Credit_2017Q4'!o</v>
      </c>
      <c r="BY12" s="258" t="str">
        <f t="shared" ca="1" si="28"/>
        <v>'Credit_2018Q4'!o</v>
      </c>
      <c r="CA12" s="258" t="str">
        <f t="shared" ca="1" si="28"/>
        <v>'Credit_2019Q4'!o</v>
      </c>
      <c r="CC12" s="258" t="str">
        <f t="shared" ca="1" si="28"/>
        <v>'Credit_2020Q2'!o</v>
      </c>
    </row>
    <row r="13" spans="3:81">
      <c r="C13" s="354"/>
      <c r="D13" s="354" t="s">
        <v>16</v>
      </c>
      <c r="E13" s="387">
        <v>3</v>
      </c>
      <c r="F13" s="370">
        <f t="shared" ca="1" si="0"/>
        <v>9.375E-2</v>
      </c>
      <c r="G13" s="355"/>
      <c r="H13" s="387">
        <v>6</v>
      </c>
      <c r="I13" s="370">
        <f t="shared" ca="1" si="1"/>
        <v>0.16666666666666666</v>
      </c>
      <c r="J13" s="355"/>
      <c r="K13" s="387">
        <v>7</v>
      </c>
      <c r="L13" s="370">
        <f t="shared" ca="1" si="2"/>
        <v>0.19444444444444445</v>
      </c>
      <c r="M13" s="355"/>
      <c r="N13" s="387">
        <v>8</v>
      </c>
      <c r="O13" s="370">
        <f t="shared" ca="1" si="3"/>
        <v>0.22222222222222221</v>
      </c>
      <c r="P13" s="370"/>
      <c r="Q13" s="387">
        <v>7</v>
      </c>
      <c r="R13" s="370">
        <f t="shared" ca="1" si="4"/>
        <v>0.21875</v>
      </c>
      <c r="S13" s="370"/>
      <c r="T13" s="387">
        <v>10</v>
      </c>
      <c r="U13" s="370">
        <f t="shared" ca="1" si="5"/>
        <v>0.26315789473684209</v>
      </c>
      <c r="V13" s="370"/>
      <c r="W13" s="295">
        <v>9</v>
      </c>
      <c r="X13" s="395">
        <f t="shared" ca="1" si="6"/>
        <v>0.23076923076923078</v>
      </c>
      <c r="Y13" s="370"/>
      <c r="Z13" s="295">
        <v>9</v>
      </c>
      <c r="AA13" s="395">
        <f t="shared" ca="1" si="7"/>
        <v>0.21951219512195122</v>
      </c>
      <c r="AB13" s="370"/>
      <c r="AC13" s="295">
        <f ca="1">Credit_2010Q4!$AD10</f>
        <v>6</v>
      </c>
      <c r="AD13" s="395">
        <f t="shared" ca="1" si="8"/>
        <v>0.17142857142857143</v>
      </c>
      <c r="AE13" s="370"/>
      <c r="AF13" s="295">
        <f ca="1">Credit_2011Q4!$AD10</f>
        <v>7</v>
      </c>
      <c r="AG13" s="395">
        <f t="shared" ca="1" si="9"/>
        <v>0.1891891891891892</v>
      </c>
      <c r="AH13" s="370"/>
      <c r="AI13" s="295">
        <f t="shared" ca="1" si="10"/>
        <v>5</v>
      </c>
      <c r="AJ13" s="395">
        <f t="shared" ca="1" si="11"/>
        <v>0.1388888888888889</v>
      </c>
      <c r="AK13" s="370"/>
      <c r="AL13" s="295">
        <f t="shared" ca="1" si="12"/>
        <v>6</v>
      </c>
      <c r="AM13" s="395">
        <f t="shared" ca="1" si="13"/>
        <v>0.17142857142857143</v>
      </c>
      <c r="AN13" s="370"/>
      <c r="AO13" s="295">
        <f t="shared" ca="1" si="29"/>
        <v>12</v>
      </c>
      <c r="AP13" s="395">
        <f t="shared" ca="1" si="14"/>
        <v>0.31578947368421051</v>
      </c>
      <c r="AQ13" s="370"/>
      <c r="AR13" s="295">
        <f t="shared" ca="1" si="15"/>
        <v>12</v>
      </c>
      <c r="AS13" s="395">
        <f t="shared" ca="1" si="16"/>
        <v>0.33333333333333331</v>
      </c>
      <c r="AT13" s="370"/>
      <c r="AU13" s="295">
        <f t="shared" ca="1" si="17"/>
        <v>13</v>
      </c>
      <c r="AV13" s="395">
        <f t="shared" ca="1" si="18"/>
        <v>0.3611111111111111</v>
      </c>
      <c r="AW13" s="370"/>
      <c r="AX13" s="295">
        <f t="shared" ca="1" si="19"/>
        <v>10</v>
      </c>
      <c r="AY13" s="395">
        <f t="shared" ca="1" si="20"/>
        <v>0.2857142857142857</v>
      </c>
      <c r="AZ13" s="370"/>
      <c r="BA13" s="295">
        <f t="shared" ca="1" si="30"/>
        <v>11</v>
      </c>
      <c r="BB13" s="395">
        <f t="shared" ca="1" si="21"/>
        <v>0.3235294117647059</v>
      </c>
      <c r="BC13" s="370"/>
      <c r="BD13" s="295">
        <f t="shared" ca="1" si="22"/>
        <v>11</v>
      </c>
      <c r="BE13" s="395">
        <f t="shared" ca="1" si="23"/>
        <v>0.31428571428571428</v>
      </c>
      <c r="BF13" s="370"/>
      <c r="BG13" s="388">
        <f t="shared" ca="1" si="24"/>
        <v>10</v>
      </c>
      <c r="BH13" s="399">
        <f t="shared" ca="1" si="25"/>
        <v>0.2857142857142857</v>
      </c>
      <c r="BK13" s="258">
        <f ca="1">BK12+1</f>
        <v>10</v>
      </c>
      <c r="BL13" s="255" t="str">
        <f t="shared" ref="BL13:BL16" ca="1" si="31">BL12</f>
        <v>o</v>
      </c>
      <c r="BM13" s="258" t="str">
        <f t="shared" ca="1" si="26"/>
        <v>'Credit_2012Q4'!o</v>
      </c>
      <c r="BO13" s="258" t="str">
        <f t="shared" ca="1" si="27"/>
        <v>'Credit_2013Q4'!o</v>
      </c>
      <c r="BQ13" s="258" t="str">
        <f t="shared" ca="1" si="28"/>
        <v>'Credit_2014Q4'!o</v>
      </c>
      <c r="BS13" s="258" t="str">
        <f t="shared" ca="1" si="28"/>
        <v>'Credit_2015Q4'!o</v>
      </c>
      <c r="BU13" s="258" t="str">
        <f t="shared" ca="1" si="28"/>
        <v>'Credit_2016Q4'!o</v>
      </c>
      <c r="BW13" s="258" t="str">
        <f t="shared" ca="1" si="28"/>
        <v>'Credit_2017Q4'!o</v>
      </c>
      <c r="BY13" s="258" t="str">
        <f t="shared" ca="1" si="28"/>
        <v>'Credit_2018Q4'!o</v>
      </c>
      <c r="CA13" s="258" t="str">
        <f t="shared" ca="1" si="28"/>
        <v>'Credit_2019Q4'!o</v>
      </c>
      <c r="CC13" s="258" t="str">
        <f t="shared" ca="1" si="28"/>
        <v>'Credit_2020Q2'!o</v>
      </c>
    </row>
    <row r="14" spans="3:81">
      <c r="C14" s="354"/>
      <c r="D14" s="354" t="s">
        <v>28</v>
      </c>
      <c r="E14" s="387">
        <v>6</v>
      </c>
      <c r="F14" s="370">
        <f t="shared" ca="1" si="0"/>
        <v>0.1875</v>
      </c>
      <c r="G14" s="355"/>
      <c r="H14" s="387">
        <v>6</v>
      </c>
      <c r="I14" s="370">
        <f t="shared" ca="1" si="1"/>
        <v>0.16666666666666666</v>
      </c>
      <c r="J14" s="355"/>
      <c r="K14" s="387">
        <v>8</v>
      </c>
      <c r="L14" s="370">
        <f t="shared" ca="1" si="2"/>
        <v>0.22222222222222221</v>
      </c>
      <c r="M14" s="355"/>
      <c r="N14" s="387">
        <v>9</v>
      </c>
      <c r="O14" s="370">
        <f t="shared" ca="1" si="3"/>
        <v>0.25</v>
      </c>
      <c r="P14" s="370"/>
      <c r="Q14" s="387">
        <v>9</v>
      </c>
      <c r="R14" s="370">
        <f t="shared" ca="1" si="4"/>
        <v>0.28125</v>
      </c>
      <c r="S14" s="370"/>
      <c r="T14" s="387">
        <v>8</v>
      </c>
      <c r="U14" s="370">
        <f t="shared" ca="1" si="5"/>
        <v>0.21052631578947367</v>
      </c>
      <c r="V14" s="370"/>
      <c r="W14" s="387">
        <v>9</v>
      </c>
      <c r="X14" s="395">
        <f t="shared" ca="1" si="6"/>
        <v>0.23076923076923078</v>
      </c>
      <c r="Y14" s="370"/>
      <c r="Z14" s="387">
        <v>11</v>
      </c>
      <c r="AA14" s="395">
        <f t="shared" ca="1" si="7"/>
        <v>0.26829268292682928</v>
      </c>
      <c r="AB14" s="370"/>
      <c r="AC14" s="387">
        <f ca="1">Credit_2010Q4!$AD11</f>
        <v>11</v>
      </c>
      <c r="AD14" s="395">
        <f t="shared" ca="1" si="8"/>
        <v>0.31428571428571428</v>
      </c>
      <c r="AE14" s="370"/>
      <c r="AF14" s="387">
        <f ca="1">Credit_2011Q4!$AD11</f>
        <v>13</v>
      </c>
      <c r="AG14" s="395">
        <f t="shared" ca="1" si="9"/>
        <v>0.35135135135135137</v>
      </c>
      <c r="AH14" s="370"/>
      <c r="AI14" s="387">
        <f t="shared" ca="1" si="10"/>
        <v>13</v>
      </c>
      <c r="AJ14" s="395">
        <f t="shared" ca="1" si="11"/>
        <v>0.3611111111111111</v>
      </c>
      <c r="AK14" s="370"/>
      <c r="AL14" s="387">
        <f t="shared" ca="1" si="12"/>
        <v>17</v>
      </c>
      <c r="AM14" s="395">
        <f t="shared" ca="1" si="13"/>
        <v>0.48571428571428571</v>
      </c>
      <c r="AN14" s="370"/>
      <c r="AO14" s="387">
        <f t="shared" ca="1" si="29"/>
        <v>14</v>
      </c>
      <c r="AP14" s="395">
        <f t="shared" ca="1" si="14"/>
        <v>0.36842105263157893</v>
      </c>
      <c r="AQ14" s="370"/>
      <c r="AR14" s="387">
        <f t="shared" ca="1" si="15"/>
        <v>12</v>
      </c>
      <c r="AS14" s="395">
        <f t="shared" ca="1" si="16"/>
        <v>0.33333333333333331</v>
      </c>
      <c r="AT14" s="370"/>
      <c r="AU14" s="387">
        <f t="shared" ca="1" si="17"/>
        <v>8</v>
      </c>
      <c r="AV14" s="395">
        <f t="shared" ca="1" si="18"/>
        <v>0.22222222222222221</v>
      </c>
      <c r="AW14" s="370"/>
      <c r="AX14" s="387">
        <f t="shared" ca="1" si="19"/>
        <v>7</v>
      </c>
      <c r="AY14" s="395">
        <f t="shared" ca="1" si="20"/>
        <v>0.2</v>
      </c>
      <c r="AZ14" s="370"/>
      <c r="BA14" s="387">
        <f t="shared" ca="1" si="30"/>
        <v>7</v>
      </c>
      <c r="BB14" s="395">
        <f t="shared" ca="1" si="21"/>
        <v>0.20588235294117646</v>
      </c>
      <c r="BC14" s="370"/>
      <c r="BD14" s="387">
        <f t="shared" ca="1" si="22"/>
        <v>8</v>
      </c>
      <c r="BE14" s="395">
        <f t="shared" ca="1" si="23"/>
        <v>0.22857142857142856</v>
      </c>
      <c r="BF14" s="370"/>
      <c r="BG14" s="388">
        <f t="shared" ca="1" si="24"/>
        <v>9</v>
      </c>
      <c r="BH14" s="399">
        <f t="shared" ca="1" si="25"/>
        <v>0.25714285714285712</v>
      </c>
      <c r="BK14" s="258">
        <f ca="1">BK13+1</f>
        <v>11</v>
      </c>
      <c r="BL14" s="255" t="str">
        <f t="shared" ca="1" si="31"/>
        <v>o</v>
      </c>
      <c r="BM14" s="258" t="str">
        <f t="shared" ca="1" si="26"/>
        <v>'Credit_2012Q4'!o</v>
      </c>
      <c r="BO14" s="258" t="str">
        <f t="shared" ca="1" si="27"/>
        <v>'Credit_2013Q4'!o</v>
      </c>
      <c r="BQ14" s="258" t="str">
        <f t="shared" ca="1" si="28"/>
        <v>'Credit_2014Q4'!o</v>
      </c>
      <c r="BS14" s="258" t="str">
        <f t="shared" ca="1" si="28"/>
        <v>'Credit_2015Q4'!o</v>
      </c>
      <c r="BU14" s="258" t="str">
        <f t="shared" ca="1" si="28"/>
        <v>'Credit_2016Q4'!o</v>
      </c>
      <c r="BW14" s="258" t="str">
        <f t="shared" ca="1" si="28"/>
        <v>'Credit_2017Q4'!o</v>
      </c>
      <c r="BY14" s="258" t="str">
        <f t="shared" ca="1" si="28"/>
        <v>'Credit_2018Q4'!o</v>
      </c>
      <c r="CA14" s="258" t="str">
        <f t="shared" ca="1" si="28"/>
        <v>'Credit_2019Q4'!o</v>
      </c>
      <c r="CC14" s="258" t="str">
        <f t="shared" ca="1" si="28"/>
        <v>'Credit_2020Q2'!o</v>
      </c>
    </row>
    <row r="15" spans="3:81">
      <c r="C15" s="354"/>
      <c r="D15" s="354" t="s">
        <v>49</v>
      </c>
      <c r="E15" s="387">
        <v>4</v>
      </c>
      <c r="F15" s="370">
        <f t="shared" ca="1" si="0"/>
        <v>0.125</v>
      </c>
      <c r="G15" s="355"/>
      <c r="H15" s="387">
        <v>5</v>
      </c>
      <c r="I15" s="370">
        <f t="shared" ca="1" si="1"/>
        <v>0.1388888888888889</v>
      </c>
      <c r="J15" s="355"/>
      <c r="K15" s="387">
        <v>5</v>
      </c>
      <c r="L15" s="370">
        <f t="shared" ca="1" si="2"/>
        <v>0.1388888888888889</v>
      </c>
      <c r="M15" s="355"/>
      <c r="N15" s="387">
        <v>3</v>
      </c>
      <c r="O15" s="370">
        <f t="shared" ca="1" si="3"/>
        <v>8.3333333333333329E-2</v>
      </c>
      <c r="P15" s="370"/>
      <c r="Q15" s="387">
        <v>3</v>
      </c>
      <c r="R15" s="370">
        <f t="shared" ca="1" si="4"/>
        <v>9.375E-2</v>
      </c>
      <c r="S15" s="370"/>
      <c r="T15" s="387">
        <v>7</v>
      </c>
      <c r="U15" s="370">
        <f t="shared" ca="1" si="5"/>
        <v>0.18421052631578946</v>
      </c>
      <c r="V15" s="370"/>
      <c r="W15" s="387">
        <v>9</v>
      </c>
      <c r="X15" s="395">
        <f t="shared" ca="1" si="6"/>
        <v>0.23076923076923078</v>
      </c>
      <c r="Y15" s="370"/>
      <c r="Z15" s="387">
        <v>8</v>
      </c>
      <c r="AA15" s="395">
        <f t="shared" ca="1" si="7"/>
        <v>0.1951219512195122</v>
      </c>
      <c r="AB15" s="370"/>
      <c r="AC15" s="387">
        <f ca="1">Credit_2010Q4!$AD12</f>
        <v>6</v>
      </c>
      <c r="AD15" s="395">
        <f t="shared" ca="1" si="8"/>
        <v>0.17142857142857143</v>
      </c>
      <c r="AE15" s="370"/>
      <c r="AF15" s="387">
        <f ca="1">Credit_2011Q4!$AD12</f>
        <v>5</v>
      </c>
      <c r="AG15" s="395">
        <f t="shared" ca="1" si="9"/>
        <v>0.13513513513513514</v>
      </c>
      <c r="AH15" s="370"/>
      <c r="AI15" s="387">
        <f t="shared" ca="1" si="10"/>
        <v>6</v>
      </c>
      <c r="AJ15" s="395">
        <f t="shared" ca="1" si="11"/>
        <v>0.16666666666666666</v>
      </c>
      <c r="AK15" s="370"/>
      <c r="AL15" s="387">
        <f t="shared" ca="1" si="12"/>
        <v>2</v>
      </c>
      <c r="AM15" s="395">
        <f t="shared" ca="1" si="13"/>
        <v>5.7142857142857141E-2</v>
      </c>
      <c r="AN15" s="370"/>
      <c r="AO15" s="387">
        <f t="shared" ca="1" si="29"/>
        <v>1</v>
      </c>
      <c r="AP15" s="395">
        <f t="shared" ca="1" si="14"/>
        <v>2.6315789473684209E-2</v>
      </c>
      <c r="AQ15" s="370"/>
      <c r="AR15" s="387">
        <f t="shared" ca="1" si="15"/>
        <v>1</v>
      </c>
      <c r="AS15" s="395">
        <f t="shared" ca="1" si="16"/>
        <v>2.7777777777777776E-2</v>
      </c>
      <c r="AT15" s="370"/>
      <c r="AU15" s="387">
        <f t="shared" ca="1" si="17"/>
        <v>3</v>
      </c>
      <c r="AV15" s="395">
        <f t="shared" ca="1" si="18"/>
        <v>8.3333333333333329E-2</v>
      </c>
      <c r="AW15" s="370"/>
      <c r="AX15" s="387">
        <f t="shared" ca="1" si="19"/>
        <v>4</v>
      </c>
      <c r="AY15" s="395">
        <f t="shared" ca="1" si="20"/>
        <v>0.11428571428571428</v>
      </c>
      <c r="AZ15" s="370"/>
      <c r="BA15" s="387">
        <f t="shared" ca="1" si="30"/>
        <v>4</v>
      </c>
      <c r="BB15" s="395">
        <f t="shared" ca="1" si="21"/>
        <v>0.11764705882352941</v>
      </c>
      <c r="BC15" s="370"/>
      <c r="BD15" s="387">
        <f t="shared" ca="1" si="22"/>
        <v>2</v>
      </c>
      <c r="BE15" s="395">
        <f t="shared" ca="1" si="23"/>
        <v>5.7142857142857141E-2</v>
      </c>
      <c r="BF15" s="370"/>
      <c r="BG15" s="388">
        <f t="shared" ca="1" si="24"/>
        <v>2</v>
      </c>
      <c r="BH15" s="399">
        <f t="shared" ca="1" si="25"/>
        <v>5.7142857142857141E-2</v>
      </c>
      <c r="BK15" s="258">
        <f ca="1">BK14+1</f>
        <v>12</v>
      </c>
      <c r="BL15" s="255" t="str">
        <f t="shared" ca="1" si="31"/>
        <v>o</v>
      </c>
      <c r="BM15" s="258" t="str">
        <f t="shared" ca="1" si="26"/>
        <v>'Credit_2012Q4'!o</v>
      </c>
      <c r="BO15" s="258" t="str">
        <f t="shared" ca="1" si="27"/>
        <v>'Credit_2013Q4'!o</v>
      </c>
      <c r="BQ15" s="258" t="str">
        <f t="shared" ca="1" si="28"/>
        <v>'Credit_2014Q4'!o</v>
      </c>
      <c r="BS15" s="258" t="str">
        <f t="shared" ca="1" si="28"/>
        <v>'Credit_2015Q4'!o</v>
      </c>
      <c r="BU15" s="258" t="str">
        <f t="shared" ca="1" si="28"/>
        <v>'Credit_2016Q4'!o</v>
      </c>
      <c r="BW15" s="258" t="str">
        <f t="shared" ca="1" si="28"/>
        <v>'Credit_2017Q4'!o</v>
      </c>
      <c r="BY15" s="258" t="str">
        <f t="shared" ca="1" si="28"/>
        <v>'Credit_2018Q4'!o</v>
      </c>
      <c r="CA15" s="258" t="str">
        <f t="shared" ca="1" si="28"/>
        <v>'Credit_2019Q4'!o</v>
      </c>
      <c r="CC15" s="258" t="str">
        <f t="shared" ca="1" si="28"/>
        <v>'Credit_2020Q2'!o</v>
      </c>
    </row>
    <row r="16" spans="3:81">
      <c r="C16" s="356"/>
      <c r="D16" s="356" t="s">
        <v>79</v>
      </c>
      <c r="E16" s="389">
        <v>6</v>
      </c>
      <c r="F16" s="371">
        <f t="shared" ca="1" si="0"/>
        <v>0.1875</v>
      </c>
      <c r="G16" s="357"/>
      <c r="H16" s="389">
        <v>8</v>
      </c>
      <c r="I16" s="371">
        <f t="shared" ca="1" si="1"/>
        <v>0.22222222222222221</v>
      </c>
      <c r="J16" s="358"/>
      <c r="K16" s="389">
        <v>5</v>
      </c>
      <c r="L16" s="371">
        <f t="shared" ca="1" si="2"/>
        <v>0.1388888888888889</v>
      </c>
      <c r="M16" s="357"/>
      <c r="N16" s="389">
        <v>6</v>
      </c>
      <c r="O16" s="371">
        <f t="shared" ca="1" si="3"/>
        <v>0.16666666666666666</v>
      </c>
      <c r="P16" s="371"/>
      <c r="Q16" s="389">
        <v>6</v>
      </c>
      <c r="R16" s="371">
        <f t="shared" ca="1" si="4"/>
        <v>0.1875</v>
      </c>
      <c r="S16" s="371"/>
      <c r="T16" s="389">
        <v>6</v>
      </c>
      <c r="U16" s="393">
        <f t="shared" ca="1" si="5"/>
        <v>0.15789473684210525</v>
      </c>
      <c r="V16" s="371"/>
      <c r="W16" s="389">
        <v>5</v>
      </c>
      <c r="X16" s="371">
        <f t="shared" ca="1" si="6"/>
        <v>0.12820512820512819</v>
      </c>
      <c r="Y16" s="371"/>
      <c r="Z16" s="389">
        <v>4</v>
      </c>
      <c r="AA16" s="371">
        <f t="shared" ca="1" si="7"/>
        <v>9.7560975609756101E-2</v>
      </c>
      <c r="AB16" s="371"/>
      <c r="AC16" s="389">
        <f ca="1">Credit_2010Q4!$AD13</f>
        <v>4</v>
      </c>
      <c r="AD16" s="371">
        <f t="shared" ca="1" si="8"/>
        <v>0.11428571428571428</v>
      </c>
      <c r="AE16" s="371"/>
      <c r="AF16" s="389">
        <f ca="1">Credit_2011Q4!$AD13</f>
        <v>4</v>
      </c>
      <c r="AG16" s="371">
        <f t="shared" ca="1" si="9"/>
        <v>0.10810810810810811</v>
      </c>
      <c r="AH16" s="371"/>
      <c r="AI16" s="389">
        <f t="shared" ca="1" si="10"/>
        <v>4</v>
      </c>
      <c r="AJ16" s="371">
        <f t="shared" ca="1" si="11"/>
        <v>0.1111111111111111</v>
      </c>
      <c r="AK16" s="371"/>
      <c r="AL16" s="389">
        <f t="shared" ca="1" si="12"/>
        <v>2</v>
      </c>
      <c r="AM16" s="371">
        <f t="shared" ca="1" si="13"/>
        <v>5.7142857142857141E-2</v>
      </c>
      <c r="AN16" s="371"/>
      <c r="AO16" s="389">
        <f t="shared" ca="1" si="29"/>
        <v>2</v>
      </c>
      <c r="AP16" s="371">
        <f t="shared" ca="1" si="14"/>
        <v>5.2631578947368418E-2</v>
      </c>
      <c r="AQ16" s="371"/>
      <c r="AR16" s="389">
        <f t="shared" ca="1" si="15"/>
        <v>2</v>
      </c>
      <c r="AS16" s="371">
        <f t="shared" ca="1" si="16"/>
        <v>5.5555555555555552E-2</v>
      </c>
      <c r="AT16" s="371"/>
      <c r="AU16" s="389">
        <f t="shared" ca="1" si="17"/>
        <v>0</v>
      </c>
      <c r="AV16" s="371">
        <f t="shared" ca="1" si="18"/>
        <v>0</v>
      </c>
      <c r="AW16" s="371"/>
      <c r="AX16" s="389">
        <f t="shared" ca="1" si="19"/>
        <v>0</v>
      </c>
      <c r="AY16" s="371">
        <f t="shared" ca="1" si="20"/>
        <v>0</v>
      </c>
      <c r="AZ16" s="371"/>
      <c r="BA16" s="389">
        <f t="shared" ca="1" si="30"/>
        <v>0</v>
      </c>
      <c r="BB16" s="371">
        <f t="shared" ca="1" si="21"/>
        <v>0</v>
      </c>
      <c r="BC16" s="371"/>
      <c r="BD16" s="389">
        <f t="shared" ca="1" si="22"/>
        <v>2</v>
      </c>
      <c r="BE16" s="371">
        <f t="shared" ca="1" si="23"/>
        <v>5.7142857142857141E-2</v>
      </c>
      <c r="BF16" s="371"/>
      <c r="BG16" s="390">
        <f t="shared" ca="1" si="24"/>
        <v>2</v>
      </c>
      <c r="BH16" s="400">
        <f t="shared" ca="1" si="25"/>
        <v>5.7142857142857141E-2</v>
      </c>
      <c r="BK16" s="258">
        <f ca="1">BK15+1</f>
        <v>13</v>
      </c>
      <c r="BL16" s="255" t="str">
        <f t="shared" ca="1" si="31"/>
        <v>o</v>
      </c>
      <c r="BM16" s="258" t="str">
        <f t="shared" ca="1" si="26"/>
        <v>'Credit_2012Q4'!o</v>
      </c>
      <c r="BO16" s="258" t="str">
        <f t="shared" ca="1" si="27"/>
        <v>'Credit_2013Q4'!o</v>
      </c>
      <c r="BQ16" s="258" t="str">
        <f t="shared" ca="1" si="28"/>
        <v>'Credit_2014Q4'!o</v>
      </c>
      <c r="BS16" s="258" t="str">
        <f t="shared" ca="1" si="28"/>
        <v>'Credit_2015Q4'!o</v>
      </c>
      <c r="BU16" s="258" t="str">
        <f t="shared" ca="1" si="28"/>
        <v>'Credit_2016Q4'!o</v>
      </c>
      <c r="BW16" s="258" t="str">
        <f t="shared" ca="1" si="28"/>
        <v>'Credit_2017Q4'!o</v>
      </c>
      <c r="BY16" s="258" t="str">
        <f t="shared" ca="1" si="28"/>
        <v>'Credit_2018Q4'!o</v>
      </c>
      <c r="CA16" s="258" t="str">
        <f t="shared" ca="1" si="28"/>
        <v>'Credit_2019Q4'!o</v>
      </c>
      <c r="CC16" s="258" t="str">
        <f t="shared" ca="1" si="28"/>
        <v>'Credit_2020Q2'!o</v>
      </c>
    </row>
    <row r="17" spans="3:81">
      <c r="C17" s="359"/>
      <c r="D17" s="359" t="s">
        <v>80</v>
      </c>
      <c r="E17" s="391">
        <f t="shared" ref="E17:AA17" ca="1" si="32">SUM(E11:E16)</f>
        <v>32</v>
      </c>
      <c r="F17" s="372">
        <f t="shared" ca="1" si="32"/>
        <v>1</v>
      </c>
      <c r="G17" s="360"/>
      <c r="H17" s="391">
        <f t="shared" ca="1" si="32"/>
        <v>36</v>
      </c>
      <c r="I17" s="372">
        <f t="shared" ca="1" si="32"/>
        <v>0.99999999999999989</v>
      </c>
      <c r="J17" s="360"/>
      <c r="K17" s="391">
        <f t="shared" ca="1" si="32"/>
        <v>36</v>
      </c>
      <c r="L17" s="372">
        <f t="shared" ca="1" si="32"/>
        <v>1</v>
      </c>
      <c r="M17" s="360"/>
      <c r="N17" s="391">
        <f ca="1">SUM(N11:N16)</f>
        <v>36</v>
      </c>
      <c r="O17" s="372">
        <f ca="1">SUM(O11:O16)</f>
        <v>1</v>
      </c>
      <c r="P17" s="372"/>
      <c r="Q17" s="391">
        <f ca="1">SUM(Q11:Q16)</f>
        <v>32</v>
      </c>
      <c r="R17" s="372">
        <f t="shared" ca="1" si="32"/>
        <v>1</v>
      </c>
      <c r="S17" s="372"/>
      <c r="T17" s="391">
        <f ca="1">SUM(T11:T16)</f>
        <v>38</v>
      </c>
      <c r="U17" s="372">
        <f t="shared" ca="1" si="32"/>
        <v>1</v>
      </c>
      <c r="V17" s="372"/>
      <c r="W17" s="391">
        <f ca="1">SUM(W11:W16)</f>
        <v>39</v>
      </c>
      <c r="X17" s="372">
        <f t="shared" ca="1" si="32"/>
        <v>1</v>
      </c>
      <c r="Y17" s="372"/>
      <c r="Z17" s="391">
        <f ca="1">SUM(Z11:Z16)</f>
        <v>41</v>
      </c>
      <c r="AA17" s="372">
        <f t="shared" ca="1" si="32"/>
        <v>0.99999999999999989</v>
      </c>
      <c r="AB17" s="372"/>
      <c r="AC17" s="391">
        <f t="shared" ref="AC17:AF17" ca="1" si="33">SUM(AC11:AC16)</f>
        <v>35</v>
      </c>
      <c r="AD17" s="372">
        <f t="shared" ca="1" si="33"/>
        <v>1</v>
      </c>
      <c r="AE17" s="372"/>
      <c r="AF17" s="391">
        <f t="shared" ca="1" si="33"/>
        <v>37</v>
      </c>
      <c r="AG17" s="372">
        <f t="shared" ref="AG17" ca="1" si="34">SUM(AG11:AG16)</f>
        <v>1</v>
      </c>
      <c r="AH17" s="372"/>
      <c r="AI17" s="391">
        <f ca="1">SUM(AI11:AI16)</f>
        <v>36</v>
      </c>
      <c r="AJ17" s="372">
        <f t="shared" ref="AJ17" ca="1" si="35">SUM(AJ11:AJ16)</f>
        <v>1</v>
      </c>
      <c r="AK17" s="372"/>
      <c r="AL17" s="391">
        <f ca="1">SUM(AL11:AL16)</f>
        <v>35</v>
      </c>
      <c r="AM17" s="372">
        <f ca="1">SUM(AM11:AM16)</f>
        <v>1</v>
      </c>
      <c r="AN17" s="372"/>
      <c r="AO17" s="391">
        <f ca="1">SUM(AO11:AO16)</f>
        <v>38</v>
      </c>
      <c r="AP17" s="372">
        <f ca="1">SUM(AP11:AP16)</f>
        <v>1</v>
      </c>
      <c r="AQ17" s="372"/>
      <c r="AR17" s="391">
        <f ca="1">SUM(AR11:AR16)</f>
        <v>36</v>
      </c>
      <c r="AS17" s="372">
        <f ca="1">SUM(AS11:AS16)</f>
        <v>0.99999999999999989</v>
      </c>
      <c r="AT17" s="372"/>
      <c r="AU17" s="391">
        <f ca="1">SUM(AU11:AU16)</f>
        <v>36</v>
      </c>
      <c r="AV17" s="372">
        <f ca="1">SUM(AV11:AV16)</f>
        <v>1</v>
      </c>
      <c r="AW17" s="372"/>
      <c r="AX17" s="391">
        <f ca="1">SUM(AX11:AX16)</f>
        <v>35</v>
      </c>
      <c r="AY17" s="372">
        <f ca="1">SUM(AY11:AY16)</f>
        <v>1</v>
      </c>
      <c r="AZ17" s="372"/>
      <c r="BA17" s="391">
        <f ca="1">SUM(BA11:BA16)</f>
        <v>34</v>
      </c>
      <c r="BB17" s="372">
        <f ca="1">SUM(BB11:BB16)</f>
        <v>1</v>
      </c>
      <c r="BC17" s="372"/>
      <c r="BD17" s="391">
        <f ca="1">SUM(BD11:BD16)</f>
        <v>35</v>
      </c>
      <c r="BE17" s="372">
        <f ca="1">SUM(BE11:BE16)</f>
        <v>1</v>
      </c>
      <c r="BF17" s="372"/>
      <c r="BG17" s="392">
        <f ca="1">SUM(BG11:BG16)</f>
        <v>35</v>
      </c>
      <c r="BH17" s="401">
        <f ca="1">SUM(BH11:BH16)</f>
        <v>1</v>
      </c>
    </row>
    <row r="18" spans="3:81">
      <c r="C18" s="361"/>
      <c r="D18" s="361"/>
      <c r="E18" s="378"/>
      <c r="F18" s="373"/>
      <c r="G18" s="362"/>
      <c r="H18" s="378"/>
      <c r="I18" s="373"/>
      <c r="J18" s="362"/>
      <c r="K18" s="378"/>
      <c r="L18" s="373"/>
      <c r="M18" s="362"/>
      <c r="N18" s="378"/>
      <c r="O18" s="373"/>
      <c r="P18" s="373"/>
      <c r="Q18" s="378"/>
      <c r="R18" s="373"/>
      <c r="S18" s="373"/>
      <c r="T18" s="378"/>
      <c r="U18" s="373"/>
      <c r="V18" s="373"/>
      <c r="W18" s="378"/>
      <c r="X18" s="373"/>
      <c r="Y18" s="373"/>
      <c r="Z18" s="378"/>
      <c r="AA18" s="373"/>
      <c r="AB18" s="373"/>
      <c r="AC18" s="378"/>
      <c r="AD18" s="373"/>
      <c r="AE18" s="373"/>
      <c r="AF18" s="378"/>
      <c r="AG18" s="373"/>
      <c r="AH18" s="373"/>
      <c r="AI18" s="378"/>
      <c r="AJ18" s="373"/>
      <c r="AK18" s="373"/>
      <c r="AL18" s="378"/>
      <c r="AM18" s="373"/>
      <c r="AN18" s="373"/>
      <c r="AO18" s="378"/>
      <c r="AP18" s="373"/>
      <c r="AQ18" s="373"/>
      <c r="AR18" s="378"/>
      <c r="AS18" s="373"/>
      <c r="AT18" s="373"/>
      <c r="AU18" s="378"/>
      <c r="AV18" s="373"/>
      <c r="AW18" s="373"/>
      <c r="AX18" s="378"/>
      <c r="AY18" s="373"/>
      <c r="AZ18" s="373"/>
      <c r="BA18" s="378"/>
      <c r="BB18" s="373"/>
      <c r="BC18" s="373"/>
      <c r="BD18" s="378"/>
      <c r="BE18" s="373"/>
      <c r="BF18" s="373"/>
      <c r="BG18" s="379"/>
      <c r="BH18" s="402"/>
    </row>
    <row r="19" spans="3:81">
      <c r="C19" s="361"/>
      <c r="D19" s="361"/>
      <c r="E19" s="378"/>
      <c r="F19" s="373"/>
      <c r="G19" s="362"/>
      <c r="H19" s="378"/>
      <c r="I19" s="373"/>
      <c r="J19" s="362"/>
      <c r="K19" s="378"/>
      <c r="L19" s="373"/>
      <c r="M19" s="362"/>
      <c r="N19" s="378"/>
      <c r="O19" s="373"/>
      <c r="P19" s="373"/>
      <c r="Q19" s="378"/>
      <c r="R19" s="373"/>
      <c r="S19" s="373"/>
      <c r="T19" s="378"/>
      <c r="U19" s="373"/>
      <c r="V19" s="373"/>
      <c r="W19" s="378"/>
      <c r="X19" s="373"/>
      <c r="Y19" s="373"/>
      <c r="Z19" s="378"/>
      <c r="AA19" s="373"/>
      <c r="AB19" s="373"/>
      <c r="AC19" s="378"/>
      <c r="AD19" s="373"/>
      <c r="AE19" s="373"/>
      <c r="AF19" s="378"/>
      <c r="AG19" s="373"/>
      <c r="AH19" s="373"/>
      <c r="AI19" s="378"/>
      <c r="AJ19" s="373"/>
      <c r="AK19" s="373"/>
      <c r="AL19" s="378"/>
      <c r="AM19" s="373"/>
      <c r="AN19" s="373"/>
      <c r="AO19" s="378"/>
      <c r="AP19" s="373"/>
      <c r="AQ19" s="373"/>
      <c r="AR19" s="378"/>
      <c r="AS19" s="373"/>
      <c r="AT19" s="373"/>
      <c r="AU19" s="378"/>
      <c r="AV19" s="373"/>
      <c r="AW19" s="373"/>
      <c r="AX19" s="378"/>
      <c r="AY19" s="373"/>
      <c r="AZ19" s="373"/>
      <c r="BA19" s="378"/>
      <c r="BB19" s="373"/>
      <c r="BC19" s="373"/>
      <c r="BD19" s="378"/>
      <c r="BE19" s="373"/>
      <c r="BF19" s="373"/>
      <c r="BG19" s="379"/>
      <c r="BH19" s="402"/>
    </row>
    <row r="20" spans="3:81">
      <c r="C20" s="348"/>
      <c r="D20" s="348" t="s">
        <v>139</v>
      </c>
      <c r="E20" s="382"/>
      <c r="F20" s="374"/>
      <c r="G20" s="363"/>
      <c r="H20" s="382"/>
      <c r="I20" s="374"/>
      <c r="J20" s="363"/>
      <c r="K20" s="382"/>
      <c r="L20" s="374"/>
      <c r="M20" s="363"/>
      <c r="N20" s="382"/>
      <c r="O20" s="374"/>
      <c r="P20" s="374"/>
      <c r="Q20" s="382"/>
      <c r="R20" s="374"/>
      <c r="S20" s="374"/>
      <c r="T20" s="382"/>
      <c r="U20" s="374"/>
      <c r="V20" s="374"/>
      <c r="W20" s="383"/>
      <c r="X20" s="396"/>
      <c r="Y20" s="374"/>
      <c r="Z20" s="383"/>
      <c r="AA20" s="396"/>
      <c r="AB20" s="374"/>
      <c r="AC20" s="383"/>
      <c r="AD20" s="396"/>
      <c r="AE20" s="374"/>
      <c r="AF20" s="383"/>
      <c r="AG20" s="396"/>
      <c r="AH20" s="374"/>
      <c r="AI20" s="383"/>
      <c r="AJ20" s="396"/>
      <c r="AK20" s="374"/>
      <c r="AL20" s="383"/>
      <c r="AM20" s="396"/>
      <c r="AN20" s="374"/>
      <c r="AO20" s="383"/>
      <c r="AP20" s="396"/>
      <c r="AQ20" s="374"/>
      <c r="AR20" s="383"/>
      <c r="AS20" s="396"/>
      <c r="AT20" s="374"/>
      <c r="AU20" s="383"/>
      <c r="AV20" s="396"/>
      <c r="AW20" s="374"/>
      <c r="AX20" s="383"/>
      <c r="AY20" s="396"/>
      <c r="AZ20" s="374"/>
      <c r="BA20" s="383"/>
      <c r="BB20" s="396"/>
      <c r="BC20" s="374"/>
      <c r="BD20" s="383"/>
      <c r="BE20" s="396"/>
      <c r="BF20" s="374"/>
      <c r="BG20" s="384"/>
      <c r="BH20" s="403"/>
    </row>
    <row r="21" spans="3:81">
      <c r="C21" s="350"/>
      <c r="D21" s="350" t="s">
        <v>138</v>
      </c>
      <c r="E21" s="385">
        <v>5</v>
      </c>
      <c r="F21" s="369">
        <v>0.20833333333333334</v>
      </c>
      <c r="G21" s="351"/>
      <c r="H21" s="385">
        <v>3</v>
      </c>
      <c r="I21" s="369">
        <v>0.15</v>
      </c>
      <c r="J21" s="351"/>
      <c r="K21" s="385">
        <v>2</v>
      </c>
      <c r="L21" s="369">
        <v>8.6956521739130432E-2</v>
      </c>
      <c r="M21" s="351"/>
      <c r="N21" s="385">
        <v>2</v>
      </c>
      <c r="O21" s="369">
        <f t="shared" ref="O21:O26" ca="1" si="36">N21/$N$27</f>
        <v>9.0909090909090912E-2</v>
      </c>
      <c r="P21" s="369"/>
      <c r="Q21" s="385">
        <v>1</v>
      </c>
      <c r="R21" s="369">
        <f t="shared" ref="R21:R26" ca="1" si="37">Q21/$Q$27</f>
        <v>4.3478260869565216E-2</v>
      </c>
      <c r="S21" s="369"/>
      <c r="T21" s="293">
        <v>1</v>
      </c>
      <c r="U21" s="369">
        <f t="shared" ref="U21:U26" ca="1" si="38">T21/$T$27</f>
        <v>5.2631578947368418E-2</v>
      </c>
      <c r="V21" s="369"/>
      <c r="W21" s="385">
        <v>1</v>
      </c>
      <c r="X21" s="394">
        <f t="shared" ref="X21:X26" ca="1" si="39">W21/$W$27</f>
        <v>5.2631578947368418E-2</v>
      </c>
      <c r="Y21" s="369"/>
      <c r="Z21" s="385">
        <v>2</v>
      </c>
      <c r="AA21" s="394">
        <f t="shared" ref="AA21:AA26" ca="1" si="40">Z21/Z$27</f>
        <v>0.10526315789473684</v>
      </c>
      <c r="AB21" s="369"/>
      <c r="AC21" s="385">
        <f ca="1">Credit_2010Q4!$AD19</f>
        <v>1</v>
      </c>
      <c r="AD21" s="394">
        <f t="shared" ref="AD21:AD26" ca="1" si="41">AC21/AC$27</f>
        <v>0.05</v>
      </c>
      <c r="AE21" s="369"/>
      <c r="AF21" s="385">
        <f ca="1">Credit_2011Q4!$AD19</f>
        <v>1</v>
      </c>
      <c r="AG21" s="394">
        <f t="shared" ref="AG21:AG26" ca="1" si="42">AF21/AF$27</f>
        <v>5.2631578947368418E-2</v>
      </c>
      <c r="AH21" s="369"/>
      <c r="AI21" s="293">
        <f t="shared" ref="AI21:AI26" ca="1" si="43">INDIRECT( BM21 &amp; $BK21 )</f>
        <v>1</v>
      </c>
      <c r="AJ21" s="394">
        <f t="shared" ref="AJ21:AJ26" ca="1" si="44">AI21/AI$27</f>
        <v>5.8823529411764705E-2</v>
      </c>
      <c r="AK21" s="369"/>
      <c r="AL21" s="293">
        <f t="shared" ref="AL21:AL26" ca="1" si="45">INDIRECT( BO21 &amp; $BK21 )</f>
        <v>1</v>
      </c>
      <c r="AM21" s="394">
        <f t="shared" ref="AM21:AM26" ca="1" si="46">AL21/AL$27</f>
        <v>5.8823529411764705E-2</v>
      </c>
      <c r="AN21" s="369"/>
      <c r="AO21" s="293">
        <f ca="1">INDIRECT( BQ21 &amp; $BK21 )</f>
        <v>1</v>
      </c>
      <c r="AP21" s="394">
        <f t="shared" ref="AP21:AP26" ca="1" si="47">AO21/AO$27</f>
        <v>7.6923076923076927E-2</v>
      </c>
      <c r="AQ21" s="369"/>
      <c r="AR21" s="293">
        <f t="shared" ref="AR21:AR26" ca="1" si="48">INDIRECT( BS21 &amp; $BK21 )</f>
        <v>1</v>
      </c>
      <c r="AS21" s="394">
        <f t="shared" ref="AS21:AS26" ca="1" si="49">AR21/AR$27</f>
        <v>7.6923076923076927E-2</v>
      </c>
      <c r="AT21" s="369"/>
      <c r="AU21" s="293">
        <f t="shared" ref="AU21:AU26" ca="1" si="50">INDIRECT( BU21 &amp; $BK21 )</f>
        <v>1</v>
      </c>
      <c r="AV21" s="394">
        <f t="shared" ref="AV21:AV26" ca="1" si="51">AU21/AU$27</f>
        <v>8.3333333333333329E-2</v>
      </c>
      <c r="AW21" s="369"/>
      <c r="AX21" s="293">
        <f t="shared" ref="AX21:AX26" ca="1" si="52">INDIRECT( BW21 &amp; $BK21 )</f>
        <v>1</v>
      </c>
      <c r="AY21" s="394">
        <f t="shared" ref="AY21:AY26" ca="1" si="53">AX21/AX$27</f>
        <v>7.1428571428571425E-2</v>
      </c>
      <c r="AZ21" s="369"/>
      <c r="BA21" s="293">
        <f t="shared" ca="1" si="30"/>
        <v>2</v>
      </c>
      <c r="BB21" s="394">
        <f t="shared" ref="BB21:BB26" ca="1" si="54">BA21/BA$27</f>
        <v>0.15384615384615385</v>
      </c>
      <c r="BC21" s="369"/>
      <c r="BD21" s="293">
        <f t="shared" ref="BD21:BD26" ca="1" si="55">INDIRECT( CA21 &amp; $BK21 )</f>
        <v>1</v>
      </c>
      <c r="BE21" s="394">
        <f t="shared" ref="BE21:BE26" ca="1" si="56">BD21/BD$27</f>
        <v>0.1</v>
      </c>
      <c r="BF21" s="369"/>
      <c r="BG21" s="386">
        <f t="shared" ref="BG21:BG26" ca="1" si="57">INDIRECT( CC21 &amp; $BK21 )</f>
        <v>1</v>
      </c>
      <c r="BH21" s="398">
        <f t="shared" ref="BH21:BH26" ca="1" si="58">BG21/BG$27</f>
        <v>0.1</v>
      </c>
      <c r="BK21" s="258">
        <f ca="1">BK11</f>
        <v>8</v>
      </c>
      <c r="BL21" s="353" t="s">
        <v>489</v>
      </c>
      <c r="BM21" s="258" t="str">
        <f t="shared" ref="BM21:BM26" ca="1" si="59">BM$5 &amp; "!" &amp;$BL21</f>
        <v>'Credit_2012Q4'!r</v>
      </c>
      <c r="BO21" s="258" t="str">
        <f t="shared" ref="BO21:BO26" ca="1" si="60">BO$5 &amp; "!" &amp;$BL21</f>
        <v>'Credit_2013Q4'!r</v>
      </c>
      <c r="BQ21" s="258" t="str">
        <f t="shared" ref="BQ21:CC26" ca="1" si="61">BQ$5 &amp; "!" &amp;$BL21</f>
        <v>'Credit_2014Q4'!r</v>
      </c>
      <c r="BS21" s="258" t="str">
        <f t="shared" ca="1" si="61"/>
        <v>'Credit_2015Q4'!r</v>
      </c>
      <c r="BU21" s="258" t="str">
        <f t="shared" ca="1" si="61"/>
        <v>'Credit_2016Q4'!r</v>
      </c>
      <c r="BW21" s="258" t="str">
        <f t="shared" ca="1" si="61"/>
        <v>'Credit_2017Q4'!r</v>
      </c>
      <c r="BY21" s="258" t="str">
        <f t="shared" ca="1" si="61"/>
        <v>'Credit_2018Q4'!r</v>
      </c>
      <c r="CA21" s="258" t="str">
        <f t="shared" ca="1" si="61"/>
        <v>'Credit_2019Q4'!r</v>
      </c>
      <c r="CC21" s="258" t="str">
        <f t="shared" ca="1" si="61"/>
        <v>'Credit_2020Q2'!r</v>
      </c>
    </row>
    <row r="22" spans="3:81">
      <c r="C22" s="354"/>
      <c r="D22" s="354" t="s">
        <v>10</v>
      </c>
      <c r="E22" s="295">
        <v>3</v>
      </c>
      <c r="F22" s="395">
        <v>0.125</v>
      </c>
      <c r="G22" s="438"/>
      <c r="H22" s="295">
        <v>2</v>
      </c>
      <c r="I22" s="395">
        <v>0.1</v>
      </c>
      <c r="J22" s="355"/>
      <c r="K22" s="295">
        <v>1</v>
      </c>
      <c r="L22" s="395">
        <v>4.3478260869565216E-2</v>
      </c>
      <c r="M22" s="438"/>
      <c r="N22" s="295">
        <v>0</v>
      </c>
      <c r="O22" s="395">
        <f t="shared" ca="1" si="36"/>
        <v>0</v>
      </c>
      <c r="P22" s="395"/>
      <c r="Q22" s="387">
        <v>2</v>
      </c>
      <c r="R22" s="370">
        <f t="shared" ca="1" si="37"/>
        <v>8.6956521739130432E-2</v>
      </c>
      <c r="S22" s="395"/>
      <c r="T22" s="295">
        <v>3</v>
      </c>
      <c r="U22" s="370">
        <f t="shared" ca="1" si="38"/>
        <v>0.15789473684210525</v>
      </c>
      <c r="V22" s="395"/>
      <c r="W22" s="387">
        <v>5</v>
      </c>
      <c r="X22" s="395">
        <f t="shared" ca="1" si="39"/>
        <v>0.26315789473684209</v>
      </c>
      <c r="Y22" s="395"/>
      <c r="Z22" s="387">
        <v>2</v>
      </c>
      <c r="AA22" s="395">
        <f t="shared" ca="1" si="40"/>
        <v>0.10526315789473684</v>
      </c>
      <c r="AB22" s="395"/>
      <c r="AC22" s="387">
        <f ca="1">Credit_2010Q4!$AD20</f>
        <v>3</v>
      </c>
      <c r="AD22" s="395">
        <f t="shared" ca="1" si="41"/>
        <v>0.15</v>
      </c>
      <c r="AE22" s="395"/>
      <c r="AF22" s="387">
        <f ca="1">Credit_2011Q4!$AD20</f>
        <v>3</v>
      </c>
      <c r="AG22" s="395">
        <f t="shared" ca="1" si="42"/>
        <v>0.15789473684210525</v>
      </c>
      <c r="AH22" s="395"/>
      <c r="AI22" s="295">
        <f t="shared" ca="1" si="43"/>
        <v>2</v>
      </c>
      <c r="AJ22" s="395">
        <f t="shared" ca="1" si="44"/>
        <v>0.11764705882352941</v>
      </c>
      <c r="AK22" s="395"/>
      <c r="AL22" s="295">
        <f t="shared" ca="1" si="45"/>
        <v>5</v>
      </c>
      <c r="AM22" s="395">
        <f t="shared" ca="1" si="46"/>
        <v>0.29411764705882354</v>
      </c>
      <c r="AN22" s="395"/>
      <c r="AO22" s="295">
        <f t="shared" ref="AO22:AO26" ca="1" si="62">INDIRECT( BQ22 &amp; $BK22 )</f>
        <v>4</v>
      </c>
      <c r="AP22" s="395">
        <f t="shared" ca="1" si="47"/>
        <v>0.30769230769230771</v>
      </c>
      <c r="AQ22" s="395"/>
      <c r="AR22" s="295">
        <f t="shared" ca="1" si="48"/>
        <v>5</v>
      </c>
      <c r="AS22" s="395">
        <f t="shared" ca="1" si="49"/>
        <v>0.38461538461538464</v>
      </c>
      <c r="AT22" s="395"/>
      <c r="AU22" s="295">
        <f t="shared" ca="1" si="50"/>
        <v>2</v>
      </c>
      <c r="AV22" s="395">
        <f t="shared" ca="1" si="51"/>
        <v>0.16666666666666666</v>
      </c>
      <c r="AW22" s="395"/>
      <c r="AX22" s="295">
        <f t="shared" ca="1" si="52"/>
        <v>2</v>
      </c>
      <c r="AY22" s="395">
        <f t="shared" ca="1" si="53"/>
        <v>0.14285714285714285</v>
      </c>
      <c r="AZ22" s="395"/>
      <c r="BA22" s="295">
        <f t="shared" ca="1" si="30"/>
        <v>2</v>
      </c>
      <c r="BB22" s="395">
        <f t="shared" ca="1" si="54"/>
        <v>0.15384615384615385</v>
      </c>
      <c r="BC22" s="395"/>
      <c r="BD22" s="295">
        <f t="shared" ca="1" si="55"/>
        <v>1</v>
      </c>
      <c r="BE22" s="395">
        <f t="shared" ca="1" si="56"/>
        <v>0.1</v>
      </c>
      <c r="BF22" s="395"/>
      <c r="BG22" s="388">
        <f t="shared" ca="1" si="57"/>
        <v>1</v>
      </c>
      <c r="BH22" s="399">
        <f t="shared" ca="1" si="58"/>
        <v>0.1</v>
      </c>
      <c r="BK22" s="258">
        <f t="shared" ref="BK22:BK26" ca="1" si="63">BK12</f>
        <v>9</v>
      </c>
      <c r="BL22" s="255" t="str">
        <f ca="1">BL21</f>
        <v>r</v>
      </c>
      <c r="BM22" s="258" t="str">
        <f t="shared" ca="1" si="59"/>
        <v>'Credit_2012Q4'!r</v>
      </c>
      <c r="BO22" s="258" t="str">
        <f t="shared" ca="1" si="60"/>
        <v>'Credit_2013Q4'!r</v>
      </c>
      <c r="BQ22" s="258" t="str">
        <f t="shared" ca="1" si="61"/>
        <v>'Credit_2014Q4'!r</v>
      </c>
      <c r="BS22" s="258" t="str">
        <f t="shared" ca="1" si="61"/>
        <v>'Credit_2015Q4'!r</v>
      </c>
      <c r="BU22" s="258" t="str">
        <f t="shared" ca="1" si="61"/>
        <v>'Credit_2016Q4'!r</v>
      </c>
      <c r="BW22" s="258" t="str">
        <f t="shared" ca="1" si="61"/>
        <v>'Credit_2017Q4'!r</v>
      </c>
      <c r="BY22" s="258" t="str">
        <f t="shared" ca="1" si="61"/>
        <v>'Credit_2018Q4'!r</v>
      </c>
      <c r="CA22" s="258" t="str">
        <f t="shared" ca="1" si="61"/>
        <v>'Credit_2019Q4'!r</v>
      </c>
      <c r="CC22" s="258" t="str">
        <f t="shared" ca="1" si="61"/>
        <v>'Credit_2020Q2'!r</v>
      </c>
    </row>
    <row r="23" spans="3:81">
      <c r="C23" s="354"/>
      <c r="D23" s="354" t="s">
        <v>16</v>
      </c>
      <c r="E23" s="295">
        <v>6</v>
      </c>
      <c r="F23" s="395">
        <v>0.25</v>
      </c>
      <c r="G23" s="438"/>
      <c r="H23" s="295">
        <v>5</v>
      </c>
      <c r="I23" s="395">
        <v>0.25</v>
      </c>
      <c r="J23" s="355"/>
      <c r="K23" s="295">
        <v>6</v>
      </c>
      <c r="L23" s="395">
        <v>0.2608695652173913</v>
      </c>
      <c r="M23" s="438"/>
      <c r="N23" s="295">
        <v>6</v>
      </c>
      <c r="O23" s="395">
        <f t="shared" ca="1" si="36"/>
        <v>0.27272727272727271</v>
      </c>
      <c r="P23" s="395"/>
      <c r="Q23" s="387">
        <v>3</v>
      </c>
      <c r="R23" s="370">
        <f t="shared" ca="1" si="37"/>
        <v>0.13043478260869565</v>
      </c>
      <c r="S23" s="395"/>
      <c r="T23" s="295">
        <v>4</v>
      </c>
      <c r="U23" s="370">
        <f t="shared" ca="1" si="38"/>
        <v>0.21052631578947367</v>
      </c>
      <c r="V23" s="395"/>
      <c r="W23" s="387">
        <v>2</v>
      </c>
      <c r="X23" s="395">
        <f t="shared" ca="1" si="39"/>
        <v>0.10526315789473684</v>
      </c>
      <c r="Y23" s="395"/>
      <c r="Z23" s="387">
        <v>5</v>
      </c>
      <c r="AA23" s="395">
        <f t="shared" ca="1" si="40"/>
        <v>0.26315789473684209</v>
      </c>
      <c r="AB23" s="395"/>
      <c r="AC23" s="387">
        <f ca="1">Credit_2010Q4!$AD21</f>
        <v>6</v>
      </c>
      <c r="AD23" s="395">
        <f t="shared" ca="1" si="41"/>
        <v>0.3</v>
      </c>
      <c r="AE23" s="395"/>
      <c r="AF23" s="387">
        <f ca="1">Credit_2011Q4!$AD21</f>
        <v>6</v>
      </c>
      <c r="AG23" s="395">
        <f t="shared" ca="1" si="42"/>
        <v>0.31578947368421051</v>
      </c>
      <c r="AH23" s="395"/>
      <c r="AI23" s="295">
        <f t="shared" ca="1" si="43"/>
        <v>7</v>
      </c>
      <c r="AJ23" s="395">
        <f t="shared" ca="1" si="44"/>
        <v>0.41176470588235292</v>
      </c>
      <c r="AK23" s="395"/>
      <c r="AL23" s="295">
        <f t="shared" ca="1" si="45"/>
        <v>5</v>
      </c>
      <c r="AM23" s="395">
        <f t="shared" ca="1" si="46"/>
        <v>0.29411764705882354</v>
      </c>
      <c r="AN23" s="395"/>
      <c r="AO23" s="295">
        <f t="shared" ca="1" si="62"/>
        <v>4</v>
      </c>
      <c r="AP23" s="395">
        <f t="shared" ca="1" si="47"/>
        <v>0.30769230769230771</v>
      </c>
      <c r="AQ23" s="395"/>
      <c r="AR23" s="295">
        <f t="shared" ca="1" si="48"/>
        <v>5</v>
      </c>
      <c r="AS23" s="395">
        <f t="shared" ca="1" si="49"/>
        <v>0.38461538461538464</v>
      </c>
      <c r="AT23" s="395"/>
      <c r="AU23" s="295">
        <f t="shared" ca="1" si="50"/>
        <v>7</v>
      </c>
      <c r="AV23" s="395">
        <f t="shared" ca="1" si="51"/>
        <v>0.58333333333333337</v>
      </c>
      <c r="AW23" s="395"/>
      <c r="AX23" s="295">
        <f t="shared" ca="1" si="52"/>
        <v>7</v>
      </c>
      <c r="AY23" s="395">
        <f t="shared" ca="1" si="53"/>
        <v>0.5</v>
      </c>
      <c r="AZ23" s="395"/>
      <c r="BA23" s="295">
        <f t="shared" ca="1" si="30"/>
        <v>7</v>
      </c>
      <c r="BB23" s="395">
        <f t="shared" ca="1" si="54"/>
        <v>0.53846153846153844</v>
      </c>
      <c r="BC23" s="395"/>
      <c r="BD23" s="295">
        <f t="shared" ca="1" si="55"/>
        <v>7</v>
      </c>
      <c r="BE23" s="395">
        <f t="shared" ca="1" si="56"/>
        <v>0.7</v>
      </c>
      <c r="BF23" s="395"/>
      <c r="BG23" s="388">
        <f t="shared" ca="1" si="57"/>
        <v>6</v>
      </c>
      <c r="BH23" s="399">
        <f t="shared" ca="1" si="58"/>
        <v>0.6</v>
      </c>
      <c r="BK23" s="258">
        <f t="shared" ca="1" si="63"/>
        <v>10</v>
      </c>
      <c r="BL23" s="255" t="str">
        <f t="shared" ref="BL23:BL26" ca="1" si="64">BL22</f>
        <v>r</v>
      </c>
      <c r="BM23" s="258" t="str">
        <f t="shared" ca="1" si="59"/>
        <v>'Credit_2012Q4'!r</v>
      </c>
      <c r="BO23" s="258" t="str">
        <f t="shared" ca="1" si="60"/>
        <v>'Credit_2013Q4'!r</v>
      </c>
      <c r="BQ23" s="258" t="str">
        <f t="shared" ca="1" si="61"/>
        <v>'Credit_2014Q4'!r</v>
      </c>
      <c r="BS23" s="258" t="str">
        <f t="shared" ca="1" si="61"/>
        <v>'Credit_2015Q4'!r</v>
      </c>
      <c r="BU23" s="258" t="str">
        <f t="shared" ca="1" si="61"/>
        <v>'Credit_2016Q4'!r</v>
      </c>
      <c r="BW23" s="258" t="str">
        <f t="shared" ca="1" si="61"/>
        <v>'Credit_2017Q4'!r</v>
      </c>
      <c r="BY23" s="258" t="str">
        <f t="shared" ca="1" si="61"/>
        <v>'Credit_2018Q4'!r</v>
      </c>
      <c r="CA23" s="258" t="str">
        <f t="shared" ca="1" si="61"/>
        <v>'Credit_2019Q4'!r</v>
      </c>
      <c r="CC23" s="258" t="str">
        <f t="shared" ca="1" si="61"/>
        <v>'Credit_2020Q2'!r</v>
      </c>
    </row>
    <row r="24" spans="3:81">
      <c r="C24" s="354"/>
      <c r="D24" s="354" t="s">
        <v>28</v>
      </c>
      <c r="E24" s="387">
        <v>4</v>
      </c>
      <c r="F24" s="395">
        <v>0.16666666666666666</v>
      </c>
      <c r="G24" s="438"/>
      <c r="H24" s="387">
        <v>4</v>
      </c>
      <c r="I24" s="395">
        <v>0.2</v>
      </c>
      <c r="J24" s="355"/>
      <c r="K24" s="387">
        <v>7</v>
      </c>
      <c r="L24" s="395">
        <v>0.30434782608695654</v>
      </c>
      <c r="M24" s="438"/>
      <c r="N24" s="387">
        <v>9</v>
      </c>
      <c r="O24" s="395">
        <f t="shared" ca="1" si="36"/>
        <v>0.40909090909090912</v>
      </c>
      <c r="P24" s="395"/>
      <c r="Q24" s="387">
        <v>11</v>
      </c>
      <c r="R24" s="370">
        <f t="shared" ca="1" si="37"/>
        <v>0.47826086956521741</v>
      </c>
      <c r="S24" s="395"/>
      <c r="T24" s="387">
        <v>6</v>
      </c>
      <c r="U24" s="370">
        <f t="shared" ca="1" si="38"/>
        <v>0.31578947368421051</v>
      </c>
      <c r="V24" s="395"/>
      <c r="W24" s="387">
        <v>8</v>
      </c>
      <c r="X24" s="395">
        <f t="shared" ca="1" si="39"/>
        <v>0.42105263157894735</v>
      </c>
      <c r="Y24" s="395"/>
      <c r="Z24" s="387">
        <v>6</v>
      </c>
      <c r="AA24" s="395">
        <f t="shared" ca="1" si="40"/>
        <v>0.31578947368421051</v>
      </c>
      <c r="AB24" s="395"/>
      <c r="AC24" s="387">
        <f ca="1">Credit_2010Q4!$AD22</f>
        <v>4</v>
      </c>
      <c r="AD24" s="395">
        <f t="shared" ca="1" si="41"/>
        <v>0.2</v>
      </c>
      <c r="AE24" s="395"/>
      <c r="AF24" s="387">
        <f ca="1">Credit_2011Q4!$AD22</f>
        <v>3</v>
      </c>
      <c r="AG24" s="395">
        <f t="shared" ca="1" si="42"/>
        <v>0.15789473684210525</v>
      </c>
      <c r="AH24" s="395"/>
      <c r="AI24" s="387">
        <f t="shared" ca="1" si="43"/>
        <v>3</v>
      </c>
      <c r="AJ24" s="395">
        <f t="shared" ca="1" si="44"/>
        <v>0.17647058823529413</v>
      </c>
      <c r="AK24" s="395"/>
      <c r="AL24" s="387">
        <f t="shared" ca="1" si="45"/>
        <v>3</v>
      </c>
      <c r="AM24" s="395">
        <f t="shared" ca="1" si="46"/>
        <v>0.17647058823529413</v>
      </c>
      <c r="AN24" s="395"/>
      <c r="AO24" s="387">
        <f t="shared" ca="1" si="62"/>
        <v>2</v>
      </c>
      <c r="AP24" s="395">
        <f t="shared" ca="1" si="47"/>
        <v>0.15384615384615385</v>
      </c>
      <c r="AQ24" s="395"/>
      <c r="AR24" s="387">
        <f t="shared" ca="1" si="48"/>
        <v>1</v>
      </c>
      <c r="AS24" s="395">
        <f t="shared" ca="1" si="49"/>
        <v>7.6923076923076927E-2</v>
      </c>
      <c r="AT24" s="395"/>
      <c r="AU24" s="387">
        <f t="shared" ca="1" si="50"/>
        <v>0</v>
      </c>
      <c r="AV24" s="395">
        <f t="shared" ca="1" si="51"/>
        <v>0</v>
      </c>
      <c r="AW24" s="395"/>
      <c r="AX24" s="387">
        <f t="shared" ca="1" si="52"/>
        <v>2</v>
      </c>
      <c r="AY24" s="395">
        <f t="shared" ca="1" si="53"/>
        <v>0.14285714285714285</v>
      </c>
      <c r="AZ24" s="395"/>
      <c r="BA24" s="387">
        <f t="shared" ca="1" si="30"/>
        <v>1</v>
      </c>
      <c r="BB24" s="395">
        <f t="shared" ca="1" si="54"/>
        <v>7.6923076923076927E-2</v>
      </c>
      <c r="BC24" s="395"/>
      <c r="BD24" s="387">
        <f t="shared" ca="1" si="55"/>
        <v>0</v>
      </c>
      <c r="BE24" s="395">
        <f t="shared" ca="1" si="56"/>
        <v>0</v>
      </c>
      <c r="BF24" s="395"/>
      <c r="BG24" s="388">
        <f t="shared" ca="1" si="57"/>
        <v>1</v>
      </c>
      <c r="BH24" s="399">
        <f t="shared" ca="1" si="58"/>
        <v>0.1</v>
      </c>
      <c r="BK24" s="258">
        <f t="shared" ca="1" si="63"/>
        <v>11</v>
      </c>
      <c r="BL24" s="255" t="str">
        <f t="shared" ca="1" si="64"/>
        <v>r</v>
      </c>
      <c r="BM24" s="258" t="str">
        <f t="shared" ca="1" si="59"/>
        <v>'Credit_2012Q4'!r</v>
      </c>
      <c r="BO24" s="258" t="str">
        <f t="shared" ca="1" si="60"/>
        <v>'Credit_2013Q4'!r</v>
      </c>
      <c r="BQ24" s="258" t="str">
        <f t="shared" ca="1" si="61"/>
        <v>'Credit_2014Q4'!r</v>
      </c>
      <c r="BS24" s="258" t="str">
        <f t="shared" ca="1" si="61"/>
        <v>'Credit_2015Q4'!r</v>
      </c>
      <c r="BU24" s="258" t="str">
        <f t="shared" ca="1" si="61"/>
        <v>'Credit_2016Q4'!r</v>
      </c>
      <c r="BW24" s="258" t="str">
        <f t="shared" ca="1" si="61"/>
        <v>'Credit_2017Q4'!r</v>
      </c>
      <c r="BY24" s="258" t="str">
        <f t="shared" ca="1" si="61"/>
        <v>'Credit_2018Q4'!r</v>
      </c>
      <c r="CA24" s="258" t="str">
        <f t="shared" ca="1" si="61"/>
        <v>'Credit_2019Q4'!r</v>
      </c>
      <c r="CC24" s="258" t="str">
        <f t="shared" ca="1" si="61"/>
        <v>'Credit_2020Q2'!r</v>
      </c>
    </row>
    <row r="25" spans="3:81">
      <c r="C25" s="354"/>
      <c r="D25" s="354" t="s">
        <v>49</v>
      </c>
      <c r="E25" s="387">
        <v>2</v>
      </c>
      <c r="F25" s="395">
        <v>8.3333333333333329E-2</v>
      </c>
      <c r="G25" s="438"/>
      <c r="H25" s="387">
        <v>2</v>
      </c>
      <c r="I25" s="395">
        <v>0.1</v>
      </c>
      <c r="J25" s="355"/>
      <c r="K25" s="387">
        <v>7</v>
      </c>
      <c r="L25" s="395">
        <v>0.30434782608695654</v>
      </c>
      <c r="M25" s="438"/>
      <c r="N25" s="387">
        <v>0</v>
      </c>
      <c r="O25" s="395">
        <f t="shared" ca="1" si="36"/>
        <v>0</v>
      </c>
      <c r="P25" s="395"/>
      <c r="Q25" s="387">
        <v>1</v>
      </c>
      <c r="R25" s="370">
        <f t="shared" ca="1" si="37"/>
        <v>4.3478260869565216E-2</v>
      </c>
      <c r="S25" s="395"/>
      <c r="T25" s="387">
        <v>4</v>
      </c>
      <c r="U25" s="370">
        <f t="shared" ca="1" si="38"/>
        <v>0.21052631578947367</v>
      </c>
      <c r="V25" s="395"/>
      <c r="W25" s="387">
        <v>3</v>
      </c>
      <c r="X25" s="395">
        <f t="shared" ca="1" si="39"/>
        <v>0.15789473684210525</v>
      </c>
      <c r="Y25" s="395"/>
      <c r="Z25" s="387">
        <v>4</v>
      </c>
      <c r="AA25" s="395">
        <f t="shared" ca="1" si="40"/>
        <v>0.21052631578947367</v>
      </c>
      <c r="AB25" s="395"/>
      <c r="AC25" s="387">
        <f ca="1">Credit_2010Q4!$AD23</f>
        <v>6</v>
      </c>
      <c r="AD25" s="395">
        <f t="shared" ca="1" si="41"/>
        <v>0.3</v>
      </c>
      <c r="AE25" s="395"/>
      <c r="AF25" s="387">
        <f ca="1">Credit_2011Q4!$AD23</f>
        <v>6</v>
      </c>
      <c r="AG25" s="395">
        <f t="shared" ca="1" si="42"/>
        <v>0.31578947368421051</v>
      </c>
      <c r="AH25" s="395"/>
      <c r="AI25" s="387">
        <f t="shared" ca="1" si="43"/>
        <v>4</v>
      </c>
      <c r="AJ25" s="395">
        <f t="shared" ca="1" si="44"/>
        <v>0.23529411764705882</v>
      </c>
      <c r="AK25" s="395"/>
      <c r="AL25" s="387">
        <f t="shared" ca="1" si="45"/>
        <v>3</v>
      </c>
      <c r="AM25" s="395">
        <f t="shared" ca="1" si="46"/>
        <v>0.17647058823529413</v>
      </c>
      <c r="AN25" s="395"/>
      <c r="AO25" s="387">
        <f t="shared" ca="1" si="62"/>
        <v>2</v>
      </c>
      <c r="AP25" s="395">
        <f t="shared" ca="1" si="47"/>
        <v>0.15384615384615385</v>
      </c>
      <c r="AQ25" s="395"/>
      <c r="AR25" s="387">
        <f t="shared" ca="1" si="48"/>
        <v>1</v>
      </c>
      <c r="AS25" s="395">
        <f t="shared" ca="1" si="49"/>
        <v>7.6923076923076927E-2</v>
      </c>
      <c r="AT25" s="395"/>
      <c r="AU25" s="387">
        <f t="shared" ca="1" si="50"/>
        <v>1</v>
      </c>
      <c r="AV25" s="395">
        <f t="shared" ca="1" si="51"/>
        <v>8.3333333333333329E-2</v>
      </c>
      <c r="AW25" s="395"/>
      <c r="AX25" s="387">
        <f t="shared" ca="1" si="52"/>
        <v>1</v>
      </c>
      <c r="AY25" s="395">
        <f t="shared" ca="1" si="53"/>
        <v>7.1428571428571425E-2</v>
      </c>
      <c r="AZ25" s="395"/>
      <c r="BA25" s="387">
        <f t="shared" ca="1" si="30"/>
        <v>1</v>
      </c>
      <c r="BB25" s="395">
        <f t="shared" ca="1" si="54"/>
        <v>7.6923076923076927E-2</v>
      </c>
      <c r="BC25" s="395"/>
      <c r="BD25" s="387">
        <f t="shared" ca="1" si="55"/>
        <v>1</v>
      </c>
      <c r="BE25" s="395">
        <f t="shared" ca="1" si="56"/>
        <v>0.1</v>
      </c>
      <c r="BF25" s="395"/>
      <c r="BG25" s="388">
        <f t="shared" ca="1" si="57"/>
        <v>1</v>
      </c>
      <c r="BH25" s="399">
        <f t="shared" ca="1" si="58"/>
        <v>0.1</v>
      </c>
      <c r="BK25" s="258">
        <f t="shared" ca="1" si="63"/>
        <v>12</v>
      </c>
      <c r="BL25" s="255" t="str">
        <f t="shared" ca="1" si="64"/>
        <v>r</v>
      </c>
      <c r="BM25" s="258" t="str">
        <f t="shared" ca="1" si="59"/>
        <v>'Credit_2012Q4'!r</v>
      </c>
      <c r="BO25" s="258" t="str">
        <f t="shared" ca="1" si="60"/>
        <v>'Credit_2013Q4'!r</v>
      </c>
      <c r="BQ25" s="258" t="str">
        <f t="shared" ca="1" si="61"/>
        <v>'Credit_2014Q4'!r</v>
      </c>
      <c r="BS25" s="258" t="str">
        <f t="shared" ca="1" si="61"/>
        <v>'Credit_2015Q4'!r</v>
      </c>
      <c r="BU25" s="258" t="str">
        <f t="shared" ca="1" si="61"/>
        <v>'Credit_2016Q4'!r</v>
      </c>
      <c r="BW25" s="258" t="str">
        <f t="shared" ca="1" si="61"/>
        <v>'Credit_2017Q4'!r</v>
      </c>
      <c r="BY25" s="258" t="str">
        <f t="shared" ca="1" si="61"/>
        <v>'Credit_2018Q4'!r</v>
      </c>
      <c r="CA25" s="258" t="str">
        <f t="shared" ca="1" si="61"/>
        <v>'Credit_2019Q4'!r</v>
      </c>
      <c r="CC25" s="258" t="str">
        <f t="shared" ca="1" si="61"/>
        <v>'Credit_2020Q2'!r</v>
      </c>
    </row>
    <row r="26" spans="3:81">
      <c r="C26" s="356"/>
      <c r="D26" s="356" t="s">
        <v>79</v>
      </c>
      <c r="E26" s="389">
        <v>4</v>
      </c>
      <c r="F26" s="371">
        <v>0.16666666666666666</v>
      </c>
      <c r="G26" s="357"/>
      <c r="H26" s="389">
        <v>4</v>
      </c>
      <c r="I26" s="371">
        <v>0.2</v>
      </c>
      <c r="J26" s="358"/>
      <c r="K26" s="389">
        <v>0</v>
      </c>
      <c r="L26" s="371">
        <v>0</v>
      </c>
      <c r="M26" s="357"/>
      <c r="N26" s="389">
        <v>5</v>
      </c>
      <c r="O26" s="371">
        <f t="shared" ca="1" si="36"/>
        <v>0.22727272727272727</v>
      </c>
      <c r="P26" s="371"/>
      <c r="Q26" s="389">
        <v>5</v>
      </c>
      <c r="R26" s="371">
        <f t="shared" ca="1" si="37"/>
        <v>0.21739130434782608</v>
      </c>
      <c r="S26" s="371"/>
      <c r="T26" s="389">
        <v>1</v>
      </c>
      <c r="U26" s="393">
        <f t="shared" ca="1" si="38"/>
        <v>5.2631578947368418E-2</v>
      </c>
      <c r="V26" s="371"/>
      <c r="W26" s="389">
        <v>0</v>
      </c>
      <c r="X26" s="371">
        <f t="shared" ca="1" si="39"/>
        <v>0</v>
      </c>
      <c r="Y26" s="371"/>
      <c r="Z26" s="389">
        <v>0</v>
      </c>
      <c r="AA26" s="371">
        <f t="shared" ca="1" si="40"/>
        <v>0</v>
      </c>
      <c r="AB26" s="371"/>
      <c r="AC26" s="389">
        <f ca="1">Credit_2010Q4!$AD24</f>
        <v>0</v>
      </c>
      <c r="AD26" s="371">
        <f t="shared" ca="1" si="41"/>
        <v>0</v>
      </c>
      <c r="AE26" s="371"/>
      <c r="AF26" s="389">
        <f ca="1">Credit_2011Q4!$AD24</f>
        <v>0</v>
      </c>
      <c r="AG26" s="371">
        <f t="shared" ca="1" si="42"/>
        <v>0</v>
      </c>
      <c r="AH26" s="371"/>
      <c r="AI26" s="389">
        <f t="shared" ca="1" si="43"/>
        <v>0</v>
      </c>
      <c r="AJ26" s="371">
        <f t="shared" ca="1" si="44"/>
        <v>0</v>
      </c>
      <c r="AK26" s="371"/>
      <c r="AL26" s="389">
        <f t="shared" ca="1" si="45"/>
        <v>0</v>
      </c>
      <c r="AM26" s="371">
        <f t="shared" ca="1" si="46"/>
        <v>0</v>
      </c>
      <c r="AN26" s="371"/>
      <c r="AO26" s="389">
        <f t="shared" ca="1" si="62"/>
        <v>0</v>
      </c>
      <c r="AP26" s="371">
        <f t="shared" ca="1" si="47"/>
        <v>0</v>
      </c>
      <c r="AQ26" s="371"/>
      <c r="AR26" s="389">
        <f t="shared" ca="1" si="48"/>
        <v>0</v>
      </c>
      <c r="AS26" s="371">
        <f t="shared" ca="1" si="49"/>
        <v>0</v>
      </c>
      <c r="AT26" s="371"/>
      <c r="AU26" s="389">
        <f t="shared" ca="1" si="50"/>
        <v>1</v>
      </c>
      <c r="AV26" s="371">
        <f t="shared" ca="1" si="51"/>
        <v>8.3333333333333329E-2</v>
      </c>
      <c r="AW26" s="371"/>
      <c r="AX26" s="389">
        <f t="shared" ca="1" si="52"/>
        <v>1</v>
      </c>
      <c r="AY26" s="371">
        <f t="shared" ca="1" si="53"/>
        <v>7.1428571428571425E-2</v>
      </c>
      <c r="AZ26" s="371"/>
      <c r="BA26" s="389">
        <f t="shared" ca="1" si="30"/>
        <v>0</v>
      </c>
      <c r="BB26" s="371">
        <f t="shared" ca="1" si="54"/>
        <v>0</v>
      </c>
      <c r="BC26" s="371"/>
      <c r="BD26" s="389">
        <f t="shared" ca="1" si="55"/>
        <v>0</v>
      </c>
      <c r="BE26" s="371">
        <f t="shared" ca="1" si="56"/>
        <v>0</v>
      </c>
      <c r="BF26" s="371"/>
      <c r="BG26" s="390">
        <f t="shared" ca="1" si="57"/>
        <v>0</v>
      </c>
      <c r="BH26" s="400">
        <f t="shared" ca="1" si="58"/>
        <v>0</v>
      </c>
      <c r="BK26" s="258">
        <f t="shared" ca="1" si="63"/>
        <v>13</v>
      </c>
      <c r="BL26" s="255" t="str">
        <f t="shared" ca="1" si="64"/>
        <v>r</v>
      </c>
      <c r="BM26" s="258" t="str">
        <f t="shared" ca="1" si="59"/>
        <v>'Credit_2012Q4'!r</v>
      </c>
      <c r="BO26" s="258" t="str">
        <f t="shared" ca="1" si="60"/>
        <v>'Credit_2013Q4'!r</v>
      </c>
      <c r="BQ26" s="258" t="str">
        <f t="shared" ca="1" si="61"/>
        <v>'Credit_2014Q4'!r</v>
      </c>
      <c r="BS26" s="258" t="str">
        <f t="shared" ca="1" si="61"/>
        <v>'Credit_2015Q4'!r</v>
      </c>
      <c r="BU26" s="258" t="str">
        <f t="shared" ca="1" si="61"/>
        <v>'Credit_2016Q4'!r</v>
      </c>
      <c r="BW26" s="258" t="str">
        <f t="shared" ca="1" si="61"/>
        <v>'Credit_2017Q4'!r</v>
      </c>
      <c r="BY26" s="258" t="str">
        <f t="shared" ca="1" si="61"/>
        <v>'Credit_2018Q4'!r</v>
      </c>
      <c r="CA26" s="258" t="str">
        <f t="shared" ca="1" si="61"/>
        <v>'Credit_2019Q4'!r</v>
      </c>
      <c r="CC26" s="258" t="str">
        <f t="shared" ca="1" si="61"/>
        <v>'Credit_2020Q2'!r</v>
      </c>
    </row>
    <row r="27" spans="3:81" s="365" customFormat="1">
      <c r="C27" s="359"/>
      <c r="D27" s="359" t="s">
        <v>80</v>
      </c>
      <c r="E27" s="291">
        <f t="shared" ref="E27:AA27" ca="1" si="65">SUM(E21:E26)</f>
        <v>24</v>
      </c>
      <c r="F27" s="376">
        <f t="shared" ca="1" si="65"/>
        <v>1</v>
      </c>
      <c r="G27" s="366"/>
      <c r="H27" s="291">
        <f t="shared" ca="1" si="65"/>
        <v>20</v>
      </c>
      <c r="I27" s="376">
        <f t="shared" ca="1" si="65"/>
        <v>1</v>
      </c>
      <c r="J27" s="366"/>
      <c r="K27" s="291">
        <f t="shared" ca="1" si="65"/>
        <v>23</v>
      </c>
      <c r="L27" s="376">
        <f t="shared" ca="1" si="65"/>
        <v>1</v>
      </c>
      <c r="M27" s="366"/>
      <c r="N27" s="291">
        <f ca="1">SUM(N21:N26)</f>
        <v>22</v>
      </c>
      <c r="O27" s="376">
        <f ca="1">SUM(O21:O26)</f>
        <v>1</v>
      </c>
      <c r="P27" s="376"/>
      <c r="Q27" s="291">
        <f ca="1">SUM(Q21:Q26)</f>
        <v>23</v>
      </c>
      <c r="R27" s="376">
        <f t="shared" ca="1" si="65"/>
        <v>0.99999999999999989</v>
      </c>
      <c r="S27" s="376"/>
      <c r="T27" s="291">
        <f ca="1">SUM(T21:T26)</f>
        <v>19</v>
      </c>
      <c r="U27" s="376">
        <f t="shared" ca="1" si="65"/>
        <v>1</v>
      </c>
      <c r="V27" s="376"/>
      <c r="W27" s="291">
        <f ca="1">SUM(W21:W26)</f>
        <v>19</v>
      </c>
      <c r="X27" s="376">
        <f t="shared" ca="1" si="65"/>
        <v>1</v>
      </c>
      <c r="Y27" s="376"/>
      <c r="Z27" s="291">
        <f ca="1">SUM(Z21:Z26)</f>
        <v>19</v>
      </c>
      <c r="AA27" s="376">
        <f t="shared" ca="1" si="65"/>
        <v>1</v>
      </c>
      <c r="AB27" s="376"/>
      <c r="AC27" s="291">
        <f t="shared" ref="AC27:AF27" ca="1" si="66">SUM(AC21:AC26)</f>
        <v>20</v>
      </c>
      <c r="AD27" s="376">
        <f t="shared" ca="1" si="66"/>
        <v>1</v>
      </c>
      <c r="AE27" s="376"/>
      <c r="AF27" s="291">
        <f t="shared" ca="1" si="66"/>
        <v>19</v>
      </c>
      <c r="AG27" s="376">
        <f t="shared" ref="AG27" ca="1" si="67">SUM(AG21:AG26)</f>
        <v>0.99999999999999989</v>
      </c>
      <c r="AH27" s="376"/>
      <c r="AI27" s="291">
        <f ca="1">SUM(AI21:AI26)</f>
        <v>17</v>
      </c>
      <c r="AJ27" s="376">
        <f t="shared" ref="AJ27" ca="1" si="68">SUM(AJ21:AJ26)</f>
        <v>1</v>
      </c>
      <c r="AK27" s="376"/>
      <c r="AL27" s="291">
        <f ca="1">SUM(AL21:AL26)</f>
        <v>17</v>
      </c>
      <c r="AM27" s="376">
        <f ca="1">SUM(AM21:AM26)</f>
        <v>1</v>
      </c>
      <c r="AN27" s="376"/>
      <c r="AO27" s="391">
        <f ca="1">SUM(AO21:AO26)</f>
        <v>13</v>
      </c>
      <c r="AP27" s="376">
        <f ca="1">SUM(AP21:AP26)</f>
        <v>1</v>
      </c>
      <c r="AQ27" s="376"/>
      <c r="AR27" s="291">
        <f ca="1">SUM(AR21:AR26)</f>
        <v>13</v>
      </c>
      <c r="AS27" s="376">
        <f ca="1">SUM(AS21:AS26)</f>
        <v>1</v>
      </c>
      <c r="AT27" s="376"/>
      <c r="AU27" s="291">
        <f ca="1">SUM(AU21:AU26)</f>
        <v>12</v>
      </c>
      <c r="AV27" s="376">
        <f ca="1">SUM(AV21:AV26)</f>
        <v>1</v>
      </c>
      <c r="AW27" s="376"/>
      <c r="AX27" s="291">
        <f ca="1">SUM(AX21:AX26)</f>
        <v>14</v>
      </c>
      <c r="AY27" s="376">
        <f ca="1">SUM(AY21:AY26)</f>
        <v>1</v>
      </c>
      <c r="AZ27" s="376"/>
      <c r="BA27" s="391">
        <f ca="1">SUM(BA21:BA26)</f>
        <v>13</v>
      </c>
      <c r="BB27" s="376">
        <f ca="1">SUM(BB21:BB26)</f>
        <v>1</v>
      </c>
      <c r="BC27" s="376"/>
      <c r="BD27" s="391">
        <f ca="1">SUM(BD21:BD26)</f>
        <v>10</v>
      </c>
      <c r="BE27" s="376">
        <f ca="1">SUM(BE21:BE26)</f>
        <v>0.99999999999999989</v>
      </c>
      <c r="BF27" s="376"/>
      <c r="BG27" s="392">
        <f ca="1">SUM(BG21:BG26)</f>
        <v>10</v>
      </c>
      <c r="BH27" s="401">
        <f ca="1">SUM(BH21:BH26)</f>
        <v>1</v>
      </c>
      <c r="BL27" s="260"/>
    </row>
    <row r="28" spans="3:81">
      <c r="C28" s="361"/>
      <c r="D28" s="361"/>
      <c r="E28" s="255"/>
      <c r="F28" s="375"/>
      <c r="G28" s="364"/>
      <c r="H28" s="255"/>
      <c r="I28" s="375"/>
      <c r="J28" s="364"/>
      <c r="K28" s="255"/>
      <c r="L28" s="375"/>
      <c r="M28" s="364"/>
      <c r="N28" s="255"/>
      <c r="O28" s="375"/>
      <c r="P28" s="375"/>
      <c r="Q28" s="255"/>
      <c r="R28" s="375"/>
      <c r="S28" s="375"/>
      <c r="T28" s="255"/>
      <c r="U28" s="375"/>
      <c r="V28" s="375"/>
      <c r="W28" s="255"/>
      <c r="X28" s="375"/>
      <c r="Y28" s="375"/>
      <c r="Z28" s="255"/>
      <c r="AA28" s="375"/>
      <c r="AB28" s="375"/>
      <c r="AC28" s="255"/>
      <c r="AD28" s="375"/>
      <c r="AE28" s="375"/>
      <c r="AF28" s="255"/>
      <c r="AG28" s="375"/>
      <c r="AH28" s="375"/>
      <c r="AI28" s="255"/>
      <c r="AJ28" s="375"/>
      <c r="AK28" s="375"/>
      <c r="AL28" s="255"/>
      <c r="AM28" s="375"/>
      <c r="AN28" s="375"/>
      <c r="AO28" s="255"/>
      <c r="AP28" s="375"/>
      <c r="AQ28" s="375"/>
      <c r="AR28" s="255"/>
      <c r="AS28" s="375"/>
      <c r="AT28" s="375"/>
      <c r="AU28" s="255"/>
      <c r="AV28" s="375"/>
      <c r="AW28" s="375"/>
      <c r="AX28" s="255"/>
      <c r="AY28" s="375"/>
      <c r="AZ28" s="375"/>
      <c r="BA28" s="255"/>
      <c r="BB28" s="375"/>
      <c r="BC28" s="375"/>
      <c r="BD28" s="255"/>
      <c r="BE28" s="375"/>
      <c r="BF28" s="375"/>
      <c r="BG28" s="379"/>
      <c r="BH28" s="402"/>
    </row>
    <row r="29" spans="3:81">
      <c r="C29" s="361"/>
      <c r="D29" s="361"/>
      <c r="E29" s="255"/>
      <c r="F29" s="375"/>
      <c r="G29" s="364"/>
      <c r="H29" s="255"/>
      <c r="I29" s="375"/>
      <c r="J29" s="364"/>
      <c r="K29" s="255"/>
      <c r="L29" s="375"/>
      <c r="M29" s="364"/>
      <c r="N29" s="255"/>
      <c r="O29" s="375"/>
      <c r="P29" s="375"/>
      <c r="Q29" s="255"/>
      <c r="R29" s="375"/>
      <c r="S29" s="375"/>
      <c r="T29" s="255"/>
      <c r="U29" s="375"/>
      <c r="V29" s="375"/>
      <c r="W29" s="255"/>
      <c r="X29" s="375"/>
      <c r="Y29" s="375"/>
      <c r="Z29" s="255"/>
      <c r="AA29" s="375"/>
      <c r="AB29" s="375"/>
      <c r="AC29" s="255"/>
      <c r="AD29" s="375"/>
      <c r="AE29" s="375"/>
      <c r="AF29" s="255"/>
      <c r="AG29" s="375"/>
      <c r="AH29" s="375"/>
      <c r="AI29" s="255"/>
      <c r="AJ29" s="375"/>
      <c r="AK29" s="375"/>
      <c r="AL29" s="255"/>
      <c r="AM29" s="375"/>
      <c r="AN29" s="375"/>
      <c r="AO29" s="255"/>
      <c r="AP29" s="375"/>
      <c r="AQ29" s="375"/>
      <c r="AR29" s="255"/>
      <c r="AS29" s="375"/>
      <c r="AT29" s="375"/>
      <c r="AU29" s="255"/>
      <c r="AV29" s="375"/>
      <c r="AW29" s="375"/>
      <c r="AX29" s="255"/>
      <c r="AY29" s="375"/>
      <c r="AZ29" s="375"/>
      <c r="BA29" s="255"/>
      <c r="BB29" s="375"/>
      <c r="BC29" s="375"/>
      <c r="BD29" s="255"/>
      <c r="BE29" s="375"/>
      <c r="BF29" s="375"/>
      <c r="BG29" s="379"/>
      <c r="BH29" s="402"/>
    </row>
    <row r="30" spans="3:81">
      <c r="C30" s="348"/>
      <c r="D30" s="348" t="s">
        <v>140</v>
      </c>
      <c r="E30" s="382"/>
      <c r="F30" s="374"/>
      <c r="G30" s="363"/>
      <c r="H30" s="382"/>
      <c r="I30" s="374"/>
      <c r="J30" s="363"/>
      <c r="K30" s="382"/>
      <c r="L30" s="374"/>
      <c r="M30" s="363"/>
      <c r="N30" s="382"/>
      <c r="O30" s="374"/>
      <c r="P30" s="374"/>
      <c r="Q30" s="382"/>
      <c r="R30" s="374"/>
      <c r="S30" s="374"/>
      <c r="T30" s="382"/>
      <c r="U30" s="374"/>
      <c r="V30" s="374"/>
      <c r="W30" s="383"/>
      <c r="X30" s="396"/>
      <c r="Y30" s="374"/>
      <c r="Z30" s="383"/>
      <c r="AA30" s="396"/>
      <c r="AB30" s="374"/>
      <c r="AC30" s="383"/>
      <c r="AD30" s="396"/>
      <c r="AE30" s="374"/>
      <c r="AF30" s="383"/>
      <c r="AG30" s="396"/>
      <c r="AH30" s="374"/>
      <c r="AI30" s="383"/>
      <c r="AJ30" s="396"/>
      <c r="AK30" s="374"/>
      <c r="AL30" s="383"/>
      <c r="AM30" s="396"/>
      <c r="AN30" s="374"/>
      <c r="AO30" s="383"/>
      <c r="AP30" s="396"/>
      <c r="AQ30" s="374"/>
      <c r="AR30" s="383"/>
      <c r="AS30" s="396"/>
      <c r="AT30" s="374"/>
      <c r="AU30" s="383"/>
      <c r="AV30" s="396"/>
      <c r="AW30" s="374"/>
      <c r="AX30" s="383"/>
      <c r="AY30" s="396"/>
      <c r="AZ30" s="374"/>
      <c r="BA30" s="383"/>
      <c r="BB30" s="396"/>
      <c r="BC30" s="374"/>
      <c r="BD30" s="383"/>
      <c r="BE30" s="396"/>
      <c r="BF30" s="374"/>
      <c r="BG30" s="384"/>
      <c r="BH30" s="403"/>
    </row>
    <row r="31" spans="3:81">
      <c r="C31" s="350"/>
      <c r="D31" s="350" t="s">
        <v>138</v>
      </c>
      <c r="E31" s="293">
        <v>2</v>
      </c>
      <c r="F31" s="394">
        <v>0.14285714285714285</v>
      </c>
      <c r="G31" s="439"/>
      <c r="H31" s="293">
        <v>0</v>
      </c>
      <c r="I31" s="394">
        <v>0</v>
      </c>
      <c r="J31" s="440"/>
      <c r="K31" s="293">
        <v>0</v>
      </c>
      <c r="L31" s="394">
        <v>0</v>
      </c>
      <c r="M31" s="439"/>
      <c r="N31" s="293">
        <v>0</v>
      </c>
      <c r="O31" s="394">
        <f t="shared" ref="O31:O36" ca="1" si="69">N31/$N$37</f>
        <v>0</v>
      </c>
      <c r="P31" s="394"/>
      <c r="Q31" s="293">
        <v>1</v>
      </c>
      <c r="R31" s="394">
        <f t="shared" ref="R31:R36" ca="1" si="70">Q31/$Q$37</f>
        <v>9.0909090909090912E-2</v>
      </c>
      <c r="S31" s="394"/>
      <c r="T31" s="293">
        <v>0</v>
      </c>
      <c r="U31" s="369">
        <f t="shared" ref="U31:U36" ca="1" si="71">T31/$T$37</f>
        <v>0</v>
      </c>
      <c r="V31" s="394"/>
      <c r="W31" s="385">
        <v>0</v>
      </c>
      <c r="X31" s="394">
        <f t="shared" ref="X31:X36" ca="1" si="72">W31/$W$37</f>
        <v>0</v>
      </c>
      <c r="Y31" s="394"/>
      <c r="Z31" s="385">
        <v>0</v>
      </c>
      <c r="AA31" s="394">
        <f t="shared" ref="AA31:AA36" ca="1" si="73">Z31/Z$37</f>
        <v>0</v>
      </c>
      <c r="AB31" s="394"/>
      <c r="AC31" s="385">
        <f ca="1">Credit_2010Q4!$AD30</f>
        <v>0</v>
      </c>
      <c r="AD31" s="394">
        <f t="shared" ref="AD31:AD36" ca="1" si="74">AC31/AC$37</f>
        <v>0</v>
      </c>
      <c r="AE31" s="394"/>
      <c r="AF31" s="385">
        <f ca="1">Credit_2011Q4!$AD30</f>
        <v>0</v>
      </c>
      <c r="AG31" s="394">
        <f t="shared" ref="AG31:AG36" ca="1" si="75">AF31/AF$37</f>
        <v>0</v>
      </c>
      <c r="AH31" s="394"/>
      <c r="AI31" s="293">
        <f t="shared" ref="AI31:AI36" ca="1" si="76">INDIRECT( BM31 &amp; $BK31 )</f>
        <v>0</v>
      </c>
      <c r="AJ31" s="394">
        <f t="shared" ref="AJ31:AJ36" ca="1" si="77">AI31/AI$37</f>
        <v>0</v>
      </c>
      <c r="AK31" s="394"/>
      <c r="AL31" s="293">
        <f t="shared" ref="AL31:AL36" ca="1" si="78">INDIRECT( BO31 &amp; $BK31 )</f>
        <v>0</v>
      </c>
      <c r="AM31" s="394">
        <f t="shared" ref="AM31:AM36" ca="1" si="79">AL31/AL$37</f>
        <v>0</v>
      </c>
      <c r="AN31" s="394"/>
      <c r="AO31" s="293">
        <f ca="1">INDIRECT( BQ31 &amp; $BK31 )</f>
        <v>0</v>
      </c>
      <c r="AP31" s="394">
        <f t="shared" ref="AP31:AP36" ca="1" si="80">AO31/AO$37</f>
        <v>0</v>
      </c>
      <c r="AQ31" s="394"/>
      <c r="AR31" s="293">
        <f t="shared" ref="AR31:AR36" ca="1" si="81">INDIRECT( BS31 &amp; $BK31 )</f>
        <v>0</v>
      </c>
      <c r="AS31" s="394">
        <f t="shared" ref="AS31:AS36" ca="1" si="82">AR31/AR$37</f>
        <v>0</v>
      </c>
      <c r="AT31" s="394"/>
      <c r="AU31" s="293">
        <f t="shared" ref="AU31:AU36" ca="1" si="83">INDIRECT( BU31 &amp; $BK31 )</f>
        <v>0</v>
      </c>
      <c r="AV31" s="394">
        <f t="shared" ref="AV31:AV36" ca="1" si="84">AU31/AU$37</f>
        <v>0</v>
      </c>
      <c r="AW31" s="394"/>
      <c r="AX31" s="293"/>
      <c r="AY31" s="394"/>
      <c r="AZ31" s="394"/>
      <c r="BA31" s="293"/>
      <c r="BB31" s="394"/>
      <c r="BC31" s="394"/>
      <c r="BD31" s="293"/>
      <c r="BE31" s="394"/>
      <c r="BF31" s="394"/>
      <c r="BG31" s="386"/>
      <c r="BH31" s="456"/>
      <c r="BK31" s="258">
        <f ca="1">BK21</f>
        <v>8</v>
      </c>
      <c r="BL31" s="353" t="s">
        <v>490</v>
      </c>
      <c r="BM31" s="258" t="str">
        <f t="shared" ref="BM31:BM36" ca="1" si="85">BM$5 &amp; "!" &amp;$BL31</f>
        <v>'Credit_2012Q4'!u</v>
      </c>
      <c r="BO31" s="258" t="str">
        <f t="shared" ref="BO31:BO36" ca="1" si="86">BO$5 &amp; "!" &amp;$BL31</f>
        <v>'Credit_2013Q4'!u</v>
      </c>
      <c r="BQ31" s="258" t="str">
        <f t="shared" ref="BQ31:CC36" ca="1" si="87">BQ$5 &amp; "!" &amp;$BL31</f>
        <v>'Credit_2014Q4'!u</v>
      </c>
      <c r="BS31" s="258" t="str">
        <f t="shared" ca="1" si="87"/>
        <v>'Credit_2015Q4'!u</v>
      </c>
      <c r="BU31" s="258" t="str">
        <f t="shared" ca="1" si="87"/>
        <v>'Credit_2016Q4'!u</v>
      </c>
      <c r="BW31" s="258" t="str">
        <f t="shared" ca="1" si="87"/>
        <v>'Credit_2017Q4'!u</v>
      </c>
      <c r="BY31" s="258" t="str">
        <f t="shared" ca="1" si="87"/>
        <v>'Credit_2018Q4'!u</v>
      </c>
      <c r="CA31" s="258" t="str">
        <f t="shared" ca="1" si="87"/>
        <v>'Credit_2019Q4'!u</v>
      </c>
      <c r="CC31" s="258" t="str">
        <f t="shared" ca="1" si="87"/>
        <v>'Credit_2020Q2'!u</v>
      </c>
    </row>
    <row r="32" spans="3:81">
      <c r="C32" s="354"/>
      <c r="D32" s="354" t="s">
        <v>10</v>
      </c>
      <c r="E32" s="295">
        <v>1</v>
      </c>
      <c r="F32" s="395">
        <v>7.1428571428571425E-2</v>
      </c>
      <c r="G32" s="438"/>
      <c r="H32" s="295">
        <v>2</v>
      </c>
      <c r="I32" s="395">
        <v>0.13333333333333333</v>
      </c>
      <c r="J32" s="434"/>
      <c r="K32" s="295">
        <v>1</v>
      </c>
      <c r="L32" s="395">
        <v>9.0909090909090912E-2</v>
      </c>
      <c r="M32" s="438"/>
      <c r="N32" s="295">
        <v>1</v>
      </c>
      <c r="O32" s="395">
        <f t="shared" ca="1" si="69"/>
        <v>9.0909090909090912E-2</v>
      </c>
      <c r="P32" s="395"/>
      <c r="Q32" s="295">
        <v>0</v>
      </c>
      <c r="R32" s="395">
        <f t="shared" ca="1" si="70"/>
        <v>0</v>
      </c>
      <c r="S32" s="395"/>
      <c r="T32" s="295">
        <v>2</v>
      </c>
      <c r="U32" s="370">
        <f t="shared" ca="1" si="71"/>
        <v>0.22222222222222221</v>
      </c>
      <c r="V32" s="395"/>
      <c r="W32" s="387">
        <v>0</v>
      </c>
      <c r="X32" s="395">
        <f t="shared" ca="1" si="72"/>
        <v>0</v>
      </c>
      <c r="Y32" s="395"/>
      <c r="Z32" s="387">
        <v>0</v>
      </c>
      <c r="AA32" s="395">
        <f t="shared" ca="1" si="73"/>
        <v>0</v>
      </c>
      <c r="AB32" s="395"/>
      <c r="AC32" s="387">
        <f ca="1">Credit_2010Q4!$AD31</f>
        <v>0</v>
      </c>
      <c r="AD32" s="395">
        <f t="shared" ca="1" si="74"/>
        <v>0</v>
      </c>
      <c r="AE32" s="395"/>
      <c r="AF32" s="387">
        <f ca="1">Credit_2011Q4!$AD31</f>
        <v>0</v>
      </c>
      <c r="AG32" s="395">
        <f t="shared" ca="1" si="75"/>
        <v>0</v>
      </c>
      <c r="AH32" s="395"/>
      <c r="AI32" s="295">
        <f t="shared" ca="1" si="76"/>
        <v>0</v>
      </c>
      <c r="AJ32" s="395">
        <f t="shared" ca="1" si="77"/>
        <v>0</v>
      </c>
      <c r="AK32" s="395"/>
      <c r="AL32" s="295">
        <f t="shared" ca="1" si="78"/>
        <v>0</v>
      </c>
      <c r="AM32" s="395">
        <f t="shared" ca="1" si="79"/>
        <v>0</v>
      </c>
      <c r="AN32" s="395"/>
      <c r="AO32" s="295">
        <f t="shared" ref="AO32:AO36" ca="1" si="88">INDIRECT( BQ32 &amp; $BK32 )</f>
        <v>0</v>
      </c>
      <c r="AP32" s="395">
        <f t="shared" ca="1" si="80"/>
        <v>0</v>
      </c>
      <c r="AQ32" s="395"/>
      <c r="AR32" s="295">
        <f t="shared" ca="1" si="81"/>
        <v>0</v>
      </c>
      <c r="AS32" s="395">
        <f t="shared" ca="1" si="82"/>
        <v>0</v>
      </c>
      <c r="AT32" s="395"/>
      <c r="AU32" s="295">
        <f t="shared" ca="1" si="83"/>
        <v>0</v>
      </c>
      <c r="AV32" s="395">
        <f t="shared" ca="1" si="84"/>
        <v>0</v>
      </c>
      <c r="AW32" s="395"/>
      <c r="AX32" s="295"/>
      <c r="AY32" s="395"/>
      <c r="AZ32" s="395"/>
      <c r="BA32" s="295"/>
      <c r="BB32" s="395"/>
      <c r="BC32" s="395"/>
      <c r="BD32" s="295"/>
      <c r="BE32" s="395"/>
      <c r="BF32" s="395"/>
      <c r="BG32" s="388"/>
      <c r="BH32" s="457"/>
      <c r="BK32" s="258">
        <f t="shared" ref="BK32:BK36" ca="1" si="89">BK22</f>
        <v>9</v>
      </c>
      <c r="BL32" s="255" t="str">
        <f ca="1">BL31</f>
        <v>u</v>
      </c>
      <c r="BM32" s="258" t="str">
        <f t="shared" ca="1" si="85"/>
        <v>'Credit_2012Q4'!u</v>
      </c>
      <c r="BO32" s="258" t="str">
        <f t="shared" ca="1" si="86"/>
        <v>'Credit_2013Q4'!u</v>
      </c>
      <c r="BQ32" s="258" t="str">
        <f t="shared" ca="1" si="87"/>
        <v>'Credit_2014Q4'!u</v>
      </c>
      <c r="BS32" s="258" t="str">
        <f t="shared" ca="1" si="87"/>
        <v>'Credit_2015Q4'!u</v>
      </c>
      <c r="BU32" s="258" t="str">
        <f t="shared" ca="1" si="87"/>
        <v>'Credit_2016Q4'!u</v>
      </c>
      <c r="BW32" s="258" t="str">
        <f t="shared" ca="1" si="87"/>
        <v>'Credit_2017Q4'!u</v>
      </c>
      <c r="BY32" s="258" t="str">
        <f t="shared" ca="1" si="87"/>
        <v>'Credit_2018Q4'!u</v>
      </c>
      <c r="CA32" s="258" t="str">
        <f t="shared" ca="1" si="87"/>
        <v>'Credit_2019Q4'!u</v>
      </c>
      <c r="CC32" s="258" t="str">
        <f t="shared" ca="1" si="87"/>
        <v>'Credit_2020Q2'!u</v>
      </c>
    </row>
    <row r="33" spans="3:81">
      <c r="C33" s="354"/>
      <c r="D33" s="354" t="s">
        <v>16</v>
      </c>
      <c r="E33" s="295">
        <v>2</v>
      </c>
      <c r="F33" s="395">
        <v>0.14285714285714285</v>
      </c>
      <c r="G33" s="438"/>
      <c r="H33" s="295">
        <v>4</v>
      </c>
      <c r="I33" s="395">
        <v>0.26666666666666666</v>
      </c>
      <c r="J33" s="434"/>
      <c r="K33" s="295">
        <v>3</v>
      </c>
      <c r="L33" s="395">
        <v>0.27272727272727271</v>
      </c>
      <c r="M33" s="438"/>
      <c r="N33" s="295">
        <v>2</v>
      </c>
      <c r="O33" s="395">
        <f t="shared" ca="1" si="69"/>
        <v>0.18181818181818182</v>
      </c>
      <c r="P33" s="395"/>
      <c r="Q33" s="295">
        <v>4</v>
      </c>
      <c r="R33" s="395">
        <f t="shared" ca="1" si="70"/>
        <v>0.36363636363636365</v>
      </c>
      <c r="S33" s="395"/>
      <c r="T33" s="295">
        <v>3</v>
      </c>
      <c r="U33" s="370">
        <f t="shared" ca="1" si="71"/>
        <v>0.33333333333333331</v>
      </c>
      <c r="V33" s="395"/>
      <c r="W33" s="387">
        <v>2</v>
      </c>
      <c r="X33" s="395">
        <f t="shared" ca="1" si="72"/>
        <v>0.2857142857142857</v>
      </c>
      <c r="Y33" s="395"/>
      <c r="Z33" s="387">
        <v>1</v>
      </c>
      <c r="AA33" s="395">
        <f t="shared" ca="1" si="73"/>
        <v>0.16666666666666666</v>
      </c>
      <c r="AB33" s="395"/>
      <c r="AC33" s="387">
        <f ca="1">Credit_2010Q4!$AD32</f>
        <v>2</v>
      </c>
      <c r="AD33" s="395">
        <f t="shared" ca="1" si="74"/>
        <v>0.4</v>
      </c>
      <c r="AE33" s="395"/>
      <c r="AF33" s="387">
        <f ca="1">Credit_2011Q4!$AD32</f>
        <v>1</v>
      </c>
      <c r="AG33" s="395">
        <f t="shared" ca="1" si="75"/>
        <v>0.25</v>
      </c>
      <c r="AH33" s="395"/>
      <c r="AI33" s="295">
        <f t="shared" ca="1" si="76"/>
        <v>1</v>
      </c>
      <c r="AJ33" s="395">
        <f t="shared" ca="1" si="77"/>
        <v>0.33333333333333331</v>
      </c>
      <c r="AK33" s="395"/>
      <c r="AL33" s="295">
        <f t="shared" ca="1" si="78"/>
        <v>1</v>
      </c>
      <c r="AM33" s="395">
        <f t="shared" ca="1" si="79"/>
        <v>0.5</v>
      </c>
      <c r="AN33" s="395"/>
      <c r="AO33" s="295">
        <f t="shared" ca="1" si="88"/>
        <v>1</v>
      </c>
      <c r="AP33" s="395">
        <f t="shared" ca="1" si="80"/>
        <v>0.5</v>
      </c>
      <c r="AQ33" s="395"/>
      <c r="AR33" s="295">
        <f t="shared" ca="1" si="81"/>
        <v>1</v>
      </c>
      <c r="AS33" s="395">
        <f t="shared" ca="1" si="82"/>
        <v>0.5</v>
      </c>
      <c r="AT33" s="395"/>
      <c r="AU33" s="295">
        <f t="shared" ca="1" si="83"/>
        <v>0</v>
      </c>
      <c r="AV33" s="395">
        <f t="shared" ca="1" si="84"/>
        <v>0</v>
      </c>
      <c r="AW33" s="395"/>
      <c r="AX33" s="295"/>
      <c r="AY33" s="395"/>
      <c r="AZ33" s="395"/>
      <c r="BA33" s="295"/>
      <c r="BB33" s="395"/>
      <c r="BC33" s="395"/>
      <c r="BD33" s="295"/>
      <c r="BE33" s="395"/>
      <c r="BF33" s="395"/>
      <c r="BG33" s="388"/>
      <c r="BH33" s="457"/>
      <c r="BK33" s="258">
        <f t="shared" ca="1" si="89"/>
        <v>10</v>
      </c>
      <c r="BL33" s="255" t="str">
        <f t="shared" ref="BL33:BL36" ca="1" si="90">BL32</f>
        <v>u</v>
      </c>
      <c r="BM33" s="258" t="str">
        <f t="shared" ca="1" si="85"/>
        <v>'Credit_2012Q4'!u</v>
      </c>
      <c r="BO33" s="258" t="str">
        <f t="shared" ca="1" si="86"/>
        <v>'Credit_2013Q4'!u</v>
      </c>
      <c r="BQ33" s="258" t="str">
        <f t="shared" ca="1" si="87"/>
        <v>'Credit_2014Q4'!u</v>
      </c>
      <c r="BS33" s="258" t="str">
        <f t="shared" ca="1" si="87"/>
        <v>'Credit_2015Q4'!u</v>
      </c>
      <c r="BU33" s="258" t="str">
        <f t="shared" ca="1" si="87"/>
        <v>'Credit_2016Q4'!u</v>
      </c>
      <c r="BW33" s="258" t="str">
        <f t="shared" ca="1" si="87"/>
        <v>'Credit_2017Q4'!u</v>
      </c>
      <c r="BY33" s="258" t="str">
        <f t="shared" ca="1" si="87"/>
        <v>'Credit_2018Q4'!u</v>
      </c>
      <c r="CA33" s="258" t="str">
        <f t="shared" ca="1" si="87"/>
        <v>'Credit_2019Q4'!u</v>
      </c>
      <c r="CC33" s="258" t="str">
        <f t="shared" ca="1" si="87"/>
        <v>'Credit_2020Q2'!u</v>
      </c>
    </row>
    <row r="34" spans="3:81">
      <c r="C34" s="354"/>
      <c r="D34" s="354" t="s">
        <v>28</v>
      </c>
      <c r="E34" s="387">
        <v>7</v>
      </c>
      <c r="F34" s="395">
        <v>0.5</v>
      </c>
      <c r="G34" s="438"/>
      <c r="H34" s="387">
        <v>5</v>
      </c>
      <c r="I34" s="395">
        <v>0.33333333333333331</v>
      </c>
      <c r="J34" s="434"/>
      <c r="K34" s="387">
        <v>5</v>
      </c>
      <c r="L34" s="395">
        <v>0.45454545454545453</v>
      </c>
      <c r="M34" s="438"/>
      <c r="N34" s="387">
        <v>5</v>
      </c>
      <c r="O34" s="395">
        <f t="shared" ca="1" si="69"/>
        <v>0.45454545454545453</v>
      </c>
      <c r="P34" s="395"/>
      <c r="Q34" s="387">
        <v>3</v>
      </c>
      <c r="R34" s="395">
        <f t="shared" ca="1" si="70"/>
        <v>0.27272727272727271</v>
      </c>
      <c r="S34" s="395"/>
      <c r="T34" s="387">
        <v>1</v>
      </c>
      <c r="U34" s="370">
        <f t="shared" ca="1" si="71"/>
        <v>0.1111111111111111</v>
      </c>
      <c r="V34" s="395"/>
      <c r="W34" s="387">
        <v>2</v>
      </c>
      <c r="X34" s="395">
        <f t="shared" ca="1" si="72"/>
        <v>0.2857142857142857</v>
      </c>
      <c r="Y34" s="395"/>
      <c r="Z34" s="387">
        <v>2</v>
      </c>
      <c r="AA34" s="395">
        <f t="shared" ca="1" si="73"/>
        <v>0.33333333333333331</v>
      </c>
      <c r="AB34" s="395"/>
      <c r="AC34" s="387">
        <f ca="1">Credit_2010Q4!$AD33</f>
        <v>0</v>
      </c>
      <c r="AD34" s="395">
        <f t="shared" ca="1" si="74"/>
        <v>0</v>
      </c>
      <c r="AE34" s="395"/>
      <c r="AF34" s="387">
        <f ca="1">Credit_2011Q4!$AD33</f>
        <v>0</v>
      </c>
      <c r="AG34" s="395">
        <f t="shared" ca="1" si="75"/>
        <v>0</v>
      </c>
      <c r="AH34" s="395"/>
      <c r="AI34" s="387">
        <f t="shared" ca="1" si="76"/>
        <v>0</v>
      </c>
      <c r="AJ34" s="395">
        <f t="shared" ca="1" si="77"/>
        <v>0</v>
      </c>
      <c r="AK34" s="395"/>
      <c r="AL34" s="387">
        <f t="shared" ca="1" si="78"/>
        <v>0</v>
      </c>
      <c r="AM34" s="395">
        <f t="shared" ca="1" si="79"/>
        <v>0</v>
      </c>
      <c r="AN34" s="395"/>
      <c r="AO34" s="387">
        <f t="shared" ca="1" si="88"/>
        <v>0</v>
      </c>
      <c r="AP34" s="395">
        <f t="shared" ca="1" si="80"/>
        <v>0</v>
      </c>
      <c r="AQ34" s="395"/>
      <c r="AR34" s="387">
        <f t="shared" ca="1" si="81"/>
        <v>0</v>
      </c>
      <c r="AS34" s="395">
        <f t="shared" ca="1" si="82"/>
        <v>0</v>
      </c>
      <c r="AT34" s="395"/>
      <c r="AU34" s="387">
        <f t="shared" ca="1" si="83"/>
        <v>1</v>
      </c>
      <c r="AV34" s="395">
        <f t="shared" ca="1" si="84"/>
        <v>0.5</v>
      </c>
      <c r="AW34" s="395"/>
      <c r="AX34" s="387"/>
      <c r="AY34" s="395"/>
      <c r="AZ34" s="395"/>
      <c r="BA34" s="387"/>
      <c r="BB34" s="395"/>
      <c r="BC34" s="395"/>
      <c r="BD34" s="387"/>
      <c r="BE34" s="395"/>
      <c r="BF34" s="395"/>
      <c r="BG34" s="388"/>
      <c r="BH34" s="457"/>
      <c r="BK34" s="258">
        <f t="shared" ca="1" si="89"/>
        <v>11</v>
      </c>
      <c r="BL34" s="255" t="str">
        <f t="shared" ca="1" si="90"/>
        <v>u</v>
      </c>
      <c r="BM34" s="258" t="str">
        <f t="shared" ca="1" si="85"/>
        <v>'Credit_2012Q4'!u</v>
      </c>
      <c r="BO34" s="258" t="str">
        <f t="shared" ca="1" si="86"/>
        <v>'Credit_2013Q4'!u</v>
      </c>
      <c r="BQ34" s="258" t="str">
        <f t="shared" ca="1" si="87"/>
        <v>'Credit_2014Q4'!u</v>
      </c>
      <c r="BS34" s="258" t="str">
        <f t="shared" ca="1" si="87"/>
        <v>'Credit_2015Q4'!u</v>
      </c>
      <c r="BU34" s="258" t="str">
        <f t="shared" ca="1" si="87"/>
        <v>'Credit_2016Q4'!u</v>
      </c>
      <c r="BW34" s="258" t="str">
        <f t="shared" ca="1" si="87"/>
        <v>'Credit_2017Q4'!u</v>
      </c>
      <c r="BY34" s="258" t="str">
        <f t="shared" ca="1" si="87"/>
        <v>'Credit_2018Q4'!u</v>
      </c>
      <c r="CA34" s="258" t="str">
        <f t="shared" ca="1" si="87"/>
        <v>'Credit_2019Q4'!u</v>
      </c>
      <c r="CC34" s="258" t="str">
        <f t="shared" ca="1" si="87"/>
        <v>'Credit_2020Q2'!u</v>
      </c>
    </row>
    <row r="35" spans="3:81">
      <c r="C35" s="354"/>
      <c r="D35" s="354" t="s">
        <v>49</v>
      </c>
      <c r="E35" s="387">
        <v>0</v>
      </c>
      <c r="F35" s="395">
        <v>0</v>
      </c>
      <c r="G35" s="438"/>
      <c r="H35" s="387">
        <v>2</v>
      </c>
      <c r="I35" s="395">
        <v>0.13333333333333333</v>
      </c>
      <c r="J35" s="434"/>
      <c r="K35" s="387">
        <v>1</v>
      </c>
      <c r="L35" s="395">
        <v>9.0909090909090912E-2</v>
      </c>
      <c r="M35" s="438"/>
      <c r="N35" s="387">
        <v>2</v>
      </c>
      <c r="O35" s="395">
        <f t="shared" ca="1" si="69"/>
        <v>0.18181818181818182</v>
      </c>
      <c r="P35" s="395"/>
      <c r="Q35" s="387">
        <v>2</v>
      </c>
      <c r="R35" s="395">
        <f t="shared" ca="1" si="70"/>
        <v>0.18181818181818182</v>
      </c>
      <c r="S35" s="395"/>
      <c r="T35" s="387">
        <v>2</v>
      </c>
      <c r="U35" s="370">
        <f t="shared" ca="1" si="71"/>
        <v>0.22222222222222221</v>
      </c>
      <c r="V35" s="395"/>
      <c r="W35" s="387">
        <v>2</v>
      </c>
      <c r="X35" s="395">
        <f t="shared" ca="1" si="72"/>
        <v>0.2857142857142857</v>
      </c>
      <c r="Y35" s="395"/>
      <c r="Z35" s="387">
        <v>2</v>
      </c>
      <c r="AA35" s="395">
        <f t="shared" ca="1" si="73"/>
        <v>0.33333333333333331</v>
      </c>
      <c r="AB35" s="395"/>
      <c r="AC35" s="387">
        <f ca="1">Credit_2010Q4!$AD34</f>
        <v>2</v>
      </c>
      <c r="AD35" s="395">
        <f t="shared" ca="1" si="74"/>
        <v>0.4</v>
      </c>
      <c r="AE35" s="395"/>
      <c r="AF35" s="387">
        <f ca="1">Credit_2011Q4!$AD34</f>
        <v>2</v>
      </c>
      <c r="AG35" s="395">
        <f t="shared" ca="1" si="75"/>
        <v>0.5</v>
      </c>
      <c r="AH35" s="395"/>
      <c r="AI35" s="387">
        <f t="shared" ca="1" si="76"/>
        <v>1</v>
      </c>
      <c r="AJ35" s="395">
        <f t="shared" ca="1" si="77"/>
        <v>0.33333333333333331</v>
      </c>
      <c r="AK35" s="395"/>
      <c r="AL35" s="387">
        <f t="shared" ca="1" si="78"/>
        <v>0</v>
      </c>
      <c r="AM35" s="395">
        <f t="shared" ca="1" si="79"/>
        <v>0</v>
      </c>
      <c r="AN35" s="395"/>
      <c r="AO35" s="387">
        <f t="shared" ca="1" si="88"/>
        <v>1</v>
      </c>
      <c r="AP35" s="395">
        <f t="shared" ca="1" si="80"/>
        <v>0.5</v>
      </c>
      <c r="AQ35" s="395"/>
      <c r="AR35" s="387">
        <f t="shared" ca="1" si="81"/>
        <v>1</v>
      </c>
      <c r="AS35" s="395">
        <f t="shared" ca="1" si="82"/>
        <v>0.5</v>
      </c>
      <c r="AT35" s="395"/>
      <c r="AU35" s="387">
        <f t="shared" ca="1" si="83"/>
        <v>1</v>
      </c>
      <c r="AV35" s="395">
        <f t="shared" ca="1" si="84"/>
        <v>0.5</v>
      </c>
      <c r="AW35" s="395"/>
      <c r="AX35" s="387"/>
      <c r="AY35" s="395"/>
      <c r="AZ35" s="395"/>
      <c r="BA35" s="387"/>
      <c r="BB35" s="395"/>
      <c r="BC35" s="395"/>
      <c r="BD35" s="387"/>
      <c r="BE35" s="395"/>
      <c r="BF35" s="395"/>
      <c r="BG35" s="388"/>
      <c r="BH35" s="457"/>
      <c r="BK35" s="258">
        <f t="shared" ca="1" si="89"/>
        <v>12</v>
      </c>
      <c r="BL35" s="255" t="str">
        <f t="shared" ca="1" si="90"/>
        <v>u</v>
      </c>
      <c r="BM35" s="258" t="str">
        <f t="shared" ca="1" si="85"/>
        <v>'Credit_2012Q4'!u</v>
      </c>
      <c r="BO35" s="258" t="str">
        <f t="shared" ca="1" si="86"/>
        <v>'Credit_2013Q4'!u</v>
      </c>
      <c r="BQ35" s="258" t="str">
        <f t="shared" ca="1" si="87"/>
        <v>'Credit_2014Q4'!u</v>
      </c>
      <c r="BS35" s="258" t="str">
        <f t="shared" ca="1" si="87"/>
        <v>'Credit_2015Q4'!u</v>
      </c>
      <c r="BU35" s="258" t="str">
        <f t="shared" ca="1" si="87"/>
        <v>'Credit_2016Q4'!u</v>
      </c>
      <c r="BW35" s="258" t="str">
        <f t="shared" ca="1" si="87"/>
        <v>'Credit_2017Q4'!u</v>
      </c>
      <c r="BY35" s="258" t="str">
        <f t="shared" ca="1" si="87"/>
        <v>'Credit_2018Q4'!u</v>
      </c>
      <c r="CA35" s="258" t="str">
        <f t="shared" ca="1" si="87"/>
        <v>'Credit_2019Q4'!u</v>
      </c>
      <c r="CC35" s="258" t="str">
        <f t="shared" ca="1" si="87"/>
        <v>'Credit_2020Q2'!u</v>
      </c>
    </row>
    <row r="36" spans="3:81">
      <c r="C36" s="356"/>
      <c r="D36" s="356" t="s">
        <v>79</v>
      </c>
      <c r="E36" s="389">
        <v>2</v>
      </c>
      <c r="F36" s="371">
        <v>0.14285714285714285</v>
      </c>
      <c r="G36" s="357"/>
      <c r="H36" s="389">
        <v>2</v>
      </c>
      <c r="I36" s="371">
        <v>0.13333333333333333</v>
      </c>
      <c r="J36" s="358"/>
      <c r="K36" s="389">
        <v>1</v>
      </c>
      <c r="L36" s="371">
        <v>9.0909090909090912E-2</v>
      </c>
      <c r="M36" s="357"/>
      <c r="N36" s="389">
        <v>1</v>
      </c>
      <c r="O36" s="371">
        <f t="shared" ca="1" si="69"/>
        <v>9.0909090909090912E-2</v>
      </c>
      <c r="P36" s="371"/>
      <c r="Q36" s="389">
        <v>1</v>
      </c>
      <c r="R36" s="371">
        <f t="shared" ca="1" si="70"/>
        <v>9.0909090909090912E-2</v>
      </c>
      <c r="S36" s="371"/>
      <c r="T36" s="389">
        <v>1</v>
      </c>
      <c r="U36" s="393">
        <f t="shared" ca="1" si="71"/>
        <v>0.1111111111111111</v>
      </c>
      <c r="V36" s="371"/>
      <c r="W36" s="389">
        <v>1</v>
      </c>
      <c r="X36" s="371">
        <f t="shared" ca="1" si="72"/>
        <v>0.14285714285714285</v>
      </c>
      <c r="Y36" s="371"/>
      <c r="Z36" s="389">
        <v>1</v>
      </c>
      <c r="AA36" s="371">
        <f t="shared" ca="1" si="73"/>
        <v>0.16666666666666666</v>
      </c>
      <c r="AB36" s="371"/>
      <c r="AC36" s="389">
        <f ca="1">Credit_2010Q4!$AD35</f>
        <v>1</v>
      </c>
      <c r="AD36" s="371">
        <f t="shared" ca="1" si="74"/>
        <v>0.2</v>
      </c>
      <c r="AE36" s="371"/>
      <c r="AF36" s="389">
        <f ca="1">Credit_2011Q4!$AD35</f>
        <v>1</v>
      </c>
      <c r="AG36" s="371">
        <f t="shared" ca="1" si="75"/>
        <v>0.25</v>
      </c>
      <c r="AH36" s="371"/>
      <c r="AI36" s="389">
        <f t="shared" ca="1" si="76"/>
        <v>1</v>
      </c>
      <c r="AJ36" s="371">
        <f t="shared" ca="1" si="77"/>
        <v>0.33333333333333331</v>
      </c>
      <c r="AK36" s="371"/>
      <c r="AL36" s="389">
        <f t="shared" ca="1" si="78"/>
        <v>1</v>
      </c>
      <c r="AM36" s="371">
        <f t="shared" ca="1" si="79"/>
        <v>0.5</v>
      </c>
      <c r="AN36" s="371"/>
      <c r="AO36" s="389">
        <f t="shared" ca="1" si="88"/>
        <v>0</v>
      </c>
      <c r="AP36" s="371">
        <f t="shared" ca="1" si="80"/>
        <v>0</v>
      </c>
      <c r="AQ36" s="371"/>
      <c r="AR36" s="389">
        <f t="shared" ca="1" si="81"/>
        <v>0</v>
      </c>
      <c r="AS36" s="371">
        <f t="shared" ca="1" si="82"/>
        <v>0</v>
      </c>
      <c r="AT36" s="371"/>
      <c r="AU36" s="389">
        <f t="shared" ca="1" si="83"/>
        <v>0</v>
      </c>
      <c r="AV36" s="371">
        <f t="shared" ca="1" si="84"/>
        <v>0</v>
      </c>
      <c r="AW36" s="371"/>
      <c r="AX36" s="389"/>
      <c r="AY36" s="371"/>
      <c r="AZ36" s="371"/>
      <c r="BA36" s="389"/>
      <c r="BB36" s="371"/>
      <c r="BC36" s="371"/>
      <c r="BD36" s="389"/>
      <c r="BE36" s="371"/>
      <c r="BF36" s="371"/>
      <c r="BG36" s="390"/>
      <c r="BH36" s="458"/>
      <c r="BK36" s="258">
        <f t="shared" ca="1" si="89"/>
        <v>13</v>
      </c>
      <c r="BL36" s="255" t="str">
        <f t="shared" ca="1" si="90"/>
        <v>u</v>
      </c>
      <c r="BM36" s="258" t="str">
        <f t="shared" ca="1" si="85"/>
        <v>'Credit_2012Q4'!u</v>
      </c>
      <c r="BO36" s="258" t="str">
        <f t="shared" ca="1" si="86"/>
        <v>'Credit_2013Q4'!u</v>
      </c>
      <c r="BQ36" s="258" t="str">
        <f t="shared" ca="1" si="87"/>
        <v>'Credit_2014Q4'!u</v>
      </c>
      <c r="BS36" s="258" t="str">
        <f t="shared" ca="1" si="87"/>
        <v>'Credit_2015Q4'!u</v>
      </c>
      <c r="BU36" s="258" t="str">
        <f t="shared" ca="1" si="87"/>
        <v>'Credit_2016Q4'!u</v>
      </c>
      <c r="BW36" s="258" t="str">
        <f t="shared" ca="1" si="87"/>
        <v>'Credit_2017Q4'!u</v>
      </c>
      <c r="BY36" s="258" t="str">
        <f t="shared" ca="1" si="87"/>
        <v>'Credit_2018Q4'!u</v>
      </c>
      <c r="CA36" s="258" t="str">
        <f t="shared" ca="1" si="87"/>
        <v>'Credit_2019Q4'!u</v>
      </c>
      <c r="CC36" s="258" t="str">
        <f t="shared" ca="1" si="87"/>
        <v>'Credit_2020Q2'!u</v>
      </c>
    </row>
    <row r="37" spans="3:81" s="365" customFormat="1">
      <c r="C37" s="359"/>
      <c r="D37" s="359" t="s">
        <v>80</v>
      </c>
      <c r="E37" s="291">
        <f t="shared" ref="E37:AA37" ca="1" si="91">SUM(E31:E36)</f>
        <v>14</v>
      </c>
      <c r="F37" s="376">
        <f t="shared" ca="1" si="91"/>
        <v>1</v>
      </c>
      <c r="G37" s="366"/>
      <c r="H37" s="291">
        <f t="shared" ca="1" si="91"/>
        <v>15</v>
      </c>
      <c r="I37" s="376">
        <f t="shared" ca="1" si="91"/>
        <v>1</v>
      </c>
      <c r="J37" s="366"/>
      <c r="K37" s="291">
        <f t="shared" ca="1" si="91"/>
        <v>11</v>
      </c>
      <c r="L37" s="376">
        <f t="shared" ca="1" si="91"/>
        <v>1</v>
      </c>
      <c r="M37" s="366"/>
      <c r="N37" s="291">
        <f ca="1">SUM(N31:N36)</f>
        <v>11</v>
      </c>
      <c r="O37" s="376">
        <f ca="1">SUM(O31:O36)</f>
        <v>1</v>
      </c>
      <c r="P37" s="376"/>
      <c r="Q37" s="291">
        <f ca="1">SUM(Q31:Q36)</f>
        <v>11</v>
      </c>
      <c r="R37" s="376">
        <f t="shared" ca="1" si="91"/>
        <v>1</v>
      </c>
      <c r="S37" s="376"/>
      <c r="T37" s="291">
        <f ca="1">SUM(T31:T36)</f>
        <v>9</v>
      </c>
      <c r="U37" s="376">
        <f t="shared" ca="1" si="91"/>
        <v>1</v>
      </c>
      <c r="V37" s="376"/>
      <c r="W37" s="291">
        <f ca="1">SUM(W31:W36)</f>
        <v>7</v>
      </c>
      <c r="X37" s="376">
        <f t="shared" ca="1" si="91"/>
        <v>1</v>
      </c>
      <c r="Y37" s="376"/>
      <c r="Z37" s="291">
        <f ca="1">SUM(Z31:Z36)</f>
        <v>6</v>
      </c>
      <c r="AA37" s="376">
        <f t="shared" ca="1" si="91"/>
        <v>0.99999999999999989</v>
      </c>
      <c r="AB37" s="376"/>
      <c r="AC37" s="291">
        <f t="shared" ref="AC37:AF37" ca="1" si="92">SUM(AC31:AC36)</f>
        <v>5</v>
      </c>
      <c r="AD37" s="376">
        <f t="shared" ca="1" si="92"/>
        <v>1</v>
      </c>
      <c r="AE37" s="376"/>
      <c r="AF37" s="291">
        <f t="shared" ca="1" si="92"/>
        <v>4</v>
      </c>
      <c r="AG37" s="376">
        <f t="shared" ref="AG37" ca="1" si="93">SUM(AG31:AG36)</f>
        <v>1</v>
      </c>
      <c r="AH37" s="376"/>
      <c r="AI37" s="291">
        <f ca="1">SUM(AI31:AI36)</f>
        <v>3</v>
      </c>
      <c r="AJ37" s="376">
        <f t="shared" ref="AJ37" ca="1" si="94">SUM(AJ31:AJ36)</f>
        <v>1</v>
      </c>
      <c r="AK37" s="376"/>
      <c r="AL37" s="291">
        <f ca="1">SUM(AL31:AL36)</f>
        <v>2</v>
      </c>
      <c r="AM37" s="376">
        <f ca="1">SUM(AM31:AM36)</f>
        <v>1</v>
      </c>
      <c r="AN37" s="376"/>
      <c r="AO37" s="391">
        <f ca="1">SUM(AO31:AO36)</f>
        <v>2</v>
      </c>
      <c r="AP37" s="376">
        <f ca="1">SUM(AP31:AP36)</f>
        <v>1</v>
      </c>
      <c r="AQ37" s="376"/>
      <c r="AR37" s="291">
        <f ca="1">SUM(AR31:AR36)</f>
        <v>2</v>
      </c>
      <c r="AS37" s="376">
        <f ca="1">SUM(AS31:AS36)</f>
        <v>1</v>
      </c>
      <c r="AT37" s="376"/>
      <c r="AU37" s="291">
        <f ca="1">SUM(AU31:AU36)</f>
        <v>2</v>
      </c>
      <c r="AV37" s="376">
        <f ca="1">SUM(AV31:AV36)</f>
        <v>1</v>
      </c>
      <c r="AW37" s="376"/>
      <c r="AX37" s="291"/>
      <c r="AY37" s="376"/>
      <c r="AZ37" s="376"/>
      <c r="BA37" s="391"/>
      <c r="BB37" s="376"/>
      <c r="BC37" s="376"/>
      <c r="BD37" s="391"/>
      <c r="BE37" s="376"/>
      <c r="BF37" s="376"/>
      <c r="BG37" s="392"/>
      <c r="BH37" s="459"/>
      <c r="BL37" s="260"/>
    </row>
    <row r="38" spans="3:81">
      <c r="AA38" s="397"/>
    </row>
    <row r="40" spans="3:81">
      <c r="C40" s="279"/>
      <c r="D40" s="279" t="s">
        <v>547</v>
      </c>
    </row>
  </sheetData>
  <mergeCells count="20">
    <mergeCell ref="AU7:AV7"/>
    <mergeCell ref="AR7:AS7"/>
    <mergeCell ref="BG7:BH7"/>
    <mergeCell ref="AO7:AP7"/>
    <mergeCell ref="AX7:AY7"/>
    <mergeCell ref="BA7:BB7"/>
    <mergeCell ref="BD7:BE7"/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7">
    <tabColor rgb="FF002060"/>
    <pageSetUpPr fitToPage="1"/>
  </sheetPr>
  <dimension ref="A1:AG84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customWidth="1" outlineLevel="1"/>
    <col min="5" max="5" width="12.5" style="4" customWidth="1" outlineLevel="1"/>
    <col min="6" max="6" width="9.1640625" style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customWidth="1" outlineLevel="1"/>
    <col min="27" max="27" width="12.5" style="107" customWidth="1" outlineLevel="1"/>
    <col min="28" max="33" width="9.1640625" style="1" customWidth="1" outlineLevel="1"/>
    <col min="34" max="16384" width="9.1640625" style="1"/>
  </cols>
  <sheetData>
    <row r="1" spans="1:33" ht="19">
      <c r="A1" s="75" t="s">
        <v>387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150" t="s">
        <v>0</v>
      </c>
      <c r="B6" s="151" t="s">
        <v>388</v>
      </c>
      <c r="C6" s="152"/>
      <c r="D6" s="152"/>
      <c r="E6" s="153">
        <v>40543</v>
      </c>
      <c r="W6" s="150" t="s">
        <v>0</v>
      </c>
      <c r="X6" s="151" t="s">
        <v>388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14.351351351351351</v>
      </c>
      <c r="AG6" s="126"/>
    </row>
    <row r="7" spans="1:33" ht="15" thickBot="1">
      <c r="A7" s="81" t="s">
        <v>6</v>
      </c>
      <c r="B7" s="82" t="s">
        <v>110</v>
      </c>
      <c r="C7" s="82">
        <v>22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21</v>
      </c>
      <c r="D8" s="80" t="s">
        <v>327</v>
      </c>
      <c r="E8" s="101">
        <f t="shared" ref="E8:E13" si="0">VLOOKUP($D8,$Q$7:$R$68,2,0)</f>
        <v>0.92936836749527552</v>
      </c>
      <c r="F8" s="65"/>
      <c r="G8" s="72" t="s">
        <v>138</v>
      </c>
      <c r="H8" s="86">
        <f>COUNTIF(C$7:C$67,"&gt;20")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4">
      <c r="A9" s="81" t="s">
        <v>3</v>
      </c>
      <c r="B9" s="82" t="s">
        <v>10</v>
      </c>
      <c r="C9" s="82">
        <v>20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COUNTIF(C$7:C$67,"=20")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4">
      <c r="A10" s="81" t="s">
        <v>18</v>
      </c>
      <c r="B10" s="82" t="s">
        <v>10</v>
      </c>
      <c r="C10" s="82">
        <v>20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COUNTIF(C$7:C$67,"=19")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4">
      <c r="A11" s="81" t="s">
        <v>32</v>
      </c>
      <c r="B11" s="82" t="s">
        <v>10</v>
      </c>
      <c r="C11" s="82">
        <v>20</v>
      </c>
      <c r="D11" s="82" t="s">
        <v>289</v>
      </c>
      <c r="E11" s="102">
        <f t="shared" si="0"/>
        <v>0.76510407852428497</v>
      </c>
      <c r="F11" s="65"/>
      <c r="G11" s="72" t="s">
        <v>28</v>
      </c>
      <c r="H11" s="86">
        <f>COUNTIF(C$7:C$67,"=18")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4">
      <c r="A12" s="81" t="s">
        <v>451</v>
      </c>
      <c r="B12" s="82" t="s">
        <v>10</v>
      </c>
      <c r="C12" s="82">
        <v>20</v>
      </c>
      <c r="D12" s="82" t="s">
        <v>443</v>
      </c>
      <c r="E12" s="102">
        <f t="shared" si="0"/>
        <v>0.96341849943457658</v>
      </c>
      <c r="F12" s="65"/>
      <c r="G12" s="72" t="s">
        <v>49</v>
      </c>
      <c r="H12" s="86">
        <f>COUNTIF(C$7:C$67,"=17")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5" thickBot="1">
      <c r="A13" s="81" t="s">
        <v>369</v>
      </c>
      <c r="B13" s="82" t="s">
        <v>10</v>
      </c>
      <c r="C13" s="82">
        <v>20</v>
      </c>
      <c r="D13" s="82" t="s">
        <v>368</v>
      </c>
      <c r="E13" s="102">
        <f t="shared" si="0"/>
        <v>0.541533003736272</v>
      </c>
      <c r="F13" s="65"/>
      <c r="G13" s="93" t="s">
        <v>79</v>
      </c>
      <c r="H13" s="94">
        <f>COUNTIF(C$7:C$67,"&lt;17")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4">
      <c r="A14" s="81" t="s">
        <v>14</v>
      </c>
      <c r="B14" s="82" t="s">
        <v>10</v>
      </c>
      <c r="C14" s="82">
        <v>20</v>
      </c>
      <c r="D14" s="82" t="s">
        <v>334</v>
      </c>
      <c r="E14" s="102">
        <f t="shared" ref="E14:E45" si="3">VLOOKUP($D14,$Q$7:$R$68,2,0)</f>
        <v>0.975461842272901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4">
      <c r="A15" s="81" t="s">
        <v>26</v>
      </c>
      <c r="B15" s="82" t="s">
        <v>10</v>
      </c>
      <c r="C15" s="82">
        <v>20</v>
      </c>
      <c r="D15" s="82" t="s">
        <v>335</v>
      </c>
      <c r="E15" s="102">
        <f t="shared" si="3"/>
        <v>0.91865112788863534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4">
      <c r="A16" s="81" t="s">
        <v>257</v>
      </c>
      <c r="B16" s="82" t="s">
        <v>10</v>
      </c>
      <c r="C16" s="82">
        <v>20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34</v>
      </c>
      <c r="X16" s="110" t="s">
        <v>28</v>
      </c>
      <c r="Y16" s="110">
        <v>14</v>
      </c>
      <c r="Z16" s="110" t="s">
        <v>293</v>
      </c>
      <c r="AA16" s="111">
        <v>1</v>
      </c>
      <c r="AG16" s="127"/>
    </row>
    <row r="17" spans="1:33" ht="14">
      <c r="A17" s="83" t="s">
        <v>15</v>
      </c>
      <c r="B17" s="80" t="s">
        <v>16</v>
      </c>
      <c r="C17" s="80">
        <v>19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24</v>
      </c>
      <c r="X17" s="110" t="s">
        <v>28</v>
      </c>
      <c r="Y17" s="110">
        <v>14</v>
      </c>
      <c r="Z17" s="110" t="s">
        <v>323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5" thickBot="1">
      <c r="A18" s="83" t="s">
        <v>17</v>
      </c>
      <c r="B18" s="80" t="s">
        <v>16</v>
      </c>
      <c r="C18" s="80">
        <v>19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59</v>
      </c>
      <c r="X18" s="110" t="s">
        <v>28</v>
      </c>
      <c r="Y18" s="110">
        <v>14</v>
      </c>
      <c r="Z18" s="110" t="s">
        <v>336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171" t="s">
        <v>29</v>
      </c>
      <c r="B19" s="172" t="s">
        <v>16</v>
      </c>
      <c r="C19" s="172">
        <v>19</v>
      </c>
      <c r="D19" s="172" t="s">
        <v>285</v>
      </c>
      <c r="E19" s="173">
        <f t="shared" si="3"/>
        <v>0.71562826313957539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64</v>
      </c>
      <c r="X19" s="110" t="s">
        <v>49</v>
      </c>
      <c r="Y19" s="110">
        <v>13</v>
      </c>
      <c r="Z19" s="110" t="s">
        <v>287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4">
      <c r="A20" s="83" t="s">
        <v>31</v>
      </c>
      <c r="B20" s="80" t="s">
        <v>16</v>
      </c>
      <c r="C20" s="80">
        <v>19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4">
      <c r="A21" s="83" t="s">
        <v>253</v>
      </c>
      <c r="B21" s="80" t="s">
        <v>16</v>
      </c>
      <c r="C21" s="80">
        <v>19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28</v>
      </c>
      <c r="Y21" s="110">
        <v>14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4">
      <c r="A22" s="83" t="s">
        <v>12</v>
      </c>
      <c r="B22" s="80" t="s">
        <v>16</v>
      </c>
      <c r="C22" s="80">
        <v>19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4">
      <c r="A23" s="83" t="s">
        <v>52</v>
      </c>
      <c r="B23" s="80" t="s">
        <v>16</v>
      </c>
      <c r="C23" s="80">
        <v>19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5" thickBot="1">
      <c r="A24" s="83" t="s">
        <v>512</v>
      </c>
      <c r="B24" s="80" t="s">
        <v>16</v>
      </c>
      <c r="C24" s="80">
        <v>19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4">
      <c r="A25" s="83" t="s">
        <v>21</v>
      </c>
      <c r="B25" s="80" t="s">
        <v>16</v>
      </c>
      <c r="C25" s="80">
        <v>19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4">
      <c r="A26" s="83" t="s">
        <v>23</v>
      </c>
      <c r="B26" s="110" t="s">
        <v>16</v>
      </c>
      <c r="C26" s="110">
        <v>19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4">
      <c r="A27" s="83" t="s">
        <v>256</v>
      </c>
      <c r="B27" s="80" t="s">
        <v>16</v>
      </c>
      <c r="C27" s="80">
        <v>19</v>
      </c>
      <c r="D27" s="80" t="s">
        <v>319</v>
      </c>
      <c r="E27" s="101">
        <f t="shared" si="3"/>
        <v>0.85816623707026407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4">
      <c r="A28" s="83" t="s">
        <v>13</v>
      </c>
      <c r="B28" s="80" t="s">
        <v>16</v>
      </c>
      <c r="C28" s="80">
        <v>19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5" thickBot="1">
      <c r="A29" s="83" t="s">
        <v>25</v>
      </c>
      <c r="B29" s="80" t="s">
        <v>16</v>
      </c>
      <c r="C29" s="80">
        <v>19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62</v>
      </c>
      <c r="B30" s="80" t="s">
        <v>16</v>
      </c>
      <c r="C30" s="80">
        <v>19</v>
      </c>
      <c r="D30" s="110" t="s">
        <v>329</v>
      </c>
      <c r="E30" s="111">
        <f t="shared" si="3"/>
        <v>0.93843994106691131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4">
      <c r="A31" s="81" t="s">
        <v>258</v>
      </c>
      <c r="B31" s="82" t="s">
        <v>28</v>
      </c>
      <c r="C31" s="82">
        <v>18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4">
      <c r="A32" s="81" t="s">
        <v>55</v>
      </c>
      <c r="B32" s="82" t="s">
        <v>28</v>
      </c>
      <c r="C32" s="82">
        <v>18</v>
      </c>
      <c r="D32" s="82" t="s">
        <v>277</v>
      </c>
      <c r="E32" s="102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4">
      <c r="A33" s="81" t="s">
        <v>30</v>
      </c>
      <c r="B33" s="82" t="s">
        <v>28</v>
      </c>
      <c r="C33" s="82">
        <v>18</v>
      </c>
      <c r="D33" s="82" t="s">
        <v>284</v>
      </c>
      <c r="E33" s="102">
        <f t="shared" si="3"/>
        <v>0.91199977892108686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4">
      <c r="A34" s="81" t="s">
        <v>34</v>
      </c>
      <c r="B34" s="82" t="s">
        <v>28</v>
      </c>
      <c r="C34" s="82">
        <v>18</v>
      </c>
      <c r="D34" s="82" t="s">
        <v>293</v>
      </c>
      <c r="E34" s="102">
        <f t="shared" si="3"/>
        <v>1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5" thickBot="1">
      <c r="A35" s="81" t="s">
        <v>36</v>
      </c>
      <c r="B35" s="82" t="s">
        <v>28</v>
      </c>
      <c r="C35" s="82">
        <v>18</v>
      </c>
      <c r="D35" s="82" t="s">
        <v>296</v>
      </c>
      <c r="E35" s="102">
        <f t="shared" si="3"/>
        <v>0.80341264723043471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4">
      <c r="A36" s="81" t="s">
        <v>11</v>
      </c>
      <c r="B36" s="82" t="s">
        <v>28</v>
      </c>
      <c r="C36" s="82">
        <v>18</v>
      </c>
      <c r="D36" s="82" t="s">
        <v>297</v>
      </c>
      <c r="E36" s="102">
        <f t="shared" si="3"/>
        <v>0.58646630934150079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4">
      <c r="A37" s="81" t="s">
        <v>260</v>
      </c>
      <c r="B37" s="82" t="s">
        <v>28</v>
      </c>
      <c r="C37" s="82">
        <v>18</v>
      </c>
      <c r="D37" s="82" t="s">
        <v>300</v>
      </c>
      <c r="E37" s="102">
        <f t="shared" si="3"/>
        <v>1.0379329114785329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4">
      <c r="A38" s="81" t="s">
        <v>20</v>
      </c>
      <c r="B38" s="82" t="s">
        <v>28</v>
      </c>
      <c r="C38" s="82">
        <v>18</v>
      </c>
      <c r="D38" s="82" t="s">
        <v>302</v>
      </c>
      <c r="E38" s="102">
        <f t="shared" si="3"/>
        <v>0.97697589100213744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4">
      <c r="A39" s="81" t="s">
        <v>66</v>
      </c>
      <c r="B39" s="82" t="s">
        <v>28</v>
      </c>
      <c r="C39" s="82">
        <v>18</v>
      </c>
      <c r="D39" s="82" t="s">
        <v>314</v>
      </c>
      <c r="E39" s="102">
        <f t="shared" si="3"/>
        <v>0.99569209153466032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4">
      <c r="A40" s="168" t="s">
        <v>53</v>
      </c>
      <c r="B40" s="169" t="s">
        <v>28</v>
      </c>
      <c r="C40" s="169">
        <v>18</v>
      </c>
      <c r="D40" s="169" t="s">
        <v>317</v>
      </c>
      <c r="E40" s="170">
        <f t="shared" si="3"/>
        <v>0.99967409016838671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4">
      <c r="A41" s="81" t="s">
        <v>41</v>
      </c>
      <c r="B41" s="82" t="s">
        <v>28</v>
      </c>
      <c r="C41" s="82">
        <v>18</v>
      </c>
      <c r="D41" s="82" t="s">
        <v>321</v>
      </c>
      <c r="E41" s="102">
        <f t="shared" si="3"/>
        <v>0.99126425624848336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4">
      <c r="A42" s="81" t="s">
        <v>24</v>
      </c>
      <c r="B42" s="82" t="s">
        <v>28</v>
      </c>
      <c r="C42" s="82">
        <v>18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4">
      <c r="A43" s="81" t="s">
        <v>43</v>
      </c>
      <c r="B43" s="82" t="s">
        <v>28</v>
      </c>
      <c r="C43" s="82">
        <v>18</v>
      </c>
      <c r="D43" s="82" t="s">
        <v>324</v>
      </c>
      <c r="E43" s="102">
        <f>VLOOKUP($D43,$Q$7:$R$68,2,0)</f>
        <v>0.61841824770837783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4">
      <c r="A44" s="81" t="s">
        <v>45</v>
      </c>
      <c r="B44" s="82" t="s">
        <v>28</v>
      </c>
      <c r="C44" s="82">
        <v>18</v>
      </c>
      <c r="D44" s="82" t="s">
        <v>318</v>
      </c>
      <c r="E44" s="102">
        <f t="shared" si="3"/>
        <v>0.5641445718679996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4">
      <c r="A45" s="81" t="s">
        <v>75</v>
      </c>
      <c r="B45" s="82" t="s">
        <v>28</v>
      </c>
      <c r="C45" s="82">
        <v>18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4">
      <c r="A46" s="81" t="s">
        <v>59</v>
      </c>
      <c r="B46" s="82" t="s">
        <v>28</v>
      </c>
      <c r="C46" s="82">
        <v>18</v>
      </c>
      <c r="D46" s="82" t="s">
        <v>336</v>
      </c>
      <c r="E46" s="102">
        <f t="shared" ref="E46:E67" si="6">VLOOKUP($D46,$Q$7:$R$68,2,0)</f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4">
      <c r="A47" s="79" t="s">
        <v>9</v>
      </c>
      <c r="B47" s="80" t="s">
        <v>49</v>
      </c>
      <c r="C47" s="80">
        <v>17</v>
      </c>
      <c r="D47" s="80" t="s">
        <v>273</v>
      </c>
      <c r="E47" s="101">
        <f t="shared" si="6"/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4">
      <c r="A48" s="79" t="s">
        <v>48</v>
      </c>
      <c r="B48" s="80" t="s">
        <v>49</v>
      </c>
      <c r="C48" s="80">
        <v>17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4">
      <c r="A49" s="79" t="s">
        <v>60</v>
      </c>
      <c r="B49" s="80" t="s">
        <v>49</v>
      </c>
      <c r="C49" s="80">
        <v>17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4">
      <c r="A50" s="83" t="s">
        <v>259</v>
      </c>
      <c r="B50" s="110" t="s">
        <v>49</v>
      </c>
      <c r="C50" s="110">
        <v>17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4">
      <c r="A51" s="168" t="s">
        <v>64</v>
      </c>
      <c r="B51" s="169" t="s">
        <v>49</v>
      </c>
      <c r="C51" s="169">
        <v>17</v>
      </c>
      <c r="D51" s="169" t="s">
        <v>287</v>
      </c>
      <c r="E51" s="170">
        <f t="shared" si="6"/>
        <v>1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4">
      <c r="A52" s="79" t="s">
        <v>57</v>
      </c>
      <c r="B52" s="80" t="s">
        <v>49</v>
      </c>
      <c r="C52" s="80">
        <v>17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4">
      <c r="A53" s="79" t="s">
        <v>35</v>
      </c>
      <c r="B53" s="80" t="s">
        <v>49</v>
      </c>
      <c r="C53" s="80">
        <v>17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4">
      <c r="A54" s="79" t="s">
        <v>51</v>
      </c>
      <c r="B54" s="80" t="s">
        <v>49</v>
      </c>
      <c r="C54" s="80">
        <v>17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4">
      <c r="A55" s="83" t="s">
        <v>39</v>
      </c>
      <c r="B55" s="80" t="s">
        <v>49</v>
      </c>
      <c r="C55" s="80">
        <v>17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4">
      <c r="A56" s="79" t="s">
        <v>58</v>
      </c>
      <c r="B56" s="80" t="s">
        <v>49</v>
      </c>
      <c r="C56" s="80">
        <v>17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4">
      <c r="A57" s="79" t="s">
        <v>40</v>
      </c>
      <c r="B57" s="80" t="s">
        <v>49</v>
      </c>
      <c r="C57" s="80">
        <v>17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4">
      <c r="A58" s="79" t="s">
        <v>22</v>
      </c>
      <c r="B58" s="80" t="s">
        <v>49</v>
      </c>
      <c r="C58" s="80">
        <v>17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4">
      <c r="A59" s="81" t="s">
        <v>265</v>
      </c>
      <c r="B59" s="82" t="s">
        <v>56</v>
      </c>
      <c r="C59" s="82">
        <v>16</v>
      </c>
      <c r="D59" s="82" t="s">
        <v>313</v>
      </c>
      <c r="E59" s="102">
        <f t="shared" si="6"/>
        <v>0.99533285779852521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16</v>
      </c>
      <c r="Y59" s="110">
        <v>15</v>
      </c>
      <c r="Z59" s="110" t="s">
        <v>285</v>
      </c>
      <c r="AA59" s="111">
        <v>0.71562826313957539</v>
      </c>
    </row>
    <row r="60" spans="1:27" ht="14">
      <c r="A60" s="81" t="s">
        <v>54</v>
      </c>
      <c r="B60" s="82" t="s">
        <v>56</v>
      </c>
      <c r="C60" s="82">
        <v>16</v>
      </c>
      <c r="D60" s="82" t="s">
        <v>325</v>
      </c>
      <c r="E60" s="102">
        <f t="shared" si="6"/>
        <v>0.99461817608484948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4">
      <c r="A61" s="83" t="s">
        <v>42</v>
      </c>
      <c r="B61" s="110" t="s">
        <v>61</v>
      </c>
      <c r="C61" s="110">
        <v>15</v>
      </c>
      <c r="D61" s="110" t="s">
        <v>320</v>
      </c>
      <c r="E61" s="111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5" thickBot="1">
      <c r="A62" s="162" t="s">
        <v>248</v>
      </c>
      <c r="B62" s="163" t="s">
        <v>125</v>
      </c>
      <c r="C62" s="163">
        <v>9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4">
      <c r="A63" s="79" t="s">
        <v>473</v>
      </c>
      <c r="B63" s="80" t="s">
        <v>108</v>
      </c>
      <c r="C63" s="80">
        <v>23</v>
      </c>
      <c r="D63" s="80" t="s">
        <v>439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4">
      <c r="A64" s="79" t="s">
        <v>474</v>
      </c>
      <c r="B64" s="80" t="s">
        <v>2</v>
      </c>
      <c r="C64" s="80">
        <v>21</v>
      </c>
      <c r="D64" s="80" t="s">
        <v>440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4">
      <c r="A65" s="81" t="s">
        <v>475</v>
      </c>
      <c r="B65" s="82" t="s">
        <v>56</v>
      </c>
      <c r="C65" s="82">
        <v>16</v>
      </c>
      <c r="D65" s="82" t="s">
        <v>441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4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28</v>
      </c>
      <c r="Y66" s="110">
        <v>14</v>
      </c>
      <c r="Z66" s="110" t="s">
        <v>324</v>
      </c>
      <c r="AA66" s="111">
        <v>0.61841824770837783</v>
      </c>
    </row>
    <row r="67" spans="1:27" ht="15" thickBot="1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4">
      <c r="A68" s="76" t="s">
        <v>135</v>
      </c>
      <c r="B68" s="78" t="s">
        <v>28</v>
      </c>
      <c r="C68" s="77">
        <f>AVERAGE(C7:C62)</f>
        <v>18.160714285714285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4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4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4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4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4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5" thickBot="1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4">
      <c r="A75" s="132" t="s">
        <v>357</v>
      </c>
      <c r="D75" s="14"/>
      <c r="E75" s="1"/>
      <c r="F75" s="135"/>
      <c r="Q75" s="99"/>
      <c r="R75" s="98"/>
      <c r="S75" s="97"/>
    </row>
    <row r="76" spans="1:27" ht="14">
      <c r="A76" s="85" t="s">
        <v>358</v>
      </c>
      <c r="D76" s="14"/>
      <c r="E76" s="1"/>
      <c r="Q76" s="99"/>
      <c r="R76" s="98"/>
      <c r="S76" s="97"/>
    </row>
    <row r="77" spans="1:27" ht="14">
      <c r="A77" s="85"/>
      <c r="D77" s="14"/>
      <c r="E77" s="1"/>
      <c r="Q77" s="99"/>
      <c r="R77" s="100"/>
      <c r="S77" s="99"/>
    </row>
    <row r="78" spans="1:27">
      <c r="A78" s="85"/>
    </row>
    <row r="79" spans="1:27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>
      <c r="A81" s="1"/>
      <c r="B81" s="1"/>
      <c r="C81" s="4"/>
      <c r="D81" s="4"/>
      <c r="E81" s="121"/>
      <c r="F81" s="1"/>
      <c r="AA81" s="136"/>
    </row>
    <row r="82" spans="1:27" s="133" customFormat="1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>
      <c r="Q83" s="133"/>
      <c r="R83" s="133"/>
      <c r="S83" s="133"/>
      <c r="AA83" s="1"/>
    </row>
    <row r="84" spans="1:27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8">
    <tabColor rgb="FF002060"/>
    <pageSetUpPr fitToPage="1"/>
  </sheetPr>
  <dimension ref="A1:AH88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384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150" t="s">
        <v>0</v>
      </c>
      <c r="B6" s="151" t="s">
        <v>385</v>
      </c>
      <c r="C6" s="152"/>
      <c r="D6" s="152"/>
      <c r="E6" s="153">
        <v>40543</v>
      </c>
      <c r="W6" s="150" t="s">
        <v>0</v>
      </c>
      <c r="X6" s="151" t="s">
        <v>385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14.45945945945946</v>
      </c>
      <c r="AG6" s="126"/>
    </row>
    <row r="7" spans="1:33" ht="15" thickBot="1">
      <c r="A7" s="81" t="s">
        <v>6</v>
      </c>
      <c r="B7" s="82" t="s">
        <v>110</v>
      </c>
      <c r="C7" s="82">
        <v>18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17</v>
      </c>
      <c r="D8" s="80" t="s">
        <v>327</v>
      </c>
      <c r="E8" s="101">
        <f t="shared" ref="E8:E14" si="0">VLOOKUP($D8,$Q$7:$R$68,2,0)</f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86"/>
      <c r="N8" s="87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4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86"/>
      <c r="N9" s="87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4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86"/>
      <c r="N10" s="87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4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86"/>
      <c r="N11" s="8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4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M12" s="86"/>
      <c r="N12" s="87"/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5" thickBot="1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M13" s="86"/>
      <c r="N13" s="87"/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4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M14" s="89"/>
      <c r="N14" s="90"/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4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4">
      <c r="A16" s="81" t="s">
        <v>26</v>
      </c>
      <c r="B16" s="82" t="s">
        <v>10</v>
      </c>
      <c r="C16" s="82">
        <v>16</v>
      </c>
      <c r="D16" s="82" t="s">
        <v>335</v>
      </c>
      <c r="E16" s="102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4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5" thickBot="1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4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4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4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4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5" thickBot="1">
      <c r="A24" s="83" t="s">
        <v>512</v>
      </c>
      <c r="B24" s="80" t="s">
        <v>16</v>
      </c>
      <c r="C24" s="80">
        <v>15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4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4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4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4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5" thickBot="1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4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4">
      <c r="A32" s="83" t="s">
        <v>62</v>
      </c>
      <c r="B32" s="80" t="s">
        <v>16</v>
      </c>
      <c r="C32" s="80">
        <v>15</v>
      </c>
      <c r="D32" s="110" t="s">
        <v>329</v>
      </c>
      <c r="E32" s="111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4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4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5" thickBot="1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4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4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4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4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4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4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4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4">
      <c r="A43" s="81" t="s">
        <v>41</v>
      </c>
      <c r="B43" s="82" t="s">
        <v>28</v>
      </c>
      <c r="C43" s="82">
        <v>14</v>
      </c>
      <c r="D43" s="82" t="s">
        <v>321</v>
      </c>
      <c r="E43" s="102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4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4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4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4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4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4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4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4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4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4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4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4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4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4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4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4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4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4">
      <c r="A61" s="144" t="s">
        <v>42</v>
      </c>
      <c r="B61" s="145" t="s">
        <v>61</v>
      </c>
      <c r="C61" s="145">
        <v>11</v>
      </c>
      <c r="D61" s="145" t="s">
        <v>320</v>
      </c>
      <c r="E61" s="146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5" thickBot="1">
      <c r="A62" s="162" t="s">
        <v>248</v>
      </c>
      <c r="B62" s="163" t="s">
        <v>125</v>
      </c>
      <c r="C62" s="163">
        <v>5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4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4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4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4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5" thickBot="1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4">
      <c r="A68" s="76" t="s">
        <v>135</v>
      </c>
      <c r="B68" s="78" t="s">
        <v>28</v>
      </c>
      <c r="C68" s="77">
        <f>AVERAGE(C7:C62)</f>
        <v>14.232142857142858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4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4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4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4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4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5" thickBot="1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4">
      <c r="A75" s="132" t="s">
        <v>357</v>
      </c>
      <c r="D75" s="14"/>
      <c r="E75" s="1"/>
      <c r="F75" s="135"/>
      <c r="Q75" s="99"/>
      <c r="R75" s="98"/>
      <c r="S75" s="97"/>
    </row>
    <row r="76" spans="1:27" ht="14">
      <c r="A76" s="85" t="s">
        <v>358</v>
      </c>
      <c r="D76" s="14"/>
      <c r="E76" s="1"/>
      <c r="Q76" s="99"/>
      <c r="R76" s="98"/>
      <c r="S76" s="97"/>
    </row>
    <row r="77" spans="1:27" ht="14">
      <c r="A77" s="85"/>
      <c r="D77" s="14"/>
      <c r="E77" s="1"/>
      <c r="Q77" s="99"/>
      <c r="R77" s="100"/>
      <c r="S77" s="99"/>
    </row>
    <row r="78" spans="1:27">
      <c r="A78" s="85"/>
    </row>
    <row r="79" spans="1:27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>
      <c r="AA81" s="136"/>
    </row>
    <row r="82" spans="1:27" s="133" customFormat="1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>
      <c r="Q83" s="133"/>
      <c r="R83" s="133"/>
      <c r="S83" s="133"/>
      <c r="AA83" s="1"/>
    </row>
    <row r="84" spans="1:27">
      <c r="AA84" s="1"/>
    </row>
    <row r="88" spans="1:27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9">
    <tabColor rgb="FF002060"/>
    <pageSetUpPr fitToPage="1"/>
  </sheetPr>
  <dimension ref="A1:AH88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381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150" t="s">
        <v>0</v>
      </c>
      <c r="B6" s="151" t="s">
        <v>382</v>
      </c>
      <c r="C6" s="152"/>
      <c r="D6" s="152"/>
      <c r="E6" s="153">
        <v>40543</v>
      </c>
      <c r="W6" s="150" t="s">
        <v>0</v>
      </c>
      <c r="X6" s="151" t="s">
        <v>382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14.432432432432432</v>
      </c>
      <c r="AG6" s="126"/>
    </row>
    <row r="7" spans="1:33" ht="15" thickBot="1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4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4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4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4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5" thickBot="1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4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4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4">
      <c r="A16" s="144" t="s">
        <v>26</v>
      </c>
      <c r="B16" s="145" t="s">
        <v>10</v>
      </c>
      <c r="C16" s="145">
        <v>16</v>
      </c>
      <c r="D16" s="145" t="s">
        <v>335</v>
      </c>
      <c r="E16" s="146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4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5" thickBot="1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4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4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4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4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5" thickBot="1">
      <c r="A24" s="144" t="s">
        <v>512</v>
      </c>
      <c r="B24" s="145" t="s">
        <v>16</v>
      </c>
      <c r="C24" s="145">
        <v>15</v>
      </c>
      <c r="D24" s="145" t="s">
        <v>511</v>
      </c>
      <c r="E24" s="146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4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5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4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4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9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4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5" thickBot="1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4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4">
      <c r="A32" s="144" t="s">
        <v>62</v>
      </c>
      <c r="B32" s="145" t="s">
        <v>16</v>
      </c>
      <c r="C32" s="145">
        <v>15</v>
      </c>
      <c r="D32" s="145" t="s">
        <v>329</v>
      </c>
      <c r="E32" s="146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4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4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5" thickBot="1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4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4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65</v>
      </c>
      <c r="Y37" s="110">
        <v>10</v>
      </c>
      <c r="Z37" s="110" t="s">
        <v>320</v>
      </c>
      <c r="AA37" s="111">
        <v>0.93520619672453054</v>
      </c>
    </row>
    <row r="38" spans="1:31" ht="14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4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9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4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4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5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4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4">
      <c r="A43" s="144" t="s">
        <v>41</v>
      </c>
      <c r="B43" s="145" t="s">
        <v>28</v>
      </c>
      <c r="C43" s="145">
        <v>14</v>
      </c>
      <c r="D43" s="145" t="s">
        <v>321</v>
      </c>
      <c r="E43" s="146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4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4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4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4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4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4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4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4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4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4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4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4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4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4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4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4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4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4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5" thickBot="1">
      <c r="A62" s="211" t="s">
        <v>248</v>
      </c>
      <c r="B62" s="212" t="s">
        <v>125</v>
      </c>
      <c r="C62" s="212">
        <v>5</v>
      </c>
      <c r="D62" s="212" t="s">
        <v>294</v>
      </c>
      <c r="E62" s="213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4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4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4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4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5" thickBot="1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4">
      <c r="A68" s="76" t="s">
        <v>135</v>
      </c>
      <c r="B68" s="78" t="s">
        <v>28</v>
      </c>
      <c r="C68" s="77">
        <f>AVERAGE(C7:C62)</f>
        <v>14.214285714285714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4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4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4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4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4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5" thickBot="1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4">
      <c r="A75" s="132" t="s">
        <v>357</v>
      </c>
      <c r="D75" s="14"/>
      <c r="E75" s="1"/>
      <c r="F75" s="135"/>
      <c r="Q75" s="99"/>
      <c r="R75" s="98"/>
      <c r="S75" s="97"/>
    </row>
    <row r="76" spans="1:27" ht="14">
      <c r="A76" s="85" t="s">
        <v>358</v>
      </c>
      <c r="D76" s="14"/>
      <c r="E76" s="1"/>
      <c r="Q76" s="99"/>
      <c r="R76" s="98"/>
      <c r="S76" s="97"/>
    </row>
    <row r="77" spans="1:27" ht="14">
      <c r="A77" s="85"/>
      <c r="D77" s="14"/>
      <c r="E77" s="1"/>
      <c r="Q77" s="99"/>
      <c r="R77" s="100"/>
      <c r="S77" s="99"/>
    </row>
    <row r="78" spans="1:27">
      <c r="A78" s="85"/>
    </row>
    <row r="79" spans="1:27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>
      <c r="A80" s="1"/>
      <c r="B80" s="1"/>
      <c r="C80" s="4"/>
      <c r="D80" s="4"/>
      <c r="E80" s="4"/>
      <c r="F80" s="1"/>
      <c r="Q80" s="1"/>
      <c r="R80" s="1"/>
      <c r="S80" s="1"/>
      <c r="AA80" s="136"/>
    </row>
    <row r="81" spans="1:27" s="133" customFormat="1">
      <c r="AA81" s="136"/>
    </row>
    <row r="82" spans="1:27" s="133" customFormat="1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>
      <c r="Q83" s="133"/>
      <c r="R83" s="133"/>
      <c r="S83" s="133"/>
      <c r="AA83" s="1"/>
    </row>
    <row r="84" spans="1:27">
      <c r="AA84" s="1"/>
    </row>
    <row r="87" spans="1:27">
      <c r="E87" s="120"/>
    </row>
    <row r="88" spans="1:27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0">
    <tabColor rgb="FF002060"/>
    <pageSetUpPr fitToPage="1"/>
  </sheetPr>
  <dimension ref="A1:AH84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378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150" t="s">
        <v>0</v>
      </c>
      <c r="B6" s="151" t="s">
        <v>379</v>
      </c>
      <c r="C6" s="152"/>
      <c r="D6" s="152"/>
      <c r="E6" s="153">
        <v>40543</v>
      </c>
      <c r="W6" s="150" t="s">
        <v>0</v>
      </c>
      <c r="X6" s="151" t="s">
        <v>379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14.324324324324325</v>
      </c>
      <c r="AG6" s="126"/>
    </row>
    <row r="7" spans="1:33" ht="15" thickBot="1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4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4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4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4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5" thickBot="1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4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4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1" t="s">
        <v>6</v>
      </c>
      <c r="X15" s="82" t="s">
        <v>110</v>
      </c>
      <c r="Y15" s="82">
        <v>18</v>
      </c>
      <c r="Z15" s="82" t="s">
        <v>312</v>
      </c>
      <c r="AA15" s="102">
        <v>1</v>
      </c>
      <c r="AG15" s="127"/>
    </row>
    <row r="16" spans="1:33" ht="14">
      <c r="A16" s="81" t="s">
        <v>257</v>
      </c>
      <c r="B16" s="82" t="s">
        <v>10</v>
      </c>
      <c r="C16" s="82">
        <v>16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1" t="s">
        <v>64</v>
      </c>
      <c r="X16" s="82" t="s">
        <v>10</v>
      </c>
      <c r="Y16" s="82">
        <v>16</v>
      </c>
      <c r="Z16" s="82" t="s">
        <v>287</v>
      </c>
      <c r="AA16" s="102">
        <v>1</v>
      </c>
      <c r="AG16" s="127"/>
    </row>
    <row r="17" spans="1:33" ht="14">
      <c r="A17" s="83" t="s">
        <v>15</v>
      </c>
      <c r="B17" s="80" t="s">
        <v>16</v>
      </c>
      <c r="C17" s="80">
        <v>15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1" t="s">
        <v>34</v>
      </c>
      <c r="X17" s="82" t="s">
        <v>28</v>
      </c>
      <c r="Y17" s="82">
        <v>14</v>
      </c>
      <c r="Z17" s="82" t="s">
        <v>293</v>
      </c>
      <c r="AA17" s="102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5" thickBot="1">
      <c r="A18" s="83" t="s">
        <v>17</v>
      </c>
      <c r="B18" s="80" t="s">
        <v>16</v>
      </c>
      <c r="C18" s="80">
        <v>15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1" t="s">
        <v>24</v>
      </c>
      <c r="X18" s="82" t="s">
        <v>28</v>
      </c>
      <c r="Y18" s="82">
        <v>14</v>
      </c>
      <c r="Z18" s="82" t="s">
        <v>323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31</v>
      </c>
      <c r="B19" s="80" t="s">
        <v>16</v>
      </c>
      <c r="C19" s="80">
        <v>15</v>
      </c>
      <c r="D19" s="110" t="s">
        <v>288</v>
      </c>
      <c r="E19" s="111">
        <f t="shared" si="3"/>
        <v>0.81254016709511567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1" t="s">
        <v>59</v>
      </c>
      <c r="X19" s="82" t="s">
        <v>28</v>
      </c>
      <c r="Y19" s="82">
        <v>14</v>
      </c>
      <c r="Z19" s="82" t="s">
        <v>336</v>
      </c>
      <c r="AA19" s="102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4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3"/>
        <v>0.83267459864721705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79" t="s">
        <v>58</v>
      </c>
      <c r="X20" s="80" t="s">
        <v>49</v>
      </c>
      <c r="Y20" s="80">
        <v>13</v>
      </c>
      <c r="Z20" s="80" t="s">
        <v>275</v>
      </c>
      <c r="AA20" s="10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4">
      <c r="A21" s="83" t="s">
        <v>12</v>
      </c>
      <c r="B21" s="80" t="s">
        <v>16</v>
      </c>
      <c r="C21" s="80">
        <v>15</v>
      </c>
      <c r="D21" s="80" t="s">
        <v>308</v>
      </c>
      <c r="E21" s="101">
        <f t="shared" si="3"/>
        <v>0.36101059894989318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80" t="s">
        <v>16</v>
      </c>
      <c r="Y21" s="80">
        <v>15</v>
      </c>
      <c r="Z21" s="80" t="s">
        <v>317</v>
      </c>
      <c r="AA21" s="10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4">
      <c r="A22" s="83" t="s">
        <v>52</v>
      </c>
      <c r="B22" s="80" t="s">
        <v>16</v>
      </c>
      <c r="C22" s="80">
        <v>15</v>
      </c>
      <c r="D22" s="80" t="s">
        <v>280</v>
      </c>
      <c r="E22" s="101">
        <f t="shared" si="3"/>
        <v>0.76017780502759058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4">
      <c r="A23" s="83" t="s">
        <v>21</v>
      </c>
      <c r="B23" s="80" t="s">
        <v>16</v>
      </c>
      <c r="C23" s="80">
        <v>15</v>
      </c>
      <c r="D23" s="80" t="s">
        <v>315</v>
      </c>
      <c r="E23" s="101">
        <f t="shared" si="3"/>
        <v>0.76907329412838532</v>
      </c>
      <c r="F23" s="65"/>
      <c r="Q23" s="141" t="s">
        <v>288</v>
      </c>
      <c r="R23" s="142">
        <v>0.81254016709511567</v>
      </c>
      <c r="S23" s="141" t="s">
        <v>370</v>
      </c>
      <c r="W23" s="81" t="s">
        <v>66</v>
      </c>
      <c r="X23" s="82" t="s">
        <v>28</v>
      </c>
      <c r="Y23" s="82">
        <v>14</v>
      </c>
      <c r="Z23" s="82" t="s">
        <v>314</v>
      </c>
      <c r="AA23" s="102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5" thickBot="1">
      <c r="A24" s="83" t="s">
        <v>23</v>
      </c>
      <c r="B24" s="110" t="s">
        <v>16</v>
      </c>
      <c r="C24" s="110">
        <v>15</v>
      </c>
      <c r="D24" s="110" t="s">
        <v>322</v>
      </c>
      <c r="E24" s="111">
        <f t="shared" si="3"/>
        <v>0.73349447513812149</v>
      </c>
      <c r="F24" s="65"/>
      <c r="Q24" s="141" t="s">
        <v>289</v>
      </c>
      <c r="R24" s="142">
        <v>0.76510407852428497</v>
      </c>
      <c r="S24" s="141" t="s">
        <v>371</v>
      </c>
      <c r="W24" s="144" t="s">
        <v>265</v>
      </c>
      <c r="X24" s="145" t="s">
        <v>56</v>
      </c>
      <c r="Y24" s="145">
        <v>12</v>
      </c>
      <c r="Z24" s="145" t="s">
        <v>313</v>
      </c>
      <c r="AA24" s="146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4">
      <c r="A25" s="83" t="s">
        <v>53</v>
      </c>
      <c r="B25" s="80" t="s">
        <v>16</v>
      </c>
      <c r="C25" s="80">
        <v>15</v>
      </c>
      <c r="D25" s="80" t="s">
        <v>317</v>
      </c>
      <c r="E25" s="101">
        <f t="shared" si="3"/>
        <v>0.99967409016838671</v>
      </c>
      <c r="F25" s="65"/>
      <c r="Q25" s="141" t="s">
        <v>290</v>
      </c>
      <c r="R25" s="142">
        <v>0.96341849943457658</v>
      </c>
      <c r="S25" s="143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4">
      <c r="A26" s="83" t="s">
        <v>43</v>
      </c>
      <c r="B26" s="80" t="s">
        <v>16</v>
      </c>
      <c r="C26" s="80">
        <v>15</v>
      </c>
      <c r="D26" s="110" t="s">
        <v>324</v>
      </c>
      <c r="E26" s="111">
        <f t="shared" si="3"/>
        <v>0.61841824770837783</v>
      </c>
      <c r="F26" s="65"/>
      <c r="Q26" s="141" t="s">
        <v>291</v>
      </c>
      <c r="R26" s="142">
        <v>0.89318320146074259</v>
      </c>
      <c r="S26" s="141" t="s">
        <v>370</v>
      </c>
      <c r="W26" s="79" t="s">
        <v>41</v>
      </c>
      <c r="X26" s="80" t="s">
        <v>49</v>
      </c>
      <c r="Y26" s="80">
        <v>13</v>
      </c>
      <c r="Z26" s="80" t="s">
        <v>321</v>
      </c>
      <c r="AA26" s="101">
        <v>0.99126425624848336</v>
      </c>
      <c r="AG26" s="127"/>
    </row>
    <row r="27" spans="1:33" ht="14">
      <c r="A27" s="83" t="s">
        <v>256</v>
      </c>
      <c r="B27" s="80" t="s">
        <v>16</v>
      </c>
      <c r="C27" s="80">
        <v>15</v>
      </c>
      <c r="D27" s="80" t="s">
        <v>319</v>
      </c>
      <c r="E27" s="101">
        <f t="shared" si="3"/>
        <v>0.85816623707026407</v>
      </c>
      <c r="F27" s="69"/>
      <c r="Q27" s="141" t="s">
        <v>292</v>
      </c>
      <c r="R27" s="142">
        <v>1.0292149475019923</v>
      </c>
      <c r="S27" s="141" t="s">
        <v>370</v>
      </c>
      <c r="W27" s="81" t="s">
        <v>75</v>
      </c>
      <c r="X27" s="82" t="s">
        <v>28</v>
      </c>
      <c r="Y27" s="82">
        <v>14</v>
      </c>
      <c r="Z27" s="82" t="s">
        <v>331</v>
      </c>
      <c r="AA27" s="102">
        <v>0.98872477714287255</v>
      </c>
      <c r="AG27" s="127"/>
    </row>
    <row r="28" spans="1:33" ht="14">
      <c r="A28" s="83" t="s">
        <v>13</v>
      </c>
      <c r="B28" s="80" t="s">
        <v>16</v>
      </c>
      <c r="C28" s="80">
        <v>15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79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11.75</v>
      </c>
      <c r="AG28" s="126"/>
    </row>
    <row r="29" spans="1:33" ht="15" thickBot="1">
      <c r="A29" s="83" t="s">
        <v>25</v>
      </c>
      <c r="B29" s="80" t="s">
        <v>16</v>
      </c>
      <c r="C29" s="80">
        <v>15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1" t="s">
        <v>20</v>
      </c>
      <c r="X29" s="82" t="s">
        <v>28</v>
      </c>
      <c r="Y29" s="82">
        <v>14</v>
      </c>
      <c r="Z29" s="82" t="s">
        <v>302</v>
      </c>
      <c r="AA29" s="102">
        <v>0.97697589100213744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26</v>
      </c>
      <c r="B30" s="80" t="s">
        <v>16</v>
      </c>
      <c r="C30" s="80">
        <v>15</v>
      </c>
      <c r="D30" s="80" t="s">
        <v>335</v>
      </c>
      <c r="E30" s="101">
        <f t="shared" si="3"/>
        <v>0.91865112788863534</v>
      </c>
      <c r="F30" s="65"/>
      <c r="Q30" s="141" t="s">
        <v>295</v>
      </c>
      <c r="R30" s="142">
        <v>0.7886228860092247</v>
      </c>
      <c r="S30" s="141" t="s">
        <v>371</v>
      </c>
      <c r="W30" s="81" t="s">
        <v>14</v>
      </c>
      <c r="X30" s="82" t="s">
        <v>10</v>
      </c>
      <c r="Y30" s="82">
        <v>16</v>
      </c>
      <c r="Z30" s="82" t="s">
        <v>334</v>
      </c>
      <c r="AA30" s="102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4">
      <c r="A31" s="81" t="s">
        <v>258</v>
      </c>
      <c r="B31" s="82" t="s">
        <v>28</v>
      </c>
      <c r="C31" s="82">
        <v>14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1" t="s">
        <v>264</v>
      </c>
      <c r="X31" s="82" t="s">
        <v>56</v>
      </c>
      <c r="Y31" s="82">
        <v>12</v>
      </c>
      <c r="Z31" s="82" t="s">
        <v>332</v>
      </c>
      <c r="AA31" s="102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4">
      <c r="A32" s="144" t="s">
        <v>55</v>
      </c>
      <c r="B32" s="145" t="s">
        <v>28</v>
      </c>
      <c r="C32" s="145">
        <v>14</v>
      </c>
      <c r="D32" s="145" t="s">
        <v>277</v>
      </c>
      <c r="E32" s="146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1" t="s">
        <v>258</v>
      </c>
      <c r="X32" s="82" t="s">
        <v>28</v>
      </c>
      <c r="Y32" s="82">
        <v>14</v>
      </c>
      <c r="Z32" s="82" t="s">
        <v>274</v>
      </c>
      <c r="AA32" s="102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4">
      <c r="A33" s="81" t="s">
        <v>29</v>
      </c>
      <c r="B33" s="82" t="s">
        <v>28</v>
      </c>
      <c r="C33" s="82">
        <v>14</v>
      </c>
      <c r="D33" s="82" t="s">
        <v>285</v>
      </c>
      <c r="E33" s="102">
        <f t="shared" si="3"/>
        <v>0.71562826313957539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1" t="s">
        <v>19</v>
      </c>
      <c r="X33" s="82" t="s">
        <v>10</v>
      </c>
      <c r="Y33" s="82">
        <v>16</v>
      </c>
      <c r="Z33" s="82" t="s">
        <v>290</v>
      </c>
      <c r="AA33" s="102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4">
      <c r="A34" s="81" t="s">
        <v>30</v>
      </c>
      <c r="B34" s="82" t="s">
        <v>28</v>
      </c>
      <c r="C34" s="82">
        <v>14</v>
      </c>
      <c r="D34" s="82" t="s">
        <v>284</v>
      </c>
      <c r="E34" s="102">
        <f t="shared" si="3"/>
        <v>0.91199977892108686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1" t="s">
        <v>512</v>
      </c>
      <c r="X34" s="82" t="s">
        <v>28</v>
      </c>
      <c r="Y34" s="82">
        <v>14</v>
      </c>
      <c r="Z34" s="82" t="s">
        <v>511</v>
      </c>
      <c r="AA34" s="102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5" thickBot="1">
      <c r="A35" s="81" t="s">
        <v>34</v>
      </c>
      <c r="B35" s="82" t="s">
        <v>28</v>
      </c>
      <c r="C35" s="82">
        <v>14</v>
      </c>
      <c r="D35" s="82" t="s">
        <v>293</v>
      </c>
      <c r="E35" s="102">
        <f t="shared" si="3"/>
        <v>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4">
      <c r="A36" s="81" t="s">
        <v>36</v>
      </c>
      <c r="B36" s="82" t="s">
        <v>28</v>
      </c>
      <c r="C36" s="82">
        <v>14</v>
      </c>
      <c r="D36" s="82" t="s">
        <v>296</v>
      </c>
      <c r="E36" s="102">
        <f t="shared" si="3"/>
        <v>0.80341264723043471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1" t="s">
        <v>62</v>
      </c>
      <c r="X36" s="82" t="s">
        <v>28</v>
      </c>
      <c r="Y36" s="82">
        <v>14</v>
      </c>
      <c r="Z36" s="82" t="s">
        <v>329</v>
      </c>
      <c r="AA36" s="102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4">
      <c r="A37" s="81" t="s">
        <v>11</v>
      </c>
      <c r="B37" s="82" t="s">
        <v>28</v>
      </c>
      <c r="C37" s="82">
        <v>14</v>
      </c>
      <c r="D37" s="82" t="s">
        <v>297</v>
      </c>
      <c r="E37" s="102">
        <f t="shared" si="3"/>
        <v>0.58646630934150079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1" t="s">
        <v>42</v>
      </c>
      <c r="X37" s="82" t="s">
        <v>65</v>
      </c>
      <c r="Y37" s="82">
        <v>10</v>
      </c>
      <c r="Z37" s="82" t="s">
        <v>320</v>
      </c>
      <c r="AA37" s="102">
        <v>0.93520619672453054</v>
      </c>
    </row>
    <row r="38" spans="1:31" ht="14">
      <c r="A38" s="81" t="s">
        <v>260</v>
      </c>
      <c r="B38" s="82" t="s">
        <v>28</v>
      </c>
      <c r="C38" s="82">
        <v>14</v>
      </c>
      <c r="D38" s="82" t="s">
        <v>300</v>
      </c>
      <c r="E38" s="102">
        <f t="shared" si="3"/>
        <v>1.0379329114785329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79" t="s">
        <v>7</v>
      </c>
      <c r="X38" s="80" t="s">
        <v>2</v>
      </c>
      <c r="Y38" s="80">
        <v>17</v>
      </c>
      <c r="Z38" s="80" t="s">
        <v>327</v>
      </c>
      <c r="AA38" s="101">
        <v>0.92936836749527552</v>
      </c>
    </row>
    <row r="39" spans="1:31" ht="14">
      <c r="A39" s="81" t="s">
        <v>20</v>
      </c>
      <c r="B39" s="82" t="s">
        <v>28</v>
      </c>
      <c r="C39" s="82">
        <v>14</v>
      </c>
      <c r="D39" s="82" t="s">
        <v>302</v>
      </c>
      <c r="E39" s="102">
        <f t="shared" si="3"/>
        <v>0.97697589100213744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80" t="s">
        <v>16</v>
      </c>
      <c r="Y39" s="80">
        <v>15</v>
      </c>
      <c r="Z39" s="80" t="s">
        <v>335</v>
      </c>
      <c r="AA39" s="101">
        <v>0.91865112788863534</v>
      </c>
    </row>
    <row r="40" spans="1:31" ht="14">
      <c r="A40" s="81" t="s">
        <v>512</v>
      </c>
      <c r="B40" s="82" t="s">
        <v>28</v>
      </c>
      <c r="C40" s="82">
        <v>14</v>
      </c>
      <c r="D40" s="82" t="s">
        <v>511</v>
      </c>
      <c r="E40" s="102">
        <f t="shared" si="3"/>
        <v>0.95294725244456668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1" t="s">
        <v>30</v>
      </c>
      <c r="X40" s="82" t="s">
        <v>28</v>
      </c>
      <c r="Y40" s="82">
        <v>14</v>
      </c>
      <c r="Z40" s="82" t="s">
        <v>284</v>
      </c>
      <c r="AA40" s="102">
        <v>0.91199977892108686</v>
      </c>
    </row>
    <row r="41" spans="1:31" ht="14">
      <c r="A41" s="81" t="s">
        <v>66</v>
      </c>
      <c r="B41" s="82" t="s">
        <v>28</v>
      </c>
      <c r="C41" s="82">
        <v>14</v>
      </c>
      <c r="D41" s="82" t="s">
        <v>314</v>
      </c>
      <c r="E41" s="102">
        <f t="shared" si="3"/>
        <v>0.99569209153466032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144" t="s">
        <v>55</v>
      </c>
      <c r="X41" s="145" t="s">
        <v>28</v>
      </c>
      <c r="Y41" s="145">
        <v>14</v>
      </c>
      <c r="Z41" s="145" t="s">
        <v>277</v>
      </c>
      <c r="AA41" s="146">
        <v>0.91095138568993894</v>
      </c>
    </row>
    <row r="42" spans="1:31" ht="14">
      <c r="A42" s="81" t="s">
        <v>24</v>
      </c>
      <c r="B42" s="82" t="s">
        <v>28</v>
      </c>
      <c r="C42" s="82">
        <v>14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80" t="s">
        <v>16</v>
      </c>
      <c r="Y42" s="80">
        <v>15</v>
      </c>
      <c r="Z42" s="80" t="s">
        <v>276</v>
      </c>
      <c r="AA42" s="101">
        <v>0.91042888352305396</v>
      </c>
    </row>
    <row r="43" spans="1:31" ht="14">
      <c r="A43" s="81" t="s">
        <v>45</v>
      </c>
      <c r="B43" s="82" t="s">
        <v>28</v>
      </c>
      <c r="C43" s="82">
        <v>14</v>
      </c>
      <c r="D43" s="82" t="s">
        <v>318</v>
      </c>
      <c r="E43" s="102">
        <f t="shared" si="3"/>
        <v>0.5641445718679996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1" t="s">
        <v>3</v>
      </c>
      <c r="X43" s="82" t="s">
        <v>10</v>
      </c>
      <c r="Y43" s="82">
        <v>16</v>
      </c>
      <c r="Z43" s="82" t="s">
        <v>291</v>
      </c>
      <c r="AA43" s="102">
        <v>0.89318320146074259</v>
      </c>
    </row>
    <row r="44" spans="1:31" ht="14">
      <c r="A44" s="81" t="s">
        <v>62</v>
      </c>
      <c r="B44" s="82" t="s">
        <v>28</v>
      </c>
      <c r="C44" s="82">
        <v>14</v>
      </c>
      <c r="D44" s="82" t="s">
        <v>329</v>
      </c>
      <c r="E44" s="102">
        <f t="shared" si="3"/>
        <v>0.93843994106691131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79" t="s">
        <v>60</v>
      </c>
      <c r="X44" s="80" t="s">
        <v>49</v>
      </c>
      <c r="Y44" s="80">
        <v>13</v>
      </c>
      <c r="Z44" s="80" t="s">
        <v>283</v>
      </c>
      <c r="AA44" s="101">
        <v>0.89235399590163933</v>
      </c>
    </row>
    <row r="45" spans="1:31" ht="14">
      <c r="A45" s="81" t="s">
        <v>75</v>
      </c>
      <c r="B45" s="82" t="s">
        <v>28</v>
      </c>
      <c r="C45" s="82">
        <v>14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79" t="s">
        <v>263</v>
      </c>
      <c r="X45" s="80" t="s">
        <v>2</v>
      </c>
      <c r="Y45" s="80">
        <v>17</v>
      </c>
      <c r="Z45" s="80" t="s">
        <v>282</v>
      </c>
      <c r="AA45" s="101">
        <v>0.89001113183270453</v>
      </c>
    </row>
    <row r="46" spans="1:31" ht="14">
      <c r="A46" s="81" t="s">
        <v>59</v>
      </c>
      <c r="B46" s="82" t="s">
        <v>28</v>
      </c>
      <c r="C46" s="82">
        <v>14</v>
      </c>
      <c r="D46" s="82" t="s">
        <v>336</v>
      </c>
      <c r="E46" s="102">
        <f t="shared" si="3"/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80" t="s">
        <v>16</v>
      </c>
      <c r="Y46" s="80">
        <v>15</v>
      </c>
      <c r="Z46" s="80" t="s">
        <v>306</v>
      </c>
      <c r="AA46" s="101">
        <v>0.86662573118314323</v>
      </c>
    </row>
    <row r="47" spans="1:31" ht="14">
      <c r="A47" s="79" t="s">
        <v>9</v>
      </c>
      <c r="B47" s="80" t="s">
        <v>49</v>
      </c>
      <c r="C47" s="80">
        <v>13</v>
      </c>
      <c r="D47" s="80" t="s">
        <v>273</v>
      </c>
      <c r="E47" s="101">
        <f t="shared" ref="E47:E67" si="6">VLOOKUP($D47,$Q$7:$R$68,2,0)</f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80" t="s">
        <v>16</v>
      </c>
      <c r="Y47" s="80">
        <v>15</v>
      </c>
      <c r="Z47" s="80" t="s">
        <v>319</v>
      </c>
      <c r="AA47" s="101">
        <v>0.85816623707026407</v>
      </c>
    </row>
    <row r="48" spans="1:31" ht="14">
      <c r="A48" s="79" t="s">
        <v>48</v>
      </c>
      <c r="B48" s="80" t="s">
        <v>49</v>
      </c>
      <c r="C48" s="80">
        <v>13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0.84669359982989578</v>
      </c>
    </row>
    <row r="49" spans="1:27" ht="14">
      <c r="A49" s="79" t="s">
        <v>60</v>
      </c>
      <c r="B49" s="80" t="s">
        <v>49</v>
      </c>
      <c r="C49" s="80">
        <v>13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80" t="s">
        <v>16</v>
      </c>
      <c r="Y49" s="80">
        <v>15</v>
      </c>
      <c r="Z49" s="80" t="s">
        <v>330</v>
      </c>
      <c r="AA49" s="101">
        <v>0.83267459864721705</v>
      </c>
    </row>
    <row r="50" spans="1:27" ht="14">
      <c r="A50" s="83" t="s">
        <v>259</v>
      </c>
      <c r="B50" s="110" t="s">
        <v>49</v>
      </c>
      <c r="C50" s="110">
        <v>13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80" t="s">
        <v>16</v>
      </c>
      <c r="Y50" s="80">
        <v>15</v>
      </c>
      <c r="Z50" s="110" t="s">
        <v>288</v>
      </c>
      <c r="AA50" s="111">
        <v>0.81254016709511567</v>
      </c>
    </row>
    <row r="51" spans="1:27" ht="14">
      <c r="A51" s="79" t="s">
        <v>57</v>
      </c>
      <c r="B51" s="80" t="s">
        <v>49</v>
      </c>
      <c r="C51" s="80">
        <v>13</v>
      </c>
      <c r="D51" s="80" t="s">
        <v>295</v>
      </c>
      <c r="E51" s="101">
        <f t="shared" si="6"/>
        <v>0.7886228860092247</v>
      </c>
      <c r="F51" s="65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1" t="s">
        <v>36</v>
      </c>
      <c r="X51" s="82" t="s">
        <v>28</v>
      </c>
      <c r="Y51" s="82">
        <v>14</v>
      </c>
      <c r="Z51" s="82" t="s">
        <v>296</v>
      </c>
      <c r="AA51" s="102">
        <v>0.80341264723043471</v>
      </c>
    </row>
    <row r="52" spans="1:27" ht="14">
      <c r="A52" s="79" t="s">
        <v>35</v>
      </c>
      <c r="B52" s="80" t="s">
        <v>49</v>
      </c>
      <c r="C52" s="80">
        <v>13</v>
      </c>
      <c r="D52" s="80" t="s">
        <v>292</v>
      </c>
      <c r="E52" s="101">
        <f t="shared" si="6"/>
        <v>1.0292149475019923</v>
      </c>
      <c r="F52" s="65"/>
      <c r="Q52" s="141" t="s">
        <v>321</v>
      </c>
      <c r="R52" s="142">
        <v>0.99126425624848336</v>
      </c>
      <c r="S52" s="141" t="s">
        <v>370</v>
      </c>
      <c r="W52" s="79" t="s">
        <v>57</v>
      </c>
      <c r="X52" s="80" t="s">
        <v>49</v>
      </c>
      <c r="Y52" s="80">
        <v>13</v>
      </c>
      <c r="Z52" s="80" t="s">
        <v>295</v>
      </c>
      <c r="AA52" s="101">
        <v>0.7886228860092247</v>
      </c>
    </row>
    <row r="53" spans="1:27" ht="14">
      <c r="A53" s="79" t="s">
        <v>51</v>
      </c>
      <c r="B53" s="80" t="s">
        <v>49</v>
      </c>
      <c r="C53" s="80">
        <v>13</v>
      </c>
      <c r="D53" s="80" t="s">
        <v>298</v>
      </c>
      <c r="E53" s="101">
        <f t="shared" si="6"/>
        <v>0.64970550208303401</v>
      </c>
      <c r="F53" s="65"/>
      <c r="Q53" s="141" t="s">
        <v>322</v>
      </c>
      <c r="R53" s="142">
        <v>0.73349447513812149</v>
      </c>
      <c r="S53" s="141" t="s">
        <v>371</v>
      </c>
      <c r="W53" s="79" t="s">
        <v>262</v>
      </c>
      <c r="X53" s="80" t="s">
        <v>108</v>
      </c>
      <c r="Y53" s="80">
        <v>19</v>
      </c>
      <c r="Z53" s="80" t="s">
        <v>309</v>
      </c>
      <c r="AA53" s="101">
        <v>0.78418126509511765</v>
      </c>
    </row>
    <row r="54" spans="1:27" ht="14">
      <c r="A54" s="83" t="s">
        <v>39</v>
      </c>
      <c r="B54" s="80" t="s">
        <v>49</v>
      </c>
      <c r="C54" s="80">
        <v>13</v>
      </c>
      <c r="D54" s="110" t="s">
        <v>301</v>
      </c>
      <c r="E54" s="111">
        <f t="shared" si="6"/>
        <v>0.47637430521244206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80" t="s">
        <v>16</v>
      </c>
      <c r="Y54" s="80">
        <v>15</v>
      </c>
      <c r="Z54" s="80" t="s">
        <v>326</v>
      </c>
      <c r="AA54" s="101">
        <v>0.77444478716841458</v>
      </c>
    </row>
    <row r="55" spans="1:27" ht="14">
      <c r="A55" s="79" t="s">
        <v>58</v>
      </c>
      <c r="B55" s="80" t="s">
        <v>49</v>
      </c>
      <c r="C55" s="80">
        <v>13</v>
      </c>
      <c r="D55" s="80" t="s">
        <v>275</v>
      </c>
      <c r="E55" s="101">
        <f t="shared" si="6"/>
        <v>1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80" t="s">
        <v>16</v>
      </c>
      <c r="Y55" s="80">
        <v>15</v>
      </c>
      <c r="Z55" s="80" t="s">
        <v>315</v>
      </c>
      <c r="AA55" s="101">
        <v>0.76907329412838532</v>
      </c>
    </row>
    <row r="56" spans="1:27" ht="14">
      <c r="A56" s="79" t="s">
        <v>40</v>
      </c>
      <c r="B56" s="80" t="s">
        <v>49</v>
      </c>
      <c r="C56" s="80">
        <v>13</v>
      </c>
      <c r="D56" s="80" t="s">
        <v>310</v>
      </c>
      <c r="E56" s="101">
        <f t="shared" si="6"/>
        <v>0.57845507252191697</v>
      </c>
      <c r="F56" s="65"/>
      <c r="Q56" s="141" t="s">
        <v>325</v>
      </c>
      <c r="R56" s="142">
        <v>0.99461817608484948</v>
      </c>
      <c r="S56" s="141" t="s">
        <v>370</v>
      </c>
      <c r="W56" s="81" t="s">
        <v>32</v>
      </c>
      <c r="X56" s="82" t="s">
        <v>10</v>
      </c>
      <c r="Y56" s="82">
        <v>16</v>
      </c>
      <c r="Z56" s="82" t="s">
        <v>289</v>
      </c>
      <c r="AA56" s="102">
        <v>0.76510407852428497</v>
      </c>
    </row>
    <row r="57" spans="1:27" ht="14">
      <c r="A57" s="79" t="s">
        <v>22</v>
      </c>
      <c r="B57" s="80" t="s">
        <v>49</v>
      </c>
      <c r="C57" s="80">
        <v>13</v>
      </c>
      <c r="D57" s="80" t="s">
        <v>316</v>
      </c>
      <c r="E57" s="101">
        <f t="shared" si="6"/>
        <v>0.62481029959532464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80" t="s">
        <v>16</v>
      </c>
      <c r="Y57" s="80">
        <v>15</v>
      </c>
      <c r="Z57" s="80" t="s">
        <v>280</v>
      </c>
      <c r="AA57" s="101">
        <v>0.76017780502759058</v>
      </c>
    </row>
    <row r="58" spans="1:27" ht="14">
      <c r="A58" s="79" t="s">
        <v>41</v>
      </c>
      <c r="B58" s="80" t="s">
        <v>49</v>
      </c>
      <c r="C58" s="80">
        <v>13</v>
      </c>
      <c r="D58" s="80" t="s">
        <v>321</v>
      </c>
      <c r="E58" s="101">
        <f t="shared" si="6"/>
        <v>0.99126425624848336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4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1" t="s">
        <v>29</v>
      </c>
      <c r="X59" s="82" t="s">
        <v>28</v>
      </c>
      <c r="Y59" s="82">
        <v>14</v>
      </c>
      <c r="Z59" s="82" t="s">
        <v>285</v>
      </c>
      <c r="AA59" s="102">
        <v>0.71562826313957539</v>
      </c>
    </row>
    <row r="60" spans="1:27" ht="14">
      <c r="A60" s="144" t="s">
        <v>265</v>
      </c>
      <c r="B60" s="145" t="s">
        <v>56</v>
      </c>
      <c r="C60" s="145">
        <v>12</v>
      </c>
      <c r="D60" s="145" t="s">
        <v>313</v>
      </c>
      <c r="E60" s="146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79" t="s">
        <v>48</v>
      </c>
      <c r="X60" s="80" t="s">
        <v>49</v>
      </c>
      <c r="Y60" s="80">
        <v>13</v>
      </c>
      <c r="Z60" s="80" t="s">
        <v>279</v>
      </c>
      <c r="AA60" s="101">
        <v>0.68875112521618576</v>
      </c>
    </row>
    <row r="61" spans="1:27" ht="14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80" t="s">
        <v>16</v>
      </c>
      <c r="Y61" s="80">
        <v>15</v>
      </c>
      <c r="Z61" s="80" t="s">
        <v>328</v>
      </c>
      <c r="AA61" s="101">
        <v>0.66251692368655679</v>
      </c>
    </row>
    <row r="62" spans="1:27" ht="15" thickBot="1">
      <c r="A62" s="162" t="s">
        <v>248</v>
      </c>
      <c r="B62" s="163" t="s">
        <v>123</v>
      </c>
      <c r="C62" s="163">
        <v>6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79" t="s">
        <v>51</v>
      </c>
      <c r="X62" s="80" t="s">
        <v>49</v>
      </c>
      <c r="Y62" s="80">
        <v>13</v>
      </c>
      <c r="Z62" s="80" t="s">
        <v>298</v>
      </c>
      <c r="AA62" s="101">
        <v>0.64970550208303401</v>
      </c>
    </row>
    <row r="63" spans="1:27" ht="14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1" t="s">
        <v>18</v>
      </c>
      <c r="X63" s="82" t="s">
        <v>10</v>
      </c>
      <c r="Y63" s="82">
        <v>16</v>
      </c>
      <c r="Z63" s="82" t="s">
        <v>86</v>
      </c>
      <c r="AA63" s="102">
        <v>0.63157463237392464</v>
      </c>
    </row>
    <row r="64" spans="1:27" ht="14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79" t="s">
        <v>67</v>
      </c>
      <c r="X64" s="80" t="s">
        <v>49</v>
      </c>
      <c r="Y64" s="80">
        <v>13</v>
      </c>
      <c r="Z64" s="80" t="s">
        <v>278</v>
      </c>
      <c r="AA64" s="101">
        <v>0.62875460562079877</v>
      </c>
    </row>
    <row r="65" spans="1:27" ht="14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79" t="s">
        <v>22</v>
      </c>
      <c r="X65" s="80" t="s">
        <v>49</v>
      </c>
      <c r="Y65" s="80">
        <v>13</v>
      </c>
      <c r="Z65" s="80" t="s">
        <v>316</v>
      </c>
      <c r="AA65" s="101">
        <v>0.62481029959532464</v>
      </c>
    </row>
    <row r="66" spans="1:27" ht="14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80" t="s">
        <v>16</v>
      </c>
      <c r="Y66" s="80">
        <v>15</v>
      </c>
      <c r="Z66" s="110" t="s">
        <v>324</v>
      </c>
      <c r="AA66" s="111">
        <v>0.61841824770837783</v>
      </c>
    </row>
    <row r="67" spans="1:27" ht="15" thickBot="1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1" t="s">
        <v>11</v>
      </c>
      <c r="X67" s="82" t="s">
        <v>28</v>
      </c>
      <c r="Y67" s="82">
        <v>14</v>
      </c>
      <c r="Z67" s="82" t="s">
        <v>297</v>
      </c>
      <c r="AA67" s="102">
        <v>0.58646630934150079</v>
      </c>
    </row>
    <row r="68" spans="1:27" ht="14">
      <c r="A68" s="76" t="s">
        <v>135</v>
      </c>
      <c r="B68" s="78" t="s">
        <v>28</v>
      </c>
      <c r="C68" s="77">
        <f>AVERAGE(C7:C62)</f>
        <v>14.160714285714286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79" t="s">
        <v>40</v>
      </c>
      <c r="X68" s="80" t="s">
        <v>49</v>
      </c>
      <c r="Y68" s="80">
        <v>13</v>
      </c>
      <c r="Z68" s="80" t="s">
        <v>310</v>
      </c>
      <c r="AA68" s="101">
        <v>0.57845507252191697</v>
      </c>
    </row>
    <row r="69" spans="1:27" ht="15" thickBot="1">
      <c r="A69" s="7"/>
      <c r="B69" s="5"/>
      <c r="F69" s="9"/>
      <c r="Q69" s="141"/>
      <c r="R69" s="142"/>
      <c r="S69" s="141"/>
      <c r="W69" s="154" t="s">
        <v>45</v>
      </c>
      <c r="X69" s="156" t="s">
        <v>28</v>
      </c>
      <c r="Y69" s="156">
        <v>14</v>
      </c>
      <c r="Z69" s="156" t="s">
        <v>318</v>
      </c>
      <c r="AA69" s="159">
        <v>0.5641445718679996</v>
      </c>
    </row>
    <row r="70" spans="1:27" ht="14">
      <c r="A70" s="7"/>
      <c r="B70" s="5"/>
      <c r="F70" s="14"/>
      <c r="G70" s="66"/>
      <c r="Q70" s="141"/>
      <c r="R70" s="142"/>
      <c r="S70" s="141"/>
      <c r="W70" s="81" t="s">
        <v>369</v>
      </c>
      <c r="X70" s="82" t="s">
        <v>10</v>
      </c>
      <c r="Y70" s="82">
        <v>16</v>
      </c>
      <c r="Z70" s="82" t="s">
        <v>368</v>
      </c>
      <c r="AA70" s="102">
        <v>0.541533003736272</v>
      </c>
    </row>
    <row r="71" spans="1:27" ht="14">
      <c r="A71" s="85" t="s">
        <v>266</v>
      </c>
      <c r="F71" s="14"/>
      <c r="Q71" s="99"/>
      <c r="R71" s="98"/>
      <c r="S71" s="97"/>
      <c r="W71" s="83" t="s">
        <v>39</v>
      </c>
      <c r="X71" s="80" t="s">
        <v>49</v>
      </c>
      <c r="Y71" s="80">
        <v>13</v>
      </c>
      <c r="Z71" s="110" t="s">
        <v>301</v>
      </c>
      <c r="AA71" s="111">
        <v>0.47637430521244206</v>
      </c>
    </row>
    <row r="72" spans="1:27" ht="14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0.36101059894989318</v>
      </c>
    </row>
    <row r="73" spans="1:27" ht="14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5" thickBot="1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123</v>
      </c>
      <c r="Y74" s="158">
        <v>6</v>
      </c>
      <c r="Z74" s="158" t="s">
        <v>294</v>
      </c>
      <c r="AA74" s="161">
        <v>0.11951366732775717</v>
      </c>
    </row>
    <row r="75" spans="1:27" ht="14">
      <c r="A75" s="132" t="s">
        <v>357</v>
      </c>
      <c r="D75" s="14"/>
      <c r="E75" s="1"/>
      <c r="F75" s="135"/>
      <c r="Q75" s="99"/>
      <c r="R75" s="98"/>
      <c r="S75" s="97"/>
    </row>
    <row r="76" spans="1:27" ht="14">
      <c r="A76" s="85" t="s">
        <v>358</v>
      </c>
      <c r="D76" s="14"/>
      <c r="E76" s="1"/>
      <c r="Q76" s="99"/>
      <c r="R76" s="98"/>
      <c r="S76" s="97"/>
    </row>
    <row r="77" spans="1:27" ht="14">
      <c r="A77" s="85"/>
      <c r="D77" s="14"/>
      <c r="E77" s="1"/>
      <c r="Q77" s="99"/>
      <c r="R77" s="100"/>
      <c r="S77" s="99"/>
    </row>
    <row r="78" spans="1:27">
      <c r="A78" s="85"/>
    </row>
    <row r="79" spans="1:27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>
      <c r="Q80" s="1"/>
      <c r="R80" s="1"/>
      <c r="S80" s="1"/>
      <c r="AA80" s="136"/>
    </row>
    <row r="81" spans="1:27" s="133" customFormat="1">
      <c r="AA81" s="136"/>
    </row>
    <row r="82" spans="1:27" s="133" customFormat="1">
      <c r="A82" s="1"/>
      <c r="B82" s="1"/>
      <c r="C82" s="4"/>
      <c r="D82" s="4"/>
      <c r="E82" s="120"/>
      <c r="F82" s="1"/>
      <c r="G82" s="1"/>
      <c r="W82" s="1"/>
      <c r="X82" s="1"/>
      <c r="Y82" s="1"/>
      <c r="Z82" s="1"/>
      <c r="AA82" s="1"/>
    </row>
    <row r="83" spans="1:27">
      <c r="E83" s="121"/>
      <c r="Q83" s="133"/>
      <c r="R83" s="133"/>
      <c r="S83" s="133"/>
      <c r="AA83" s="1"/>
    </row>
    <row r="84" spans="1:27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1">
    <tabColor rgb="FF0070C0"/>
    <pageSetUpPr fitToPage="1"/>
  </sheetPr>
  <dimension ref="A1:AH88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375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 t="s">
        <v>359</v>
      </c>
    </row>
    <row r="6" spans="1:33" ht="14">
      <c r="A6" s="150" t="s">
        <v>0</v>
      </c>
      <c r="B6" s="151" t="s">
        <v>376</v>
      </c>
      <c r="C6" s="152"/>
      <c r="D6" s="152"/>
      <c r="E6" s="153">
        <v>40178</v>
      </c>
      <c r="W6" s="150" t="s">
        <v>0</v>
      </c>
      <c r="X6" s="151" t="s">
        <v>376</v>
      </c>
      <c r="Y6" s="152"/>
      <c r="Z6" s="152"/>
      <c r="AA6" s="153">
        <v>40178</v>
      </c>
      <c r="AC6" s="108" t="s">
        <v>137</v>
      </c>
      <c r="AD6" s="109"/>
      <c r="AE6" s="109"/>
      <c r="AF6" s="77">
        <f>AVERAGE(Y$13:Y$49)</f>
        <v>14.257142857142858</v>
      </c>
      <c r="AG6" s="126">
        <f>AF6-Credit_2009Q4!AF6</f>
        <v>5.7142857142858716E-2</v>
      </c>
    </row>
    <row r="7" spans="1:33" ht="15" thickBot="1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0.93000422702993502</v>
      </c>
      <c r="F8" s="65"/>
      <c r="G8" s="72" t="s">
        <v>138</v>
      </c>
      <c r="H8" s="86">
        <f>COUNTIF(C$7:C$74,"&gt;16")</f>
        <v>4</v>
      </c>
      <c r="I8" s="87">
        <f>H8/H$14</f>
        <v>6.0606060606060608E-2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COUNTIF(Y$13:Y$49,"&gt;16")</f>
        <v>3</v>
      </c>
      <c r="AE8" s="87">
        <f>AD8/AD$14</f>
        <v>8.5714285714285715E-2</v>
      </c>
      <c r="AG8" s="127"/>
    </row>
    <row r="9" spans="1:33" ht="14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0.89410444897115693</v>
      </c>
      <c r="F9" s="65"/>
      <c r="G9" s="72" t="s">
        <v>10</v>
      </c>
      <c r="H9" s="86">
        <f>COUNTIF(C$7:C$74,"=16")</f>
        <v>10</v>
      </c>
      <c r="I9" s="87">
        <f t="shared" ref="I9:I14" si="1">H9/H$14</f>
        <v>0.15151515151515152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COUNTIF(Y$13:Y$49,"=16")</f>
        <v>5</v>
      </c>
      <c r="AE9" s="87">
        <f t="shared" ref="AE9:AE14" si="2">AD9/AD$14</f>
        <v>0.14285714285714285</v>
      </c>
      <c r="AG9" s="127"/>
    </row>
    <row r="10" spans="1:33" ht="14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0.58142655748172922</v>
      </c>
      <c r="F10" s="65"/>
      <c r="G10" s="72" t="s">
        <v>16</v>
      </c>
      <c r="H10" s="86">
        <f>COUNTIF(C$7:C$74,"=15")</f>
        <v>16</v>
      </c>
      <c r="I10" s="87">
        <f t="shared" si="1"/>
        <v>0.24242424242424243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COUNTIF(Y$13:Y$49,"=15")</f>
        <v>6</v>
      </c>
      <c r="AE10" s="87">
        <f t="shared" si="2"/>
        <v>0.17142857142857143</v>
      </c>
      <c r="AG10" s="127"/>
    </row>
    <row r="11" spans="1:33" ht="14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COUNTIF(C$7:C$74,"=14")</f>
        <v>16</v>
      </c>
      <c r="I11" s="87">
        <f t="shared" si="1"/>
        <v>0.24242424242424243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COUNTIF(Y$13:Y$49,"=14")</f>
        <v>11</v>
      </c>
      <c r="AE11" s="87">
        <f t="shared" si="2"/>
        <v>0.31428571428571428</v>
      </c>
      <c r="AG11" s="127"/>
    </row>
    <row r="12" spans="1:33" ht="14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0.7497019635343618</v>
      </c>
      <c r="F12" s="65"/>
      <c r="G12" s="72" t="s">
        <v>49</v>
      </c>
      <c r="H12" s="86">
        <f>COUNTIF(C$7:C$74,"=13")</f>
        <v>15</v>
      </c>
      <c r="I12" s="87">
        <f t="shared" si="1"/>
        <v>0.22727272727272727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COUNTIF(Y$13:Y$49,"=13")</f>
        <v>6</v>
      </c>
      <c r="AE12" s="87">
        <f t="shared" si="2"/>
        <v>0.17142857142857143</v>
      </c>
      <c r="AG12" s="127"/>
    </row>
    <row r="13" spans="1:33" ht="15" thickBot="1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COUNTIF(C$7:C$74,"&lt;13")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1.0333026830763428</v>
      </c>
      <c r="AC13" s="93" t="s">
        <v>79</v>
      </c>
      <c r="AD13" s="94">
        <f>COUNTIF(Y$13:Y$49,"&lt;13")</f>
        <v>4</v>
      </c>
      <c r="AE13" s="95">
        <f t="shared" si="2"/>
        <v>0.11428571428571428</v>
      </c>
      <c r="AG13" s="127"/>
    </row>
    <row r="14" spans="1:33" ht="14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0.55330389203021169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4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1" t="s">
        <v>64</v>
      </c>
      <c r="X15" s="82" t="s">
        <v>10</v>
      </c>
      <c r="Y15" s="82">
        <v>16</v>
      </c>
      <c r="Z15" s="82" t="s">
        <v>287</v>
      </c>
      <c r="AA15" s="102">
        <v>1</v>
      </c>
      <c r="AG15" s="127"/>
    </row>
    <row r="16" spans="1:33" ht="14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1" t="s">
        <v>34</v>
      </c>
      <c r="X16" s="82" t="s">
        <v>28</v>
      </c>
      <c r="Y16" s="82">
        <v>14</v>
      </c>
      <c r="Z16" s="82" t="s">
        <v>293</v>
      </c>
      <c r="AA16" s="102">
        <v>1</v>
      </c>
      <c r="AG16" s="127"/>
    </row>
    <row r="17" spans="1:33" ht="14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ref="E17:E22" si="3">VLOOKUP($D17,$Q$7:$R$69,2,0)</f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1" t="s">
        <v>24</v>
      </c>
      <c r="X17" s="82" t="s">
        <v>28</v>
      </c>
      <c r="Y17" s="82">
        <v>14</v>
      </c>
      <c r="Z17" s="82" t="s">
        <v>323</v>
      </c>
      <c r="AA17" s="102">
        <v>1</v>
      </c>
      <c r="AC17" s="108" t="s">
        <v>139</v>
      </c>
      <c r="AD17" s="109"/>
      <c r="AE17" s="109"/>
      <c r="AF17" s="77">
        <f>AVERAGE(Y$50:Y$69)</f>
        <v>14.55</v>
      </c>
      <c r="AG17" s="126">
        <f>AF17-Credit_2009Q4!AF17</f>
        <v>-4.9999999999998934E-2</v>
      </c>
    </row>
    <row r="18" spans="1:33" ht="15" thickBot="1">
      <c r="A18" s="81" t="s">
        <v>257</v>
      </c>
      <c r="B18" s="82" t="s">
        <v>10</v>
      </c>
      <c r="C18" s="82">
        <v>16</v>
      </c>
      <c r="D18" s="82" t="s">
        <v>337</v>
      </c>
      <c r="E18" s="102">
        <f t="shared" si="3"/>
        <v>0.94699999999999995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1" t="s">
        <v>59</v>
      </c>
      <c r="X18" s="82" t="s">
        <v>28</v>
      </c>
      <c r="Y18" s="82">
        <v>14</v>
      </c>
      <c r="Z18" s="82" t="s">
        <v>336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15</v>
      </c>
      <c r="B19" s="80" t="s">
        <v>16</v>
      </c>
      <c r="C19" s="80">
        <v>15</v>
      </c>
      <c r="D19" s="80" t="s">
        <v>276</v>
      </c>
      <c r="E19" s="101">
        <f t="shared" si="3"/>
        <v>0.91262379340604238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79" t="s">
        <v>58</v>
      </c>
      <c r="X19" s="80" t="s">
        <v>49</v>
      </c>
      <c r="Y19" s="80">
        <v>13</v>
      </c>
      <c r="Z19" s="80" t="s">
        <v>275</v>
      </c>
      <c r="AA19" s="101">
        <v>1</v>
      </c>
      <c r="AC19" s="72" t="s">
        <v>138</v>
      </c>
      <c r="AD19" s="86">
        <f>COUNTIF(Y$50:Y$69,"&gt;16")</f>
        <v>1</v>
      </c>
      <c r="AE19" s="87">
        <f>AD19/AD$14</f>
        <v>2.8571428571428571E-2</v>
      </c>
      <c r="AG19" s="127"/>
    </row>
    <row r="20" spans="1:33" ht="14">
      <c r="A20" s="83" t="s">
        <v>17</v>
      </c>
      <c r="B20" s="80" t="s">
        <v>16</v>
      </c>
      <c r="C20" s="80">
        <v>15</v>
      </c>
      <c r="D20" s="80" t="s">
        <v>306</v>
      </c>
      <c r="E20" s="101">
        <f t="shared" si="3"/>
        <v>0.84890438247011957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80" t="s">
        <v>16</v>
      </c>
      <c r="Y20" s="80">
        <v>15</v>
      </c>
      <c r="Z20" s="80" t="s">
        <v>317</v>
      </c>
      <c r="AA20" s="101">
        <v>0.99967400162999187</v>
      </c>
      <c r="AC20" s="72" t="s">
        <v>10</v>
      </c>
      <c r="AD20" s="86">
        <f>COUNTIF(Y$50:Y$69,"=16")</f>
        <v>3</v>
      </c>
      <c r="AE20" s="87">
        <f t="shared" ref="AE20:AE25" si="4">AD20/AD$14</f>
        <v>8.5714285714285715E-2</v>
      </c>
      <c r="AG20" s="127"/>
    </row>
    <row r="21" spans="1:33" ht="14">
      <c r="A21" s="83" t="s">
        <v>31</v>
      </c>
      <c r="B21" s="80" t="s">
        <v>16</v>
      </c>
      <c r="C21" s="80">
        <v>15</v>
      </c>
      <c r="D21" s="110" t="s">
        <v>288</v>
      </c>
      <c r="E21" s="111">
        <f t="shared" si="3"/>
        <v>0.81467245298615421</v>
      </c>
      <c r="F21" s="69"/>
      <c r="Q21" s="141" t="s">
        <v>86</v>
      </c>
      <c r="R21" s="142">
        <v>0.58142655748172922</v>
      </c>
      <c r="S21" s="143" t="s">
        <v>371</v>
      </c>
      <c r="W21" s="79" t="s">
        <v>265</v>
      </c>
      <c r="X21" s="80" t="s">
        <v>61</v>
      </c>
      <c r="Y21" s="80">
        <v>11</v>
      </c>
      <c r="Z21" s="80" t="s">
        <v>313</v>
      </c>
      <c r="AA21" s="101">
        <v>0.99872589064335693</v>
      </c>
      <c r="AC21" s="72" t="s">
        <v>16</v>
      </c>
      <c r="AD21" s="86">
        <f>COUNTIF(Y$50:Y$69,"=15")</f>
        <v>6</v>
      </c>
      <c r="AE21" s="87">
        <f t="shared" si="4"/>
        <v>0.17142857142857143</v>
      </c>
      <c r="AG21" s="127"/>
    </row>
    <row r="22" spans="1:33" ht="14">
      <c r="A22" s="83" t="s">
        <v>253</v>
      </c>
      <c r="B22" s="80" t="s">
        <v>16</v>
      </c>
      <c r="C22" s="80">
        <v>15</v>
      </c>
      <c r="D22" s="80" t="s">
        <v>330</v>
      </c>
      <c r="E22" s="101">
        <f t="shared" si="3"/>
        <v>0.66731657086909912</v>
      </c>
      <c r="F22" s="65"/>
      <c r="Q22" s="141" t="s">
        <v>287</v>
      </c>
      <c r="R22" s="142">
        <v>1</v>
      </c>
      <c r="S22" s="141" t="s">
        <v>370</v>
      </c>
      <c r="W22" s="81" t="s">
        <v>6</v>
      </c>
      <c r="X22" s="82" t="s">
        <v>110</v>
      </c>
      <c r="Y22" s="82">
        <v>18</v>
      </c>
      <c r="Z22" s="82" t="s">
        <v>312</v>
      </c>
      <c r="AA22" s="102">
        <v>0.99706741779950658</v>
      </c>
      <c r="AC22" s="72" t="s">
        <v>28</v>
      </c>
      <c r="AD22" s="86">
        <f>COUNTIF(Y$50:Y$69,"=14")</f>
        <v>4</v>
      </c>
      <c r="AE22" s="87">
        <f t="shared" si="4"/>
        <v>0.11428571428571428</v>
      </c>
      <c r="AG22" s="127"/>
    </row>
    <row r="23" spans="1:33" ht="14">
      <c r="A23" s="83" t="s">
        <v>254</v>
      </c>
      <c r="B23" s="80" t="s">
        <v>16</v>
      </c>
      <c r="C23" s="80">
        <v>15</v>
      </c>
      <c r="D23" s="80" t="s">
        <v>304</v>
      </c>
      <c r="E23" s="101" t="s">
        <v>372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50</v>
      </c>
      <c r="X23" s="84" t="s">
        <v>372</v>
      </c>
      <c r="Y23" s="84"/>
      <c r="Z23" s="110" t="s">
        <v>286</v>
      </c>
      <c r="AA23" s="111">
        <v>0.99675869094774683</v>
      </c>
      <c r="AC23" s="72" t="s">
        <v>49</v>
      </c>
      <c r="AD23" s="86">
        <f>COUNTIF(Y$50:Y$69,"=13")</f>
        <v>6</v>
      </c>
      <c r="AE23" s="87">
        <f t="shared" si="4"/>
        <v>0.17142857142857143</v>
      </c>
      <c r="AG23" s="127"/>
    </row>
    <row r="24" spans="1:33" ht="15" thickBot="1">
      <c r="A24" s="83" t="s">
        <v>255</v>
      </c>
      <c r="B24" s="80" t="s">
        <v>16</v>
      </c>
      <c r="C24" s="80">
        <v>15</v>
      </c>
      <c r="D24" s="80" t="s">
        <v>305</v>
      </c>
      <c r="E24" s="101" t="s">
        <v>372</v>
      </c>
      <c r="F24" s="65"/>
      <c r="Q24" s="141" t="s">
        <v>289</v>
      </c>
      <c r="R24" s="142">
        <v>0.7497019635343618</v>
      </c>
      <c r="S24" s="143" t="s">
        <v>371</v>
      </c>
      <c r="W24" s="81" t="s">
        <v>66</v>
      </c>
      <c r="X24" s="82" t="s">
        <v>28</v>
      </c>
      <c r="Y24" s="82">
        <v>14</v>
      </c>
      <c r="Z24" s="82" t="s">
        <v>314</v>
      </c>
      <c r="AA24" s="102">
        <v>0.99458022018280356</v>
      </c>
      <c r="AC24" s="93" t="s">
        <v>79</v>
      </c>
      <c r="AD24" s="94">
        <f>COUNTIF(Y$50:Y$69,"&lt;13")</f>
        <v>0</v>
      </c>
      <c r="AE24" s="95">
        <f t="shared" si="4"/>
        <v>0</v>
      </c>
      <c r="AG24" s="127"/>
    </row>
    <row r="25" spans="1:33" ht="14">
      <c r="A25" s="83" t="s">
        <v>12</v>
      </c>
      <c r="B25" s="80" t="s">
        <v>16</v>
      </c>
      <c r="C25" s="80">
        <v>15</v>
      </c>
      <c r="D25" s="80" t="s">
        <v>308</v>
      </c>
      <c r="E25" s="101">
        <f t="shared" ref="E25:E41" si="5">VLOOKUP($D25,$Q$7:$R$69,2,0)</f>
        <v>0.36017814864816144</v>
      </c>
      <c r="F25" s="65"/>
      <c r="Q25" s="141" t="s">
        <v>290</v>
      </c>
      <c r="R25" s="142">
        <v>0.96341849943457658</v>
      </c>
      <c r="S25" s="141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0.99417211067658851</v>
      </c>
      <c r="AC25" s="88" t="s">
        <v>80</v>
      </c>
      <c r="AD25" s="89">
        <f>SUM(AD19:AD24)</f>
        <v>20</v>
      </c>
      <c r="AE25" s="90">
        <f t="shared" si="4"/>
        <v>0.5714285714285714</v>
      </c>
      <c r="AG25" s="127"/>
    </row>
    <row r="26" spans="1:33" ht="14">
      <c r="A26" s="83" t="s">
        <v>52</v>
      </c>
      <c r="B26" s="80" t="s">
        <v>16</v>
      </c>
      <c r="C26" s="80">
        <v>15</v>
      </c>
      <c r="D26" s="80" t="s">
        <v>280</v>
      </c>
      <c r="E26" s="101">
        <f t="shared" si="5"/>
        <v>0.7469877361024081</v>
      </c>
      <c r="F26" s="65"/>
      <c r="Q26" s="141" t="s">
        <v>291</v>
      </c>
      <c r="R26" s="142">
        <v>0.89410444897115693</v>
      </c>
      <c r="S26" s="141" t="s">
        <v>370</v>
      </c>
      <c r="W26" s="81" t="s">
        <v>75</v>
      </c>
      <c r="X26" s="82" t="s">
        <v>28</v>
      </c>
      <c r="Y26" s="82">
        <v>14</v>
      </c>
      <c r="Z26" s="82" t="s">
        <v>331</v>
      </c>
      <c r="AA26" s="102">
        <v>0.9915841495030967</v>
      </c>
      <c r="AG26" s="127"/>
    </row>
    <row r="27" spans="1:33" ht="14">
      <c r="A27" s="83" t="s">
        <v>21</v>
      </c>
      <c r="B27" s="80" t="s">
        <v>16</v>
      </c>
      <c r="C27" s="80">
        <v>15</v>
      </c>
      <c r="D27" s="80" t="s">
        <v>315</v>
      </c>
      <c r="E27" s="101">
        <f t="shared" si="5"/>
        <v>0.75386351438754873</v>
      </c>
      <c r="F27" s="65"/>
      <c r="Q27" s="141" t="s">
        <v>292</v>
      </c>
      <c r="R27" s="142">
        <v>1.0293089747728885</v>
      </c>
      <c r="S27" s="141" t="s">
        <v>370</v>
      </c>
      <c r="W27" s="79" t="s">
        <v>76</v>
      </c>
      <c r="X27" s="84" t="s">
        <v>372</v>
      </c>
      <c r="Y27" s="84"/>
      <c r="Z27" s="84" t="s">
        <v>333</v>
      </c>
      <c r="AA27" s="103">
        <v>0.98634859349145065</v>
      </c>
      <c r="AG27" s="127"/>
    </row>
    <row r="28" spans="1:33" ht="14">
      <c r="A28" s="83" t="s">
        <v>23</v>
      </c>
      <c r="B28" s="110" t="s">
        <v>16</v>
      </c>
      <c r="C28" s="110">
        <v>15</v>
      </c>
      <c r="D28" s="110" t="s">
        <v>322</v>
      </c>
      <c r="E28" s="111">
        <f>VLOOKUP($D28,$Q$7:$R$69,2,0)</f>
        <v>0.64890043729006908</v>
      </c>
      <c r="F28" s="65"/>
      <c r="Q28" s="141" t="s">
        <v>293</v>
      </c>
      <c r="R28" s="142">
        <v>1</v>
      </c>
      <c r="S28" s="141" t="s">
        <v>370</v>
      </c>
      <c r="W28" s="79" t="s">
        <v>41</v>
      </c>
      <c r="X28" s="80" t="s">
        <v>49</v>
      </c>
      <c r="Y28" s="80">
        <v>13</v>
      </c>
      <c r="Z28" s="80" t="s">
        <v>321</v>
      </c>
      <c r="AA28" s="101">
        <v>0.97501693766937669</v>
      </c>
      <c r="AC28" s="108" t="s">
        <v>140</v>
      </c>
      <c r="AD28" s="109"/>
      <c r="AE28" s="109"/>
      <c r="AF28" s="77">
        <f>AVERAGE(Y$70:Y$74)</f>
        <v>12.4</v>
      </c>
      <c r="AG28" s="126">
        <f>AF28-Credit_2009Q4!AF28</f>
        <v>-0.19999999999999929</v>
      </c>
    </row>
    <row r="29" spans="1:33" ht="15" thickBot="1">
      <c r="A29" s="83" t="s">
        <v>53</v>
      </c>
      <c r="B29" s="80" t="s">
        <v>16</v>
      </c>
      <c r="C29" s="80">
        <v>15</v>
      </c>
      <c r="D29" s="80" t="s">
        <v>317</v>
      </c>
      <c r="E29" s="101">
        <f t="shared" si="5"/>
        <v>0.99967400162999187</v>
      </c>
      <c r="F29" s="69"/>
      <c r="Q29" s="141" t="s">
        <v>294</v>
      </c>
      <c r="R29" s="142">
        <v>0.27230062686467099</v>
      </c>
      <c r="S29" s="141" t="s">
        <v>86</v>
      </c>
      <c r="W29" s="81" t="s">
        <v>258</v>
      </c>
      <c r="X29" s="82" t="s">
        <v>28</v>
      </c>
      <c r="Y29" s="82">
        <v>14</v>
      </c>
      <c r="Z29" s="82" t="s">
        <v>274</v>
      </c>
      <c r="AA29" s="102">
        <v>0.97067096880946468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43</v>
      </c>
      <c r="B30" s="80" t="s">
        <v>16</v>
      </c>
      <c r="C30" s="80">
        <v>15</v>
      </c>
      <c r="D30" s="110" t="s">
        <v>324</v>
      </c>
      <c r="E30" s="111">
        <f>VLOOKUP($D30,$Q$7:$R$69,2,0)</f>
        <v>0.42404692082111439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264</v>
      </c>
      <c r="X30" s="110" t="s">
        <v>56</v>
      </c>
      <c r="Y30" s="110">
        <v>12</v>
      </c>
      <c r="Z30" s="110" t="s">
        <v>332</v>
      </c>
      <c r="AA30" s="111">
        <v>0.97028603165787286</v>
      </c>
      <c r="AC30" s="72" t="s">
        <v>138</v>
      </c>
      <c r="AD30" s="86">
        <f>COUNTIF(Y$70:Y$74,"&gt;16")</f>
        <v>0</v>
      </c>
      <c r="AE30" s="87">
        <f>AD30/AD$14</f>
        <v>0</v>
      </c>
    </row>
    <row r="31" spans="1:33" ht="14">
      <c r="A31" s="83" t="s">
        <v>256</v>
      </c>
      <c r="B31" s="80" t="s">
        <v>16</v>
      </c>
      <c r="C31" s="80">
        <v>15</v>
      </c>
      <c r="D31" s="80" t="s">
        <v>319</v>
      </c>
      <c r="E31" s="101">
        <f t="shared" si="5"/>
        <v>0.85164553720066594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1" t="s">
        <v>14</v>
      </c>
      <c r="X31" s="82" t="s">
        <v>10</v>
      </c>
      <c r="Y31" s="82">
        <v>16</v>
      </c>
      <c r="Z31" s="82" t="s">
        <v>334</v>
      </c>
      <c r="AA31" s="102">
        <v>0.96644084643352246</v>
      </c>
      <c r="AC31" s="72" t="s">
        <v>10</v>
      </c>
      <c r="AD31" s="86">
        <f>COUNTIF(Y$70:Y$74,"=16")</f>
        <v>0</v>
      </c>
      <c r="AE31" s="87">
        <f t="shared" ref="AE31:AE36" si="6">AD31/AD$14</f>
        <v>0</v>
      </c>
    </row>
    <row r="32" spans="1:33" ht="14">
      <c r="A32" s="83" t="s">
        <v>13</v>
      </c>
      <c r="B32" s="80" t="s">
        <v>16</v>
      </c>
      <c r="C32" s="80">
        <v>15</v>
      </c>
      <c r="D32" s="80" t="s">
        <v>326</v>
      </c>
      <c r="E32" s="101">
        <f t="shared" si="5"/>
        <v>0.77327600463039525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1" t="s">
        <v>19</v>
      </c>
      <c r="X32" s="82" t="s">
        <v>10</v>
      </c>
      <c r="Y32" s="82">
        <v>16</v>
      </c>
      <c r="Z32" s="82" t="s">
        <v>290</v>
      </c>
      <c r="AA32" s="102">
        <v>0.96341849943457658</v>
      </c>
      <c r="AC32" s="72" t="s">
        <v>16</v>
      </c>
      <c r="AD32" s="86">
        <f>COUNTIF(Y$70:Y$74,"=15")</f>
        <v>2</v>
      </c>
      <c r="AE32" s="87">
        <f t="shared" si="6"/>
        <v>5.7142857142857141E-2</v>
      </c>
    </row>
    <row r="33" spans="1:31" ht="14">
      <c r="A33" s="83" t="s">
        <v>25</v>
      </c>
      <c r="B33" s="80" t="s">
        <v>16</v>
      </c>
      <c r="C33" s="80">
        <v>15</v>
      </c>
      <c r="D33" s="80" t="s">
        <v>328</v>
      </c>
      <c r="E33" s="101">
        <f t="shared" si="5"/>
        <v>0.614337822671156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1" t="s">
        <v>512</v>
      </c>
      <c r="X33" s="82" t="s">
        <v>28</v>
      </c>
      <c r="Y33" s="82">
        <v>14</v>
      </c>
      <c r="Z33" s="82" t="s">
        <v>511</v>
      </c>
      <c r="AA33" s="102">
        <v>0.9619710194413027</v>
      </c>
      <c r="AC33" s="72" t="s">
        <v>28</v>
      </c>
      <c r="AD33" s="86">
        <f>COUNTIF(Y$70:Y$74,"=14")</f>
        <v>0</v>
      </c>
      <c r="AE33" s="87">
        <f t="shared" si="6"/>
        <v>0</v>
      </c>
    </row>
    <row r="34" spans="1:31" ht="14">
      <c r="A34" s="83" t="s">
        <v>26</v>
      </c>
      <c r="B34" s="80" t="s">
        <v>16</v>
      </c>
      <c r="C34" s="80">
        <v>15</v>
      </c>
      <c r="D34" s="80" t="s">
        <v>335</v>
      </c>
      <c r="E34" s="101">
        <f t="shared" si="5"/>
        <v>0.84932154135723226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1" t="s">
        <v>20</v>
      </c>
      <c r="X34" s="82" t="s">
        <v>28</v>
      </c>
      <c r="Y34" s="82">
        <v>14</v>
      </c>
      <c r="Z34" s="82" t="s">
        <v>302</v>
      </c>
      <c r="AA34" s="102">
        <v>0.96099371344273887</v>
      </c>
      <c r="AC34" s="72" t="s">
        <v>49</v>
      </c>
      <c r="AD34" s="86">
        <f>COUNTIF(Y$70:Y$74,"=13")</f>
        <v>2</v>
      </c>
      <c r="AE34" s="87">
        <f t="shared" si="6"/>
        <v>5.7142857142857141E-2</v>
      </c>
    </row>
    <row r="35" spans="1:31" ht="15" thickBot="1">
      <c r="A35" s="81" t="s">
        <v>258</v>
      </c>
      <c r="B35" s="82" t="s">
        <v>28</v>
      </c>
      <c r="C35" s="82">
        <v>14</v>
      </c>
      <c r="D35" s="82" t="s">
        <v>274</v>
      </c>
      <c r="E35" s="102">
        <f t="shared" si="5"/>
        <v>0.97067096880946468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0.94699999999999995</v>
      </c>
      <c r="AC35" s="93" t="s">
        <v>79</v>
      </c>
      <c r="AD35" s="94">
        <f>COUNTIF(Y$70:Y$74,"&lt;13")</f>
        <v>1</v>
      </c>
      <c r="AE35" s="95">
        <f t="shared" si="6"/>
        <v>2.8571428571428571E-2</v>
      </c>
    </row>
    <row r="36" spans="1:31" ht="14">
      <c r="A36" s="81" t="s">
        <v>29</v>
      </c>
      <c r="B36" s="82" t="s">
        <v>28</v>
      </c>
      <c r="C36" s="82">
        <v>14</v>
      </c>
      <c r="D36" s="82" t="s">
        <v>285</v>
      </c>
      <c r="E36" s="102">
        <f t="shared" si="5"/>
        <v>0.72270267536539723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79" t="s">
        <v>55</v>
      </c>
      <c r="X36" s="80" t="s">
        <v>49</v>
      </c>
      <c r="Y36" s="80">
        <v>13</v>
      </c>
      <c r="Z36" s="80" t="s">
        <v>277</v>
      </c>
      <c r="AA36" s="101">
        <v>0.9427287640364086</v>
      </c>
      <c r="AC36" s="88" t="s">
        <v>80</v>
      </c>
      <c r="AD36" s="89">
        <f>SUM(AD30:AD35)</f>
        <v>5</v>
      </c>
      <c r="AE36" s="90">
        <f t="shared" si="6"/>
        <v>0.14285714285714285</v>
      </c>
    </row>
    <row r="37" spans="1:31" ht="14">
      <c r="A37" s="81" t="s">
        <v>30</v>
      </c>
      <c r="B37" s="82" t="s">
        <v>28</v>
      </c>
      <c r="C37" s="82">
        <v>14</v>
      </c>
      <c r="D37" s="82" t="s">
        <v>284</v>
      </c>
      <c r="E37" s="102">
        <f t="shared" si="5"/>
        <v>0.91044690077830015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79" t="s">
        <v>7</v>
      </c>
      <c r="X37" s="80" t="s">
        <v>2</v>
      </c>
      <c r="Y37" s="80">
        <v>17</v>
      </c>
      <c r="Z37" s="80" t="s">
        <v>327</v>
      </c>
      <c r="AA37" s="101">
        <v>0.93000422702993502</v>
      </c>
    </row>
    <row r="38" spans="1:31" ht="14">
      <c r="A38" s="81" t="s">
        <v>34</v>
      </c>
      <c r="B38" s="82" t="s">
        <v>28</v>
      </c>
      <c r="C38" s="82">
        <v>14</v>
      </c>
      <c r="D38" s="82" t="s">
        <v>293</v>
      </c>
      <c r="E38" s="102">
        <f t="shared" si="5"/>
        <v>1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15</v>
      </c>
      <c r="X38" s="80" t="s">
        <v>16</v>
      </c>
      <c r="Y38" s="80">
        <v>15</v>
      </c>
      <c r="Z38" s="80" t="s">
        <v>276</v>
      </c>
      <c r="AA38" s="101">
        <v>0.91262379340604238</v>
      </c>
    </row>
    <row r="39" spans="1:31" ht="14">
      <c r="A39" s="81" t="s">
        <v>36</v>
      </c>
      <c r="B39" s="82" t="s">
        <v>28</v>
      </c>
      <c r="C39" s="82">
        <v>14</v>
      </c>
      <c r="D39" s="82" t="s">
        <v>296</v>
      </c>
      <c r="E39" s="102">
        <f t="shared" si="5"/>
        <v>0.79472908539599674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1" t="s">
        <v>30</v>
      </c>
      <c r="X39" s="82" t="s">
        <v>28</v>
      </c>
      <c r="Y39" s="82">
        <v>14</v>
      </c>
      <c r="Z39" s="82" t="s">
        <v>284</v>
      </c>
      <c r="AA39" s="102">
        <v>0.91044690077830015</v>
      </c>
    </row>
    <row r="40" spans="1:31" ht="14">
      <c r="A40" s="81" t="s">
        <v>11</v>
      </c>
      <c r="B40" s="82" t="s">
        <v>28</v>
      </c>
      <c r="C40" s="82">
        <v>14</v>
      </c>
      <c r="D40" s="82" t="s">
        <v>297</v>
      </c>
      <c r="E40" s="102">
        <f t="shared" si="5"/>
        <v>0.60422936152907691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1" t="s">
        <v>62</v>
      </c>
      <c r="X40" s="82" t="s">
        <v>28</v>
      </c>
      <c r="Y40" s="82">
        <v>14</v>
      </c>
      <c r="Z40" s="82" t="s">
        <v>329</v>
      </c>
      <c r="AA40" s="102">
        <v>0.90975829351063098</v>
      </c>
    </row>
    <row r="41" spans="1:31" ht="14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5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79" t="s">
        <v>60</v>
      </c>
      <c r="X41" s="80" t="s">
        <v>49</v>
      </c>
      <c r="Y41" s="80">
        <v>13</v>
      </c>
      <c r="Z41" s="80" t="s">
        <v>283</v>
      </c>
      <c r="AA41" s="101">
        <v>0.90135028841111697</v>
      </c>
    </row>
    <row r="42" spans="1:31" ht="14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1" t="s">
        <v>3</v>
      </c>
      <c r="X42" s="82" t="s">
        <v>10</v>
      </c>
      <c r="Y42" s="82">
        <v>16</v>
      </c>
      <c r="Z42" s="82" t="s">
        <v>291</v>
      </c>
      <c r="AA42" s="102">
        <v>0.89410444897115693</v>
      </c>
    </row>
    <row r="43" spans="1:31" ht="14">
      <c r="A43" s="81" t="s">
        <v>20</v>
      </c>
      <c r="B43" s="82" t="s">
        <v>28</v>
      </c>
      <c r="C43" s="82">
        <v>14</v>
      </c>
      <c r="D43" s="82" t="s">
        <v>302</v>
      </c>
      <c r="E43" s="102">
        <f t="shared" ref="E43:E56" si="7">VLOOKUP($D43,$Q$7:$R$69,2,0)</f>
        <v>0.96099371344273887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1" t="s">
        <v>42</v>
      </c>
      <c r="X43" s="82" t="s">
        <v>65</v>
      </c>
      <c r="Y43" s="82">
        <v>10</v>
      </c>
      <c r="Z43" s="82" t="s">
        <v>320</v>
      </c>
      <c r="AA43" s="102">
        <v>0.89259170051200387</v>
      </c>
    </row>
    <row r="44" spans="1:31" ht="14">
      <c r="A44" s="81" t="s">
        <v>512</v>
      </c>
      <c r="B44" s="82" t="s">
        <v>28</v>
      </c>
      <c r="C44" s="82">
        <v>14</v>
      </c>
      <c r="D44" s="82" t="s">
        <v>511</v>
      </c>
      <c r="E44" s="102">
        <f t="shared" si="7"/>
        <v>0.9619710194413027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79" t="s">
        <v>263</v>
      </c>
      <c r="X44" s="80" t="s">
        <v>2</v>
      </c>
      <c r="Y44" s="80">
        <v>17</v>
      </c>
      <c r="Z44" s="80" t="s">
        <v>282</v>
      </c>
      <c r="AA44" s="101">
        <v>0.87497195036407094</v>
      </c>
    </row>
    <row r="45" spans="1:31" ht="14">
      <c r="A45" s="81" t="s">
        <v>66</v>
      </c>
      <c r="B45" s="82" t="s">
        <v>28</v>
      </c>
      <c r="C45" s="82">
        <v>14</v>
      </c>
      <c r="D45" s="82" t="s">
        <v>314</v>
      </c>
      <c r="E45" s="102">
        <f t="shared" si="7"/>
        <v>0.99458022018280356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256</v>
      </c>
      <c r="X45" s="80" t="s">
        <v>16</v>
      </c>
      <c r="Y45" s="80">
        <v>15</v>
      </c>
      <c r="Z45" s="80" t="s">
        <v>319</v>
      </c>
      <c r="AA45" s="101">
        <v>0.85164553720066594</v>
      </c>
    </row>
    <row r="46" spans="1:31" ht="14">
      <c r="A46" s="81" t="s">
        <v>24</v>
      </c>
      <c r="B46" s="82" t="s">
        <v>28</v>
      </c>
      <c r="C46" s="82">
        <v>14</v>
      </c>
      <c r="D46" s="82" t="s">
        <v>323</v>
      </c>
      <c r="E46" s="102">
        <f t="shared" si="7"/>
        <v>1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26</v>
      </c>
      <c r="X46" s="80" t="s">
        <v>16</v>
      </c>
      <c r="Y46" s="80">
        <v>15</v>
      </c>
      <c r="Z46" s="80" t="s">
        <v>335</v>
      </c>
      <c r="AA46" s="101">
        <v>0.84932154135723226</v>
      </c>
    </row>
    <row r="47" spans="1:31" ht="14">
      <c r="A47" s="81" t="s">
        <v>45</v>
      </c>
      <c r="B47" s="82" t="s">
        <v>28</v>
      </c>
      <c r="C47" s="82">
        <v>14</v>
      </c>
      <c r="D47" s="82" t="s">
        <v>318</v>
      </c>
      <c r="E47" s="102">
        <f t="shared" si="7"/>
        <v>0.57546119039331711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17</v>
      </c>
      <c r="X47" s="80" t="s">
        <v>16</v>
      </c>
      <c r="Y47" s="80">
        <v>15</v>
      </c>
      <c r="Z47" s="80" t="s">
        <v>306</v>
      </c>
      <c r="AA47" s="101">
        <v>0.84890438247011957</v>
      </c>
    </row>
    <row r="48" spans="1:31" ht="14">
      <c r="A48" s="81" t="s">
        <v>62</v>
      </c>
      <c r="B48" s="82" t="s">
        <v>28</v>
      </c>
      <c r="C48" s="82">
        <v>14</v>
      </c>
      <c r="D48" s="82" t="s">
        <v>329</v>
      </c>
      <c r="E48" s="102">
        <f t="shared" si="7"/>
        <v>0.90975829351063098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0.82576712904581762</v>
      </c>
    </row>
    <row r="49" spans="1:27" ht="14">
      <c r="A49" s="81" t="s">
        <v>75</v>
      </c>
      <c r="B49" s="82" t="s">
        <v>28</v>
      </c>
      <c r="C49" s="82">
        <v>14</v>
      </c>
      <c r="D49" s="82" t="s">
        <v>331</v>
      </c>
      <c r="E49" s="102">
        <f t="shared" si="7"/>
        <v>0.9915841495030967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31</v>
      </c>
      <c r="X49" s="80" t="s">
        <v>16</v>
      </c>
      <c r="Y49" s="80">
        <v>15</v>
      </c>
      <c r="Z49" s="110" t="s">
        <v>288</v>
      </c>
      <c r="AA49" s="111">
        <v>0.81467245298615421</v>
      </c>
    </row>
    <row r="50" spans="1:27" ht="14">
      <c r="A50" s="81" t="s">
        <v>59</v>
      </c>
      <c r="B50" s="82" t="s">
        <v>28</v>
      </c>
      <c r="C50" s="82">
        <v>14</v>
      </c>
      <c r="D50" s="82" t="s">
        <v>336</v>
      </c>
      <c r="E50" s="102">
        <f t="shared" si="7"/>
        <v>1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1" t="s">
        <v>36</v>
      </c>
      <c r="X50" s="82" t="s">
        <v>28</v>
      </c>
      <c r="Y50" s="82">
        <v>14</v>
      </c>
      <c r="Z50" s="82" t="s">
        <v>296</v>
      </c>
      <c r="AA50" s="102">
        <v>0.79472908539599674</v>
      </c>
    </row>
    <row r="51" spans="1:27" ht="14">
      <c r="A51" s="79" t="s">
        <v>67</v>
      </c>
      <c r="B51" s="80" t="s">
        <v>49</v>
      </c>
      <c r="C51" s="80">
        <v>13</v>
      </c>
      <c r="D51" s="80" t="s">
        <v>278</v>
      </c>
      <c r="E51" s="101">
        <f t="shared" si="7"/>
        <v>0.62875460562079877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79" t="s">
        <v>57</v>
      </c>
      <c r="X51" s="80" t="s">
        <v>49</v>
      </c>
      <c r="Y51" s="80">
        <v>13</v>
      </c>
      <c r="Z51" s="80" t="s">
        <v>295</v>
      </c>
      <c r="AA51" s="101">
        <v>0.78356336260978665</v>
      </c>
    </row>
    <row r="52" spans="1:27" ht="14">
      <c r="A52" s="79" t="s">
        <v>9</v>
      </c>
      <c r="B52" s="80" t="s">
        <v>49</v>
      </c>
      <c r="C52" s="80">
        <v>13</v>
      </c>
      <c r="D52" s="80" t="s">
        <v>273</v>
      </c>
      <c r="E52" s="101">
        <f t="shared" si="7"/>
        <v>0.82576712904581762</v>
      </c>
      <c r="F52" s="69"/>
      <c r="Q52" s="141" t="s">
        <v>320</v>
      </c>
      <c r="R52" s="142">
        <v>0.89259170051200387</v>
      </c>
      <c r="S52" s="141" t="s">
        <v>370</v>
      </c>
      <c r="W52" s="79" t="s">
        <v>262</v>
      </c>
      <c r="X52" s="80" t="s">
        <v>108</v>
      </c>
      <c r="Y52" s="80">
        <v>19</v>
      </c>
      <c r="Z52" s="80" t="s">
        <v>309</v>
      </c>
      <c r="AA52" s="101">
        <v>0.77794419936265724</v>
      </c>
    </row>
    <row r="53" spans="1:27" ht="14">
      <c r="A53" s="79" t="s">
        <v>55</v>
      </c>
      <c r="B53" s="80" t="s">
        <v>49</v>
      </c>
      <c r="C53" s="80">
        <v>13</v>
      </c>
      <c r="D53" s="80" t="s">
        <v>277</v>
      </c>
      <c r="E53" s="101">
        <f t="shared" si="7"/>
        <v>0.9427287640364086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13</v>
      </c>
      <c r="X53" s="80" t="s">
        <v>16</v>
      </c>
      <c r="Y53" s="80">
        <v>15</v>
      </c>
      <c r="Z53" s="80" t="s">
        <v>326</v>
      </c>
      <c r="AA53" s="101">
        <v>0.77327600463039525</v>
      </c>
    </row>
    <row r="54" spans="1:27" ht="14">
      <c r="A54" s="79" t="s">
        <v>48</v>
      </c>
      <c r="B54" s="80" t="s">
        <v>49</v>
      </c>
      <c r="C54" s="80">
        <v>13</v>
      </c>
      <c r="D54" s="80" t="s">
        <v>279</v>
      </c>
      <c r="E54" s="101">
        <f t="shared" si="7"/>
        <v>0.70643925978729205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21</v>
      </c>
      <c r="X54" s="80" t="s">
        <v>16</v>
      </c>
      <c r="Y54" s="80">
        <v>15</v>
      </c>
      <c r="Z54" s="80" t="s">
        <v>315</v>
      </c>
      <c r="AA54" s="101">
        <v>0.75386351438754873</v>
      </c>
    </row>
    <row r="55" spans="1:27" ht="14">
      <c r="A55" s="79" t="s">
        <v>60</v>
      </c>
      <c r="B55" s="80" t="s">
        <v>49</v>
      </c>
      <c r="C55" s="80">
        <v>13</v>
      </c>
      <c r="D55" s="80" t="s">
        <v>283</v>
      </c>
      <c r="E55" s="101">
        <f t="shared" si="7"/>
        <v>0.90135028841111697</v>
      </c>
      <c r="F55" s="65"/>
      <c r="Q55" s="141" t="s">
        <v>323</v>
      </c>
      <c r="R55" s="142">
        <v>1</v>
      </c>
      <c r="S55" s="141" t="s">
        <v>370</v>
      </c>
      <c r="W55" s="81" t="s">
        <v>32</v>
      </c>
      <c r="X55" s="82" t="s">
        <v>10</v>
      </c>
      <c r="Y55" s="82">
        <v>16</v>
      </c>
      <c r="Z55" s="82" t="s">
        <v>289</v>
      </c>
      <c r="AA55" s="102">
        <v>0.7497019635343618</v>
      </c>
    </row>
    <row r="56" spans="1:27" ht="14">
      <c r="A56" s="83" t="s">
        <v>259</v>
      </c>
      <c r="B56" s="110" t="s">
        <v>49</v>
      </c>
      <c r="C56" s="110">
        <v>13</v>
      </c>
      <c r="D56" s="110" t="s">
        <v>281</v>
      </c>
      <c r="E56" s="111">
        <f t="shared" si="7"/>
        <v>0.27216238256230779</v>
      </c>
      <c r="F56" s="65"/>
      <c r="Q56" s="141" t="s">
        <v>324</v>
      </c>
      <c r="R56" s="142">
        <v>0.42404692082111439</v>
      </c>
      <c r="S56" s="143" t="s">
        <v>86</v>
      </c>
      <c r="W56" s="83" t="s">
        <v>52</v>
      </c>
      <c r="X56" s="80" t="s">
        <v>16</v>
      </c>
      <c r="Y56" s="80">
        <v>15</v>
      </c>
      <c r="Z56" s="80" t="s">
        <v>280</v>
      </c>
      <c r="AA56" s="101">
        <v>0.7469877361024081</v>
      </c>
    </row>
    <row r="57" spans="1:27" ht="14">
      <c r="A57" s="79" t="s">
        <v>261</v>
      </c>
      <c r="B57" s="80" t="s">
        <v>49</v>
      </c>
      <c r="C57" s="80">
        <v>13</v>
      </c>
      <c r="D57" s="80" t="s">
        <v>185</v>
      </c>
      <c r="E57" s="101" t="s">
        <v>372</v>
      </c>
      <c r="F57" s="69"/>
      <c r="Q57" s="141" t="s">
        <v>325</v>
      </c>
      <c r="R57" s="142">
        <v>0.99417211067658851</v>
      </c>
      <c r="S57" s="141" t="s">
        <v>370</v>
      </c>
      <c r="W57" s="81" t="s">
        <v>29</v>
      </c>
      <c r="X57" s="82" t="s">
        <v>28</v>
      </c>
      <c r="Y57" s="82">
        <v>14</v>
      </c>
      <c r="Z57" s="82" t="s">
        <v>285</v>
      </c>
      <c r="AA57" s="102">
        <v>0.72270267536539723</v>
      </c>
    </row>
    <row r="58" spans="1:27" ht="14">
      <c r="A58" s="79" t="s">
        <v>57</v>
      </c>
      <c r="B58" s="80" t="s">
        <v>49</v>
      </c>
      <c r="C58" s="80">
        <v>13</v>
      </c>
      <c r="D58" s="80" t="s">
        <v>295</v>
      </c>
      <c r="E58" s="101">
        <f t="shared" ref="E58:E74" si="8">VLOOKUP($D58,$Q$7:$R$69,2,0)</f>
        <v>0.78356336260978665</v>
      </c>
      <c r="F58" s="65"/>
      <c r="Q58" s="141" t="s">
        <v>326</v>
      </c>
      <c r="R58" s="142">
        <v>0.77327600463039525</v>
      </c>
      <c r="S58" s="143" t="s">
        <v>371</v>
      </c>
      <c r="W58" s="79" t="s">
        <v>48</v>
      </c>
      <c r="X58" s="80" t="s">
        <v>49</v>
      </c>
      <c r="Y58" s="80">
        <v>13</v>
      </c>
      <c r="Z58" s="80" t="s">
        <v>279</v>
      </c>
      <c r="AA58" s="101">
        <v>0.70643925978729205</v>
      </c>
    </row>
    <row r="59" spans="1:27" ht="14">
      <c r="A59" s="79" t="s">
        <v>35</v>
      </c>
      <c r="B59" s="80" t="s">
        <v>49</v>
      </c>
      <c r="C59" s="80">
        <v>13</v>
      </c>
      <c r="D59" s="80" t="s">
        <v>292</v>
      </c>
      <c r="E59" s="101">
        <f t="shared" si="8"/>
        <v>1.0293089747728885</v>
      </c>
      <c r="F59" s="65"/>
      <c r="Q59" s="141" t="s">
        <v>327</v>
      </c>
      <c r="R59" s="142">
        <v>0.93000422702993502</v>
      </c>
      <c r="S59" s="141" t="s">
        <v>370</v>
      </c>
      <c r="W59" s="79" t="s">
        <v>51</v>
      </c>
      <c r="X59" s="80" t="s">
        <v>49</v>
      </c>
      <c r="Y59" s="80">
        <v>13</v>
      </c>
      <c r="Z59" s="80" t="s">
        <v>298</v>
      </c>
      <c r="AA59" s="101">
        <v>0.66983442164179108</v>
      </c>
    </row>
    <row r="60" spans="1:27" ht="14">
      <c r="A60" s="79" t="s">
        <v>51</v>
      </c>
      <c r="B60" s="80" t="s">
        <v>49</v>
      </c>
      <c r="C60" s="80">
        <v>13</v>
      </c>
      <c r="D60" s="80" t="s">
        <v>298</v>
      </c>
      <c r="E60" s="101">
        <f t="shared" si="8"/>
        <v>0.66983442164179108</v>
      </c>
      <c r="F60" s="65"/>
      <c r="Q60" s="141" t="s">
        <v>328</v>
      </c>
      <c r="R60" s="142">
        <v>0.614337822671156</v>
      </c>
      <c r="S60" s="143" t="s">
        <v>371</v>
      </c>
      <c r="W60" s="83" t="s">
        <v>253</v>
      </c>
      <c r="X60" s="80" t="s">
        <v>16</v>
      </c>
      <c r="Y60" s="80">
        <v>15</v>
      </c>
      <c r="Z60" s="80" t="s">
        <v>330</v>
      </c>
      <c r="AA60" s="101">
        <v>0.66731657086909912</v>
      </c>
    </row>
    <row r="61" spans="1:27" ht="14">
      <c r="A61" s="83" t="s">
        <v>39</v>
      </c>
      <c r="B61" s="80" t="s">
        <v>49</v>
      </c>
      <c r="C61" s="80">
        <v>13</v>
      </c>
      <c r="D61" s="110" t="s">
        <v>301</v>
      </c>
      <c r="E61" s="111">
        <f>VLOOKUP($D61,$Q$7:$R$69,2,0)</f>
        <v>0.44575810739314115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23</v>
      </c>
      <c r="X61" s="110" t="s">
        <v>16</v>
      </c>
      <c r="Y61" s="110">
        <v>15</v>
      </c>
      <c r="Z61" s="110" t="s">
        <v>322</v>
      </c>
      <c r="AA61" s="111">
        <v>0.64890043729006908</v>
      </c>
    </row>
    <row r="62" spans="1:27" ht="14">
      <c r="A62" s="79" t="s">
        <v>58</v>
      </c>
      <c r="B62" s="80" t="s">
        <v>49</v>
      </c>
      <c r="C62" s="80">
        <v>13</v>
      </c>
      <c r="D62" s="80" t="s">
        <v>275</v>
      </c>
      <c r="E62" s="101">
        <f t="shared" si="8"/>
        <v>1</v>
      </c>
      <c r="F62" s="65"/>
      <c r="Q62" s="141" t="s">
        <v>330</v>
      </c>
      <c r="R62" s="142">
        <v>0.66731657086909912</v>
      </c>
      <c r="S62" s="143" t="s">
        <v>371</v>
      </c>
      <c r="W62" s="79" t="s">
        <v>22</v>
      </c>
      <c r="X62" s="80" t="s">
        <v>49</v>
      </c>
      <c r="Y62" s="80">
        <v>13</v>
      </c>
      <c r="Z62" s="80" t="s">
        <v>316</v>
      </c>
      <c r="AA62" s="101">
        <v>0.63819230650865855</v>
      </c>
    </row>
    <row r="63" spans="1:27" ht="14">
      <c r="A63" s="79" t="s">
        <v>40</v>
      </c>
      <c r="B63" s="80" t="s">
        <v>49</v>
      </c>
      <c r="C63" s="80">
        <v>13</v>
      </c>
      <c r="D63" s="80" t="s">
        <v>310</v>
      </c>
      <c r="E63" s="101">
        <f t="shared" si="8"/>
        <v>0.58034319753835939</v>
      </c>
      <c r="F63" s="65"/>
      <c r="Q63" s="141" t="s">
        <v>331</v>
      </c>
      <c r="R63" s="142">
        <v>0.9915841495030967</v>
      </c>
      <c r="S63" s="141" t="s">
        <v>370</v>
      </c>
      <c r="W63" s="79" t="s">
        <v>67</v>
      </c>
      <c r="X63" s="80" t="s">
        <v>49</v>
      </c>
      <c r="Y63" s="80">
        <v>13</v>
      </c>
      <c r="Z63" s="80" t="s">
        <v>278</v>
      </c>
      <c r="AA63" s="101">
        <v>0.62875460562079877</v>
      </c>
    </row>
    <row r="64" spans="1:27" ht="14">
      <c r="A64" s="79" t="s">
        <v>22</v>
      </c>
      <c r="B64" s="80" t="s">
        <v>49</v>
      </c>
      <c r="C64" s="80">
        <v>13</v>
      </c>
      <c r="D64" s="80" t="s">
        <v>316</v>
      </c>
      <c r="E64" s="101">
        <f t="shared" si="8"/>
        <v>0.63819230650865855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25</v>
      </c>
      <c r="X64" s="80" t="s">
        <v>16</v>
      </c>
      <c r="Y64" s="80">
        <v>15</v>
      </c>
      <c r="Z64" s="80" t="s">
        <v>328</v>
      </c>
      <c r="AA64" s="101">
        <v>0.614337822671156</v>
      </c>
    </row>
    <row r="65" spans="1:27" ht="14">
      <c r="A65" s="79" t="s">
        <v>41</v>
      </c>
      <c r="B65" s="80" t="s">
        <v>49</v>
      </c>
      <c r="C65" s="80">
        <v>13</v>
      </c>
      <c r="D65" s="80" t="s">
        <v>321</v>
      </c>
      <c r="E65" s="101">
        <f t="shared" si="8"/>
        <v>0.97501693766937669</v>
      </c>
      <c r="F65" s="65"/>
      <c r="Q65" s="141" t="s">
        <v>333</v>
      </c>
      <c r="R65" s="142">
        <v>0.98634859349145065</v>
      </c>
      <c r="S65" s="141" t="s">
        <v>370</v>
      </c>
      <c r="W65" s="81" t="s">
        <v>11</v>
      </c>
      <c r="X65" s="82" t="s">
        <v>28</v>
      </c>
      <c r="Y65" s="82">
        <v>14</v>
      </c>
      <c r="Z65" s="82" t="s">
        <v>297</v>
      </c>
      <c r="AA65" s="102">
        <v>0.60422936152907691</v>
      </c>
    </row>
    <row r="66" spans="1:27" ht="14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8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1" t="s">
        <v>18</v>
      </c>
      <c r="X66" s="82" t="s">
        <v>10</v>
      </c>
      <c r="Y66" s="82">
        <v>16</v>
      </c>
      <c r="Z66" s="82" t="s">
        <v>86</v>
      </c>
      <c r="AA66" s="102">
        <v>0.58142655748172922</v>
      </c>
    </row>
    <row r="67" spans="1:27" ht="14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8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79" t="s">
        <v>40</v>
      </c>
      <c r="X67" s="80" t="s">
        <v>49</v>
      </c>
      <c r="Y67" s="80">
        <v>13</v>
      </c>
      <c r="Z67" s="80" t="s">
        <v>310</v>
      </c>
      <c r="AA67" s="101">
        <v>0.58034319753835939</v>
      </c>
    </row>
    <row r="68" spans="1:27" ht="14">
      <c r="A68" s="81" t="s">
        <v>42</v>
      </c>
      <c r="B68" s="82" t="s">
        <v>65</v>
      </c>
      <c r="C68" s="82">
        <v>10</v>
      </c>
      <c r="D68" s="82" t="s">
        <v>320</v>
      </c>
      <c r="E68" s="102">
        <f t="shared" si="8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1" t="s">
        <v>45</v>
      </c>
      <c r="X68" s="82" t="s">
        <v>28</v>
      </c>
      <c r="Y68" s="82">
        <v>14</v>
      </c>
      <c r="Z68" s="82" t="s">
        <v>318</v>
      </c>
      <c r="AA68" s="102">
        <v>0.57546119039331711</v>
      </c>
    </row>
    <row r="69" spans="1:27" ht="15" thickBot="1">
      <c r="A69" s="147" t="s">
        <v>248</v>
      </c>
      <c r="B69" s="148" t="s">
        <v>123</v>
      </c>
      <c r="C69" s="148">
        <v>6</v>
      </c>
      <c r="D69" s="148" t="s">
        <v>294</v>
      </c>
      <c r="E69" s="149">
        <f t="shared" si="8"/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154" t="s">
        <v>369</v>
      </c>
      <c r="X69" s="156" t="s">
        <v>10</v>
      </c>
      <c r="Y69" s="156">
        <v>16</v>
      </c>
      <c r="Z69" s="156" t="s">
        <v>368</v>
      </c>
      <c r="AA69" s="159">
        <v>0.55330389203021169</v>
      </c>
    </row>
    <row r="70" spans="1:27" ht="14">
      <c r="A70" s="79" t="s">
        <v>262</v>
      </c>
      <c r="B70" s="80" t="s">
        <v>108</v>
      </c>
      <c r="C70" s="80">
        <v>19</v>
      </c>
      <c r="D70" s="80" t="s">
        <v>309</v>
      </c>
      <c r="E70" s="101">
        <f t="shared" si="8"/>
        <v>0.77794419936265724</v>
      </c>
      <c r="F70" s="69"/>
      <c r="G70" s="66"/>
      <c r="Q70" s="99"/>
      <c r="R70" s="98"/>
      <c r="S70" s="97"/>
      <c r="W70" s="83" t="s">
        <v>39</v>
      </c>
      <c r="X70" s="80" t="s">
        <v>49</v>
      </c>
      <c r="Y70" s="80">
        <v>13</v>
      </c>
      <c r="Z70" s="110" t="s">
        <v>301</v>
      </c>
      <c r="AA70" s="111">
        <v>0.44575810739314115</v>
      </c>
    </row>
    <row r="71" spans="1:27" ht="14">
      <c r="A71" s="79" t="s">
        <v>263</v>
      </c>
      <c r="B71" s="80" t="s">
        <v>2</v>
      </c>
      <c r="C71" s="80">
        <v>17</v>
      </c>
      <c r="D71" s="80" t="s">
        <v>282</v>
      </c>
      <c r="E71" s="101">
        <f t="shared" si="8"/>
        <v>0.87497195036407094</v>
      </c>
      <c r="F71" s="65"/>
      <c r="Q71" s="99"/>
      <c r="R71" s="98"/>
      <c r="S71" s="97"/>
      <c r="W71" s="83" t="s">
        <v>43</v>
      </c>
      <c r="X71" s="80" t="s">
        <v>16</v>
      </c>
      <c r="Y71" s="80">
        <v>15</v>
      </c>
      <c r="Z71" s="110" t="s">
        <v>324</v>
      </c>
      <c r="AA71" s="111">
        <v>0.42404692082111439</v>
      </c>
    </row>
    <row r="72" spans="1:27" ht="14">
      <c r="A72" s="83" t="s">
        <v>264</v>
      </c>
      <c r="B72" s="110" t="s">
        <v>56</v>
      </c>
      <c r="C72" s="110">
        <v>12</v>
      </c>
      <c r="D72" s="110" t="s">
        <v>332</v>
      </c>
      <c r="E72" s="111">
        <f t="shared" si="8"/>
        <v>0.97028603165787286</v>
      </c>
      <c r="F72" s="69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0.36017814864816144</v>
      </c>
    </row>
    <row r="73" spans="1:27" ht="14">
      <c r="A73" s="83" t="s">
        <v>50</v>
      </c>
      <c r="B73" s="84" t="s">
        <v>372</v>
      </c>
      <c r="C73" s="84"/>
      <c r="D73" s="110" t="s">
        <v>286</v>
      </c>
      <c r="E73" s="111">
        <f t="shared" si="8"/>
        <v>0.99675869094774683</v>
      </c>
      <c r="F73" s="12"/>
      <c r="Q73" s="99"/>
      <c r="R73" s="98"/>
      <c r="S73" s="97"/>
      <c r="W73" s="155" t="s">
        <v>248</v>
      </c>
      <c r="X73" s="157" t="s">
        <v>123</v>
      </c>
      <c r="Y73" s="157">
        <v>6</v>
      </c>
      <c r="Z73" s="157" t="s">
        <v>294</v>
      </c>
      <c r="AA73" s="160">
        <v>0.27230062686467099</v>
      </c>
    </row>
    <row r="74" spans="1:27" ht="15" thickBot="1">
      <c r="A74" s="91" t="s">
        <v>76</v>
      </c>
      <c r="B74" s="92" t="s">
        <v>372</v>
      </c>
      <c r="C74" s="92"/>
      <c r="D74" s="92" t="s">
        <v>333</v>
      </c>
      <c r="E74" s="104">
        <f t="shared" si="8"/>
        <v>0.98634859349145065</v>
      </c>
      <c r="F74" s="9"/>
      <c r="Q74" s="99"/>
      <c r="R74" s="98"/>
      <c r="S74" s="97"/>
      <c r="W74" s="112" t="s">
        <v>259</v>
      </c>
      <c r="X74" s="158" t="s">
        <v>49</v>
      </c>
      <c r="Y74" s="158">
        <v>13</v>
      </c>
      <c r="Z74" s="158" t="s">
        <v>281</v>
      </c>
      <c r="AA74" s="161">
        <v>0.27216238256230779</v>
      </c>
    </row>
    <row r="75" spans="1:27" ht="14">
      <c r="A75" s="76" t="s">
        <v>135</v>
      </c>
      <c r="B75" s="78" t="s">
        <v>28</v>
      </c>
      <c r="C75" s="77">
        <f>AVERAGE(C7:C69)</f>
        <v>14.174603174603174</v>
      </c>
      <c r="D75" s="77"/>
      <c r="E75" s="77"/>
      <c r="F75" s="9"/>
      <c r="Q75" s="99"/>
      <c r="R75" s="98"/>
      <c r="S75" s="97"/>
    </row>
    <row r="76" spans="1:27" ht="14">
      <c r="A76" s="7"/>
      <c r="B76" s="5"/>
      <c r="F76" s="9"/>
      <c r="Q76" s="99"/>
      <c r="R76" s="100"/>
      <c r="S76" s="99"/>
    </row>
    <row r="77" spans="1:27">
      <c r="A77" s="7"/>
      <c r="B77" s="5"/>
      <c r="F77" s="14"/>
    </row>
    <row r="78" spans="1:27">
      <c r="A78" s="85" t="s">
        <v>266</v>
      </c>
      <c r="F78" s="14"/>
    </row>
    <row r="79" spans="1:27">
      <c r="A79" s="85" t="s">
        <v>365</v>
      </c>
      <c r="B79" s="133"/>
      <c r="C79" s="134"/>
      <c r="D79" s="134"/>
      <c r="E79" s="134"/>
      <c r="F79" s="14"/>
      <c r="G79" s="133"/>
      <c r="W79" s="133"/>
      <c r="X79" s="133"/>
      <c r="Y79" s="133"/>
      <c r="Z79" s="133"/>
      <c r="AA79" s="136"/>
    </row>
    <row r="80" spans="1:27" s="133" customFormat="1">
      <c r="A80" s="132" t="s">
        <v>355</v>
      </c>
      <c r="C80" s="134"/>
      <c r="D80" s="134"/>
      <c r="E80" s="134"/>
      <c r="F80" s="135"/>
      <c r="AA80" s="136"/>
    </row>
    <row r="81" spans="1:27" s="133" customFormat="1">
      <c r="A81" s="132" t="s">
        <v>356</v>
      </c>
      <c r="C81" s="134"/>
      <c r="D81" s="134"/>
      <c r="E81" s="134"/>
      <c r="F81" s="135"/>
      <c r="AA81" s="136"/>
    </row>
    <row r="82" spans="1:27" s="133" customFormat="1">
      <c r="A82" s="132" t="s">
        <v>357</v>
      </c>
      <c r="B82" s="1"/>
      <c r="C82" s="4"/>
      <c r="D82" s="14"/>
      <c r="E82" s="1"/>
      <c r="F82" s="135"/>
      <c r="G82" s="1"/>
      <c r="W82" s="1"/>
      <c r="X82" s="1"/>
      <c r="Y82" s="1"/>
      <c r="Z82" s="1"/>
      <c r="AA82" s="1"/>
    </row>
    <row r="83" spans="1:27">
      <c r="A83" s="85" t="s">
        <v>358</v>
      </c>
      <c r="D83" s="14"/>
      <c r="E83" s="1"/>
      <c r="AA83" s="1"/>
    </row>
    <row r="84" spans="1:27">
      <c r="A84" s="85"/>
      <c r="D84" s="14"/>
      <c r="E84" s="1"/>
      <c r="AA84" s="1"/>
    </row>
    <row r="85" spans="1:27">
      <c r="A85" s="85"/>
    </row>
    <row r="86" spans="1:27">
      <c r="A86" s="33"/>
      <c r="E86" s="120"/>
      <c r="F86" s="14"/>
    </row>
    <row r="87" spans="1:27">
      <c r="E87" s="120"/>
    </row>
    <row r="88" spans="1:27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2">
    <tabColor rgb="FF002060"/>
    <pageSetUpPr fitToPage="1"/>
  </sheetPr>
  <dimension ref="A1:AH89"/>
  <sheetViews>
    <sheetView zoomScale="85" zoomScaleNormal="85" workbookViewId="0"/>
  </sheetViews>
  <sheetFormatPr baseColWidth="10" defaultColWidth="9.1640625" defaultRowHeight="13" outlineLevelCol="1"/>
  <cols>
    <col min="1" max="1" width="35.1640625" style="1" customWidth="1"/>
    <col min="2" max="2" width="9.1640625" style="1"/>
    <col min="3" max="3" width="9.1640625" style="4"/>
    <col min="4" max="4" width="9.1640625" style="4" hidden="1" customWidth="1" outlineLevel="1"/>
    <col min="5" max="5" width="12.5" style="4" hidden="1" customWidth="1" outlineLevel="1"/>
    <col min="6" max="6" width="9.1640625" style="1" collapsed="1"/>
    <col min="7" max="7" width="11.5" style="1" customWidth="1"/>
    <col min="8" max="10" width="9.1640625" style="1"/>
    <col min="11" max="11" width="11" style="1" bestFit="1" customWidth="1"/>
    <col min="12" max="12" width="4.83203125" style="1" bestFit="1" customWidth="1"/>
    <col min="13" max="16" width="9.1640625" style="1"/>
    <col min="17" max="26" width="9.1640625" style="1" hidden="1" customWidth="1" outlineLevel="1"/>
    <col min="27" max="27" width="12.5" style="107" hidden="1" customWidth="1" outlineLevel="1"/>
    <col min="28" max="33" width="9.1640625" style="1" hidden="1" customWidth="1" outlineLevel="1"/>
    <col min="34" max="34" width="9.1640625" style="1" collapsed="1"/>
    <col min="35" max="16384" width="9.1640625" style="1"/>
  </cols>
  <sheetData>
    <row r="1" spans="1:33" ht="19">
      <c r="A1" s="75" t="s">
        <v>361</v>
      </c>
    </row>
    <row r="2" spans="1:33" ht="19">
      <c r="A2" s="75"/>
    </row>
    <row r="3" spans="1:33" ht="19">
      <c r="A3" s="75"/>
    </row>
    <row r="4" spans="1:33" ht="19">
      <c r="A4" s="75"/>
    </row>
    <row r="5" spans="1:33" ht="14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4">
      <c r="A6" s="73" t="s">
        <v>0</v>
      </c>
      <c r="B6" s="74" t="s">
        <v>362</v>
      </c>
      <c r="C6" s="20"/>
      <c r="D6" s="20"/>
      <c r="E6" s="105">
        <v>40178</v>
      </c>
      <c r="W6" s="73" t="s">
        <v>0</v>
      </c>
      <c r="X6" s="74" t="s">
        <v>362</v>
      </c>
      <c r="Y6" s="20"/>
      <c r="Z6" s="20"/>
      <c r="AA6" s="105">
        <v>40178</v>
      </c>
      <c r="AC6" s="108" t="s">
        <v>137</v>
      </c>
      <c r="AD6" s="109"/>
      <c r="AE6" s="109"/>
      <c r="AF6" s="77">
        <f>AVERAGE(Y$13:Y$47)</f>
        <v>14.2</v>
      </c>
      <c r="AG6" s="126"/>
    </row>
    <row r="7" spans="1:33" ht="15" thickBot="1">
      <c r="A7" s="79" t="s">
        <v>6</v>
      </c>
      <c r="B7" s="80" t="s">
        <v>110</v>
      </c>
      <c r="C7" s="80">
        <v>18</v>
      </c>
      <c r="D7" s="80" t="s">
        <v>312</v>
      </c>
      <c r="E7" s="101">
        <f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3" t="s">
        <v>87</v>
      </c>
      <c r="X7" s="110" t="s">
        <v>10</v>
      </c>
      <c r="Y7" s="110">
        <v>16</v>
      </c>
      <c r="Z7" s="110" t="s">
        <v>303</v>
      </c>
      <c r="AA7" s="114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4">
      <c r="A8" s="79" t="s">
        <v>4</v>
      </c>
      <c r="B8" s="80" t="s">
        <v>2</v>
      </c>
      <c r="C8" s="80">
        <v>17</v>
      </c>
      <c r="D8" s="80" t="s">
        <v>368</v>
      </c>
      <c r="E8" s="101">
        <f>VLOOKUP($D8,$Q$7:$R$69,2,0)</f>
        <v>0.55330389203021169</v>
      </c>
      <c r="F8" s="65"/>
      <c r="G8" s="72" t="s">
        <v>138</v>
      </c>
      <c r="H8" s="86">
        <f>COUNTIF(C$7:C$75,"&gt;16")</f>
        <v>5</v>
      </c>
      <c r="I8" s="87">
        <f>H8/H$14</f>
        <v>7.575757575757576E-2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4" t="s">
        <v>372</v>
      </c>
      <c r="AC8" s="72" t="s">
        <v>138</v>
      </c>
      <c r="AD8" s="86">
        <f>COUNTIF(Y$13:Y$47,"&gt;16")</f>
        <v>3</v>
      </c>
      <c r="AE8" s="87">
        <f>AD8/AD$14</f>
        <v>8.5714285714285715E-2</v>
      </c>
      <c r="AG8" s="127"/>
    </row>
    <row r="9" spans="1:33" ht="14">
      <c r="A9" s="79" t="s">
        <v>7</v>
      </c>
      <c r="B9" s="80" t="s">
        <v>2</v>
      </c>
      <c r="C9" s="80">
        <v>17</v>
      </c>
      <c r="D9" s="80" t="s">
        <v>327</v>
      </c>
      <c r="E9" s="101">
        <f t="shared" ref="E9:E68" si="0">VLOOKUP($D9,$Q$7:$R$75,2,0)</f>
        <v>0.93000422702993502</v>
      </c>
      <c r="F9" s="65"/>
      <c r="G9" s="72" t="s">
        <v>10</v>
      </c>
      <c r="H9" s="86">
        <f>COUNTIF(C$7:C$75,"=16")</f>
        <v>8</v>
      </c>
      <c r="I9" s="87">
        <f t="shared" ref="I9:I14" si="1">H9/H$14</f>
        <v>0.12121212121212122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4" t="s">
        <v>372</v>
      </c>
      <c r="AC9" s="72" t="s">
        <v>10</v>
      </c>
      <c r="AD9" s="86">
        <f>COUNTIF(Y$13:Y$47,"=16")</f>
        <v>4</v>
      </c>
      <c r="AE9" s="87">
        <f t="shared" ref="AE9:AE14" si="2">AD9/AD$14</f>
        <v>0.11428571428571428</v>
      </c>
      <c r="AG9" s="127"/>
    </row>
    <row r="10" spans="1:33" ht="14">
      <c r="A10" s="81" t="s">
        <v>3</v>
      </c>
      <c r="B10" s="82" t="s">
        <v>10</v>
      </c>
      <c r="C10" s="82">
        <v>16</v>
      </c>
      <c r="D10" s="82" t="s">
        <v>291</v>
      </c>
      <c r="E10" s="102">
        <f t="shared" si="0"/>
        <v>0.89410444897115693</v>
      </c>
      <c r="F10" s="65"/>
      <c r="G10" s="72" t="s">
        <v>16</v>
      </c>
      <c r="H10" s="86">
        <f>COUNTIF(C$7:C$75,"=15")</f>
        <v>15</v>
      </c>
      <c r="I10" s="87">
        <f t="shared" si="1"/>
        <v>0.22727272727272727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4" t="s">
        <v>372</v>
      </c>
      <c r="AC10" s="72" t="s">
        <v>16</v>
      </c>
      <c r="AD10" s="86">
        <f>COUNTIF(Y$13:Y$47,"=15")</f>
        <v>7</v>
      </c>
      <c r="AE10" s="87">
        <f t="shared" si="2"/>
        <v>0.2</v>
      </c>
      <c r="AG10" s="127"/>
    </row>
    <row r="11" spans="1:33" ht="14">
      <c r="A11" s="81" t="s">
        <v>18</v>
      </c>
      <c r="B11" s="82" t="s">
        <v>10</v>
      </c>
      <c r="C11" s="82">
        <v>16</v>
      </c>
      <c r="D11" s="82" t="s">
        <v>86</v>
      </c>
      <c r="E11" s="102">
        <f t="shared" si="0"/>
        <v>0.58142655748172922</v>
      </c>
      <c r="F11" s="65"/>
      <c r="G11" s="72" t="s">
        <v>28</v>
      </c>
      <c r="H11" s="86">
        <f>COUNTIF(C$7:C$75,"=14")</f>
        <v>19</v>
      </c>
      <c r="I11" s="87">
        <f t="shared" si="1"/>
        <v>0.2878787878787879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4" t="s">
        <v>372</v>
      </c>
      <c r="AC11" s="72" t="s">
        <v>28</v>
      </c>
      <c r="AD11" s="86">
        <f>COUNTIF(Y$13:Y$47,"=14")</f>
        <v>10</v>
      </c>
      <c r="AE11" s="87">
        <f t="shared" si="2"/>
        <v>0.2857142857142857</v>
      </c>
      <c r="AG11" s="127"/>
    </row>
    <row r="12" spans="1:33" ht="14">
      <c r="A12" s="81" t="s">
        <v>64</v>
      </c>
      <c r="B12" s="82" t="s">
        <v>10</v>
      </c>
      <c r="C12" s="82">
        <v>16</v>
      </c>
      <c r="D12" s="82" t="s">
        <v>287</v>
      </c>
      <c r="E12" s="102">
        <f t="shared" si="0"/>
        <v>1</v>
      </c>
      <c r="F12" s="65"/>
      <c r="G12" s="72" t="s">
        <v>49</v>
      </c>
      <c r="H12" s="86">
        <f>COUNTIF(C$7:C$75,"=13")</f>
        <v>14</v>
      </c>
      <c r="I12" s="87">
        <f t="shared" si="1"/>
        <v>0.21212121212121213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4" t="s">
        <v>372</v>
      </c>
      <c r="AC12" s="72" t="s">
        <v>49</v>
      </c>
      <c r="AD12" s="86">
        <f>COUNTIF(Y$13:Y$47,"=13")</f>
        <v>7</v>
      </c>
      <c r="AE12" s="87">
        <f t="shared" si="2"/>
        <v>0.2</v>
      </c>
      <c r="AG12" s="127"/>
    </row>
    <row r="13" spans="1:33" ht="15" thickBot="1">
      <c r="A13" s="81" t="s">
        <v>32</v>
      </c>
      <c r="B13" s="82" t="s">
        <v>10</v>
      </c>
      <c r="C13" s="82">
        <v>16</v>
      </c>
      <c r="D13" s="82" t="s">
        <v>289</v>
      </c>
      <c r="E13" s="102">
        <f t="shared" si="0"/>
        <v>0.7497019635343618</v>
      </c>
      <c r="F13" s="65"/>
      <c r="G13" s="93" t="s">
        <v>79</v>
      </c>
      <c r="H13" s="94">
        <f>COUNTIF(C$7:C$75,"&lt;13")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4">
        <v>1.0333026830763428</v>
      </c>
      <c r="AC13" s="93" t="s">
        <v>79</v>
      </c>
      <c r="AD13" s="94">
        <f>COUNTIF(Y$13:Y$47,"&lt;13")</f>
        <v>4</v>
      </c>
      <c r="AE13" s="95">
        <f t="shared" si="2"/>
        <v>0.11428571428571428</v>
      </c>
      <c r="AG13" s="127"/>
    </row>
    <row r="14" spans="1:33" ht="14">
      <c r="A14" s="81" t="s">
        <v>19</v>
      </c>
      <c r="B14" s="82" t="s">
        <v>10</v>
      </c>
      <c r="C14" s="82">
        <v>16</v>
      </c>
      <c r="D14" s="82" t="s">
        <v>290</v>
      </c>
      <c r="E14" s="102">
        <f t="shared" si="0"/>
        <v>0.96341849943457658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4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4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3" t="s">
        <v>64</v>
      </c>
      <c r="X15" s="110" t="s">
        <v>10</v>
      </c>
      <c r="Y15" s="110">
        <v>16</v>
      </c>
      <c r="Z15" s="110" t="s">
        <v>287</v>
      </c>
      <c r="AA15" s="114">
        <v>1</v>
      </c>
      <c r="AG15" s="127"/>
    </row>
    <row r="16" spans="1:33" ht="14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3" t="s">
        <v>24</v>
      </c>
      <c r="X16" s="110" t="s">
        <v>16</v>
      </c>
      <c r="Y16" s="110">
        <v>15</v>
      </c>
      <c r="Z16" s="110" t="s">
        <v>323</v>
      </c>
      <c r="AA16" s="114">
        <v>1</v>
      </c>
      <c r="AG16" s="127"/>
    </row>
    <row r="17" spans="1:33" ht="14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si="0"/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4">
        <v>1</v>
      </c>
      <c r="AC17" s="108" t="s">
        <v>139</v>
      </c>
      <c r="AD17" s="109"/>
      <c r="AE17" s="109"/>
      <c r="AF17" s="77">
        <f>AVERAGE(Y$48:Y$67)</f>
        <v>14.6</v>
      </c>
      <c r="AG17" s="126"/>
    </row>
    <row r="18" spans="1:33" ht="15" thickBot="1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0"/>
        <v>0.91262379340604238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3" t="s">
        <v>58</v>
      </c>
      <c r="X18" s="110" t="s">
        <v>49</v>
      </c>
      <c r="Y18" s="110">
        <v>13</v>
      </c>
      <c r="Z18" s="110" t="s">
        <v>275</v>
      </c>
      <c r="AA18" s="114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4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0"/>
        <v>0.84890438247011957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83" t="s">
        <v>59</v>
      </c>
      <c r="X19" s="110" t="s">
        <v>49</v>
      </c>
      <c r="Y19" s="110">
        <v>13</v>
      </c>
      <c r="Z19" s="110" t="s">
        <v>336</v>
      </c>
      <c r="AA19" s="114">
        <v>1</v>
      </c>
      <c r="AC19" s="72" t="s">
        <v>138</v>
      </c>
      <c r="AD19" s="86">
        <f>COUNTIF(Y$48:Y$67,"&gt;16")</f>
        <v>2</v>
      </c>
      <c r="AE19" s="87">
        <f>AD19/AD$14</f>
        <v>5.7142857142857141E-2</v>
      </c>
      <c r="AG19" s="127"/>
    </row>
    <row r="20" spans="1:33" ht="14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0"/>
        <v>0.66731657086909912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110" t="s">
        <v>16</v>
      </c>
      <c r="Y20" s="110">
        <v>15</v>
      </c>
      <c r="Z20" s="110" t="s">
        <v>317</v>
      </c>
      <c r="AA20" s="114">
        <v>0.99967400162999187</v>
      </c>
      <c r="AC20" s="72" t="s">
        <v>10</v>
      </c>
      <c r="AD20" s="86">
        <f>COUNTIF(Y$48:Y$67,"=16")</f>
        <v>2</v>
      </c>
      <c r="AE20" s="87">
        <f t="shared" ref="AE20:AE25" si="3">AD20/AD$14</f>
        <v>5.7142857142857141E-2</v>
      </c>
      <c r="AG20" s="127"/>
    </row>
    <row r="21" spans="1:33" ht="14">
      <c r="A21" s="83" t="s">
        <v>254</v>
      </c>
      <c r="B21" s="80" t="s">
        <v>16</v>
      </c>
      <c r="C21" s="80">
        <v>15</v>
      </c>
      <c r="D21" s="80" t="s">
        <v>304</v>
      </c>
      <c r="E21" s="101" t="s">
        <v>372</v>
      </c>
      <c r="F21" s="69"/>
      <c r="Q21" s="141" t="s">
        <v>86</v>
      </c>
      <c r="R21" s="142">
        <v>0.58142655748172922</v>
      </c>
      <c r="S21" s="143" t="s">
        <v>371</v>
      </c>
      <c r="W21" s="83" t="s">
        <v>265</v>
      </c>
      <c r="X21" s="110" t="s">
        <v>61</v>
      </c>
      <c r="Y21" s="110">
        <v>11</v>
      </c>
      <c r="Z21" s="110" t="s">
        <v>313</v>
      </c>
      <c r="AA21" s="114">
        <v>0.99872589064335693</v>
      </c>
      <c r="AC21" s="72" t="s">
        <v>16</v>
      </c>
      <c r="AD21" s="86">
        <f>COUNTIF(Y$48:Y$67,"=15")</f>
        <v>5</v>
      </c>
      <c r="AE21" s="87">
        <f t="shared" si="3"/>
        <v>0.14285714285714285</v>
      </c>
      <c r="AG21" s="127"/>
    </row>
    <row r="22" spans="1:33" ht="14">
      <c r="A22" s="83" t="s">
        <v>255</v>
      </c>
      <c r="B22" s="80" t="s">
        <v>16</v>
      </c>
      <c r="C22" s="80">
        <v>15</v>
      </c>
      <c r="D22" s="80" t="s">
        <v>305</v>
      </c>
      <c r="E22" s="101" t="s">
        <v>372</v>
      </c>
      <c r="F22" s="65"/>
      <c r="Q22" s="141" t="s">
        <v>287</v>
      </c>
      <c r="R22" s="142">
        <v>1</v>
      </c>
      <c r="S22" s="141" t="s">
        <v>370</v>
      </c>
      <c r="W22" s="83" t="s">
        <v>6</v>
      </c>
      <c r="X22" s="110" t="s">
        <v>110</v>
      </c>
      <c r="Y22" s="110">
        <v>18</v>
      </c>
      <c r="Z22" s="110" t="s">
        <v>312</v>
      </c>
      <c r="AA22" s="114">
        <v>0.99706741779950658</v>
      </c>
      <c r="AC22" s="72" t="s">
        <v>28</v>
      </c>
      <c r="AD22" s="86">
        <f>COUNTIF(Y$48:Y$67,"=14")</f>
        <v>6</v>
      </c>
      <c r="AE22" s="87">
        <f t="shared" si="3"/>
        <v>0.17142857142857143</v>
      </c>
      <c r="AG22" s="127"/>
    </row>
    <row r="23" spans="1:33" ht="14">
      <c r="A23" s="83" t="s">
        <v>12</v>
      </c>
      <c r="B23" s="80" t="s">
        <v>16</v>
      </c>
      <c r="C23" s="80">
        <v>15</v>
      </c>
      <c r="D23" s="80" t="s">
        <v>308</v>
      </c>
      <c r="E23" s="101">
        <f t="shared" si="0"/>
        <v>0.36017814864816144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4">
        <v>0.99458022018280356</v>
      </c>
      <c r="AC23" s="72" t="s">
        <v>49</v>
      </c>
      <c r="AD23" s="86">
        <f>COUNTIF(Y$48:Y$67,"=13")</f>
        <v>5</v>
      </c>
      <c r="AE23" s="87">
        <f t="shared" si="3"/>
        <v>0.14285714285714285</v>
      </c>
      <c r="AG23" s="127"/>
    </row>
    <row r="24" spans="1:33" ht="15" thickBot="1">
      <c r="A24" s="83" t="s">
        <v>52</v>
      </c>
      <c r="B24" s="80" t="s">
        <v>16</v>
      </c>
      <c r="C24" s="80">
        <v>15</v>
      </c>
      <c r="D24" s="80" t="s">
        <v>280</v>
      </c>
      <c r="E24" s="101">
        <f t="shared" si="0"/>
        <v>0.7469877361024081</v>
      </c>
      <c r="F24" s="65"/>
      <c r="Q24" s="141" t="s">
        <v>289</v>
      </c>
      <c r="R24" s="142">
        <v>0.7497019635343618</v>
      </c>
      <c r="S24" s="143" t="s">
        <v>371</v>
      </c>
      <c r="W24" s="83" t="s">
        <v>54</v>
      </c>
      <c r="X24" s="110" t="s">
        <v>56</v>
      </c>
      <c r="Y24" s="110">
        <v>12</v>
      </c>
      <c r="Z24" s="110" t="s">
        <v>325</v>
      </c>
      <c r="AA24" s="114">
        <v>0.99417211067658851</v>
      </c>
      <c r="AC24" s="93" t="s">
        <v>79</v>
      </c>
      <c r="AD24" s="94">
        <f>COUNTIF(Y$48:Y$67,"&lt;13")</f>
        <v>0</v>
      </c>
      <c r="AE24" s="95">
        <f t="shared" si="3"/>
        <v>0</v>
      </c>
      <c r="AG24" s="127"/>
    </row>
    <row r="25" spans="1:33" ht="14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0"/>
        <v>0.75386351438754873</v>
      </c>
      <c r="F25" s="65"/>
      <c r="Q25" s="141" t="s">
        <v>290</v>
      </c>
      <c r="R25" s="142">
        <v>0.96341849943457658</v>
      </c>
      <c r="S25" s="141" t="s">
        <v>370</v>
      </c>
      <c r="W25" s="83" t="s">
        <v>75</v>
      </c>
      <c r="X25" s="110" t="s">
        <v>28</v>
      </c>
      <c r="Y25" s="110">
        <v>14</v>
      </c>
      <c r="Z25" s="110" t="s">
        <v>331</v>
      </c>
      <c r="AA25" s="114">
        <v>0.9915841495030967</v>
      </c>
      <c r="AC25" s="88" t="s">
        <v>80</v>
      </c>
      <c r="AD25" s="89">
        <f>SUM(AD19:AD24)</f>
        <v>20</v>
      </c>
      <c r="AE25" s="90">
        <f t="shared" si="3"/>
        <v>0.5714285714285714</v>
      </c>
      <c r="AG25" s="127"/>
    </row>
    <row r="26" spans="1:33" ht="14">
      <c r="A26" s="83" t="s">
        <v>53</v>
      </c>
      <c r="B26" s="80" t="s">
        <v>16</v>
      </c>
      <c r="C26" s="80">
        <v>15</v>
      </c>
      <c r="D26" s="80" t="s">
        <v>317</v>
      </c>
      <c r="E26" s="101">
        <f t="shared" si="0"/>
        <v>0.99967400162999187</v>
      </c>
      <c r="F26" s="65"/>
      <c r="Q26" s="141" t="s">
        <v>291</v>
      </c>
      <c r="R26" s="142">
        <v>0.89410444897115693</v>
      </c>
      <c r="S26" s="141" t="s">
        <v>370</v>
      </c>
      <c r="W26" s="83" t="s">
        <v>41</v>
      </c>
      <c r="X26" s="110" t="s">
        <v>49</v>
      </c>
      <c r="Y26" s="110">
        <v>13</v>
      </c>
      <c r="Z26" s="110" t="s">
        <v>321</v>
      </c>
      <c r="AA26" s="114">
        <v>0.97501693766937669</v>
      </c>
      <c r="AG26" s="127"/>
    </row>
    <row r="27" spans="1:33" ht="14">
      <c r="A27" s="83" t="s">
        <v>24</v>
      </c>
      <c r="B27" s="80" t="s">
        <v>16</v>
      </c>
      <c r="C27" s="80">
        <v>15</v>
      </c>
      <c r="D27" s="80" t="s">
        <v>323</v>
      </c>
      <c r="E27" s="101">
        <f t="shared" si="0"/>
        <v>1</v>
      </c>
      <c r="F27" s="65"/>
      <c r="Q27" s="141" t="s">
        <v>292</v>
      </c>
      <c r="R27" s="142">
        <v>1.0293089747728885</v>
      </c>
      <c r="S27" s="141" t="s">
        <v>370</v>
      </c>
      <c r="W27" s="83" t="s">
        <v>258</v>
      </c>
      <c r="X27" s="110" t="s">
        <v>28</v>
      </c>
      <c r="Y27" s="110">
        <v>14</v>
      </c>
      <c r="Z27" s="110" t="s">
        <v>274</v>
      </c>
      <c r="AA27" s="114">
        <v>0.97067096880946468</v>
      </c>
      <c r="AG27" s="127"/>
    </row>
    <row r="28" spans="1:33" ht="14">
      <c r="A28" s="83" t="s">
        <v>256</v>
      </c>
      <c r="B28" s="80" t="s">
        <v>16</v>
      </c>
      <c r="C28" s="80">
        <v>15</v>
      </c>
      <c r="D28" s="80" t="s">
        <v>319</v>
      </c>
      <c r="E28" s="101">
        <f t="shared" si="0"/>
        <v>0.85164553720066594</v>
      </c>
      <c r="F28" s="65"/>
      <c r="Q28" s="141" t="s">
        <v>293</v>
      </c>
      <c r="R28" s="142">
        <v>1</v>
      </c>
      <c r="S28" s="141" t="s">
        <v>370</v>
      </c>
      <c r="W28" s="83" t="s">
        <v>264</v>
      </c>
      <c r="X28" s="110" t="s">
        <v>56</v>
      </c>
      <c r="Y28" s="110">
        <v>12</v>
      </c>
      <c r="Z28" s="110" t="s">
        <v>332</v>
      </c>
      <c r="AA28" s="114">
        <v>0.97028603165787286</v>
      </c>
      <c r="AC28" s="108" t="s">
        <v>140</v>
      </c>
      <c r="AD28" s="109"/>
      <c r="AE28" s="109"/>
      <c r="AF28" s="77">
        <f>AVERAGE(Y$68:Y$72)</f>
        <v>12.6</v>
      </c>
      <c r="AG28" s="126"/>
    </row>
    <row r="29" spans="1:33" ht="15" thickBot="1">
      <c r="A29" s="83" t="s">
        <v>13</v>
      </c>
      <c r="B29" s="80" t="s">
        <v>16</v>
      </c>
      <c r="C29" s="80">
        <v>15</v>
      </c>
      <c r="D29" s="80" t="s">
        <v>326</v>
      </c>
      <c r="E29" s="101">
        <f t="shared" si="0"/>
        <v>0.77327600463039525</v>
      </c>
      <c r="F29" s="69"/>
      <c r="Q29" s="141" t="s">
        <v>294</v>
      </c>
      <c r="R29" s="142">
        <v>0.27230062686467099</v>
      </c>
      <c r="S29" s="141" t="s">
        <v>86</v>
      </c>
      <c r="W29" s="83" t="s">
        <v>14</v>
      </c>
      <c r="X29" s="110" t="s">
        <v>10</v>
      </c>
      <c r="Y29" s="110">
        <v>16</v>
      </c>
      <c r="Z29" s="110" t="s">
        <v>334</v>
      </c>
      <c r="AA29" s="114">
        <v>0.96644084643352246</v>
      </c>
      <c r="AC29" s="96" t="s">
        <v>77</v>
      </c>
      <c r="AD29" s="96" t="s">
        <v>81</v>
      </c>
      <c r="AE29" s="96" t="s">
        <v>82</v>
      </c>
    </row>
    <row r="30" spans="1:33" ht="14">
      <c r="A30" s="83" t="s">
        <v>25</v>
      </c>
      <c r="B30" s="80" t="s">
        <v>16</v>
      </c>
      <c r="C30" s="80">
        <v>15</v>
      </c>
      <c r="D30" s="80" t="s">
        <v>328</v>
      </c>
      <c r="E30" s="101">
        <f t="shared" si="0"/>
        <v>0.614337822671156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19</v>
      </c>
      <c r="X30" s="110" t="s">
        <v>10</v>
      </c>
      <c r="Y30" s="110">
        <v>16</v>
      </c>
      <c r="Z30" s="110" t="s">
        <v>290</v>
      </c>
      <c r="AA30" s="114">
        <v>0.96341849943457658</v>
      </c>
      <c r="AC30" s="72" t="s">
        <v>138</v>
      </c>
      <c r="AD30" s="86">
        <f>COUNTIF(Y$68:Y$72,"&gt;16")</f>
        <v>0</v>
      </c>
      <c r="AE30" s="87">
        <f>AD30/AD$14</f>
        <v>0</v>
      </c>
    </row>
    <row r="31" spans="1:33" ht="14">
      <c r="A31" s="83" t="s">
        <v>26</v>
      </c>
      <c r="B31" s="80" t="s">
        <v>16</v>
      </c>
      <c r="C31" s="80">
        <v>15</v>
      </c>
      <c r="D31" s="80" t="s">
        <v>335</v>
      </c>
      <c r="E31" s="101">
        <f t="shared" si="0"/>
        <v>0.84932154135723226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3" t="s">
        <v>512</v>
      </c>
      <c r="X31" s="110" t="s">
        <v>28</v>
      </c>
      <c r="Y31" s="110">
        <v>14</v>
      </c>
      <c r="Z31" s="110" t="s">
        <v>511</v>
      </c>
      <c r="AA31" s="114">
        <v>0.9619710194413027</v>
      </c>
      <c r="AC31" s="72" t="s">
        <v>10</v>
      </c>
      <c r="AD31" s="86">
        <f>COUNTIF(Y$68:Y$72,"=16")</f>
        <v>0</v>
      </c>
      <c r="AE31" s="87">
        <f t="shared" ref="AE31:AE36" si="4">AD31/AD$14</f>
        <v>0</v>
      </c>
    </row>
    <row r="32" spans="1:33" ht="14">
      <c r="A32" s="83" t="s">
        <v>257</v>
      </c>
      <c r="B32" s="80" t="s">
        <v>16</v>
      </c>
      <c r="C32" s="80">
        <v>15</v>
      </c>
      <c r="D32" s="80" t="s">
        <v>337</v>
      </c>
      <c r="E32" s="101">
        <f t="shared" si="0"/>
        <v>0.94699999999999995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3" t="s">
        <v>20</v>
      </c>
      <c r="X32" s="110" t="s">
        <v>28</v>
      </c>
      <c r="Y32" s="110">
        <v>14</v>
      </c>
      <c r="Z32" s="110" t="s">
        <v>302</v>
      </c>
      <c r="AA32" s="114">
        <v>0.96099371344273887</v>
      </c>
      <c r="AC32" s="72" t="s">
        <v>16</v>
      </c>
      <c r="AD32" s="86">
        <f>COUNTIF(Y$68:Y$72,"=15")</f>
        <v>1</v>
      </c>
      <c r="AE32" s="87">
        <f t="shared" si="4"/>
        <v>2.8571428571428571E-2</v>
      </c>
    </row>
    <row r="33" spans="1:31" ht="14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0"/>
        <v>0.97067096880946468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3" t="s">
        <v>257</v>
      </c>
      <c r="X33" s="110" t="s">
        <v>16</v>
      </c>
      <c r="Y33" s="110">
        <v>15</v>
      </c>
      <c r="Z33" s="110" t="s">
        <v>337</v>
      </c>
      <c r="AA33" s="114">
        <v>0.94699999999999995</v>
      </c>
      <c r="AC33" s="72" t="s">
        <v>28</v>
      </c>
      <c r="AD33" s="86">
        <f>COUNTIF(Y$68:Y$72,"=14")</f>
        <v>2</v>
      </c>
      <c r="AE33" s="87">
        <f t="shared" si="4"/>
        <v>5.7142857142857141E-2</v>
      </c>
    </row>
    <row r="34" spans="1:31" ht="14">
      <c r="A34" s="81" t="s">
        <v>29</v>
      </c>
      <c r="B34" s="82" t="s">
        <v>28</v>
      </c>
      <c r="C34" s="82">
        <v>14</v>
      </c>
      <c r="D34" s="82" t="s">
        <v>285</v>
      </c>
      <c r="E34" s="102">
        <f t="shared" si="0"/>
        <v>0.72270267536539723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3" t="s">
        <v>55</v>
      </c>
      <c r="X34" s="110" t="s">
        <v>49</v>
      </c>
      <c r="Y34" s="110">
        <v>13</v>
      </c>
      <c r="Z34" s="110" t="s">
        <v>277</v>
      </c>
      <c r="AA34" s="114">
        <v>0.9427287640364086</v>
      </c>
      <c r="AC34" s="72" t="s">
        <v>49</v>
      </c>
      <c r="AD34" s="86">
        <f>COUNTIF(Y$68:Y$72,"=13")</f>
        <v>1</v>
      </c>
      <c r="AE34" s="87">
        <f t="shared" si="4"/>
        <v>2.8571428571428571E-2</v>
      </c>
    </row>
    <row r="35" spans="1:31" ht="15" thickBot="1">
      <c r="A35" s="81" t="s">
        <v>30</v>
      </c>
      <c r="B35" s="82" t="s">
        <v>28</v>
      </c>
      <c r="C35" s="82">
        <v>14</v>
      </c>
      <c r="D35" s="82" t="s">
        <v>284</v>
      </c>
      <c r="E35" s="102">
        <f t="shared" si="0"/>
        <v>0.91044690077830015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3" t="s">
        <v>7</v>
      </c>
      <c r="X35" s="110" t="s">
        <v>2</v>
      </c>
      <c r="Y35" s="110">
        <v>17</v>
      </c>
      <c r="Z35" s="110" t="s">
        <v>327</v>
      </c>
      <c r="AA35" s="114">
        <v>0.93000422702993502</v>
      </c>
      <c r="AC35" s="93" t="s">
        <v>79</v>
      </c>
      <c r="AD35" s="94">
        <f>COUNTIF(Y$68:Y$72,"&lt;13")</f>
        <v>1</v>
      </c>
      <c r="AE35" s="95">
        <f t="shared" si="4"/>
        <v>2.8571428571428571E-2</v>
      </c>
    </row>
    <row r="36" spans="1:31" ht="14">
      <c r="A36" s="81" t="s">
        <v>31</v>
      </c>
      <c r="B36" s="82" t="s">
        <v>28</v>
      </c>
      <c r="C36" s="82">
        <v>14</v>
      </c>
      <c r="D36" s="82" t="s">
        <v>288</v>
      </c>
      <c r="E36" s="102">
        <f t="shared" si="0"/>
        <v>0.81467245298615421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83" t="s">
        <v>15</v>
      </c>
      <c r="X36" s="110" t="s">
        <v>16</v>
      </c>
      <c r="Y36" s="110">
        <v>15</v>
      </c>
      <c r="Z36" s="110" t="s">
        <v>276</v>
      </c>
      <c r="AA36" s="114">
        <v>0.91262379340604238</v>
      </c>
      <c r="AC36" s="88" t="s">
        <v>80</v>
      </c>
      <c r="AD36" s="89">
        <f>SUM(AD30:AD35)</f>
        <v>5</v>
      </c>
      <c r="AE36" s="90">
        <f t="shared" si="4"/>
        <v>0.14285714285714285</v>
      </c>
    </row>
    <row r="37" spans="1:31" ht="14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0"/>
        <v>1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83" t="s">
        <v>30</v>
      </c>
      <c r="X37" s="110" t="s">
        <v>28</v>
      </c>
      <c r="Y37" s="110">
        <v>14</v>
      </c>
      <c r="Z37" s="110" t="s">
        <v>284</v>
      </c>
      <c r="AA37" s="114">
        <v>0.91044690077830015</v>
      </c>
    </row>
    <row r="38" spans="1:31" ht="14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0"/>
        <v>0.79472908539599674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62</v>
      </c>
      <c r="X38" s="110" t="s">
        <v>28</v>
      </c>
      <c r="Y38" s="110">
        <v>14</v>
      </c>
      <c r="Z38" s="110" t="s">
        <v>329</v>
      </c>
      <c r="AA38" s="114">
        <v>0.90975829351063098</v>
      </c>
    </row>
    <row r="39" spans="1:31" ht="14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0"/>
        <v>0.60422936152907691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3" t="s">
        <v>60</v>
      </c>
      <c r="X39" s="110" t="s">
        <v>49</v>
      </c>
      <c r="Y39" s="110">
        <v>13</v>
      </c>
      <c r="Z39" s="110" t="s">
        <v>283</v>
      </c>
      <c r="AA39" s="114">
        <v>0.90135028841111697</v>
      </c>
    </row>
    <row r="40" spans="1:31" ht="14">
      <c r="A40" s="81" t="s">
        <v>51</v>
      </c>
      <c r="B40" s="82" t="s">
        <v>28</v>
      </c>
      <c r="C40" s="82">
        <v>14</v>
      </c>
      <c r="D40" s="82" t="s">
        <v>298</v>
      </c>
      <c r="E40" s="102">
        <f t="shared" si="0"/>
        <v>0.66983442164179108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3" t="s">
        <v>3</v>
      </c>
      <c r="X40" s="110" t="s">
        <v>10</v>
      </c>
      <c r="Y40" s="110">
        <v>16</v>
      </c>
      <c r="Z40" s="110" t="s">
        <v>291</v>
      </c>
      <c r="AA40" s="114">
        <v>0.89410444897115693</v>
      </c>
    </row>
    <row r="41" spans="1:31" ht="14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0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83" t="s">
        <v>42</v>
      </c>
      <c r="X41" s="110" t="s">
        <v>65</v>
      </c>
      <c r="Y41" s="110">
        <v>10</v>
      </c>
      <c r="Z41" s="110" t="s">
        <v>320</v>
      </c>
      <c r="AA41" s="114">
        <v>0.89259170051200387</v>
      </c>
    </row>
    <row r="42" spans="1:31" ht="14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3" t="s">
        <v>263</v>
      </c>
      <c r="X42" s="110" t="s">
        <v>2</v>
      </c>
      <c r="Y42" s="110">
        <v>17</v>
      </c>
      <c r="Z42" s="110" t="s">
        <v>282</v>
      </c>
      <c r="AA42" s="114">
        <v>0.87497195036407094</v>
      </c>
    </row>
    <row r="43" spans="1:31" ht="14">
      <c r="A43" s="81" t="s">
        <v>39</v>
      </c>
      <c r="B43" s="82" t="s">
        <v>28</v>
      </c>
      <c r="C43" s="82">
        <v>14</v>
      </c>
      <c r="D43" s="82" t="s">
        <v>301</v>
      </c>
      <c r="E43" s="102">
        <f t="shared" si="0"/>
        <v>0.44575810739314115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3" t="s">
        <v>256</v>
      </c>
      <c r="X43" s="110" t="s">
        <v>16</v>
      </c>
      <c r="Y43" s="110">
        <v>15</v>
      </c>
      <c r="Z43" s="110" t="s">
        <v>319</v>
      </c>
      <c r="AA43" s="114">
        <v>0.85164553720066594</v>
      </c>
    </row>
    <row r="44" spans="1:31" ht="14">
      <c r="A44" s="81" t="s">
        <v>20</v>
      </c>
      <c r="B44" s="82" t="s">
        <v>28</v>
      </c>
      <c r="C44" s="82">
        <v>14</v>
      </c>
      <c r="D44" s="82" t="s">
        <v>302</v>
      </c>
      <c r="E44" s="102">
        <f t="shared" si="0"/>
        <v>0.96099371344273887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83" t="s">
        <v>26</v>
      </c>
      <c r="X44" s="110" t="s">
        <v>16</v>
      </c>
      <c r="Y44" s="110">
        <v>15</v>
      </c>
      <c r="Z44" s="110" t="s">
        <v>335</v>
      </c>
      <c r="AA44" s="114">
        <v>0.84932154135723226</v>
      </c>
    </row>
    <row r="45" spans="1:31" ht="14">
      <c r="A45" s="81" t="s">
        <v>512</v>
      </c>
      <c r="B45" s="82" t="s">
        <v>28</v>
      </c>
      <c r="C45" s="82">
        <v>14</v>
      </c>
      <c r="D45" s="82" t="s">
        <v>511</v>
      </c>
      <c r="E45" s="102">
        <f t="shared" si="0"/>
        <v>0.9619710194413027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17</v>
      </c>
      <c r="X45" s="110" t="s">
        <v>16</v>
      </c>
      <c r="Y45" s="110">
        <v>15</v>
      </c>
      <c r="Z45" s="110" t="s">
        <v>306</v>
      </c>
      <c r="AA45" s="114">
        <v>0.84890438247011957</v>
      </c>
    </row>
    <row r="46" spans="1:31" ht="14">
      <c r="A46" s="81" t="s">
        <v>66</v>
      </c>
      <c r="B46" s="82" t="s">
        <v>28</v>
      </c>
      <c r="C46" s="82">
        <v>14</v>
      </c>
      <c r="D46" s="82" t="s">
        <v>314</v>
      </c>
      <c r="E46" s="102">
        <f t="shared" si="0"/>
        <v>0.99458022018280356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9</v>
      </c>
      <c r="X46" s="110" t="s">
        <v>49</v>
      </c>
      <c r="Y46" s="110">
        <v>13</v>
      </c>
      <c r="Z46" s="110" t="s">
        <v>273</v>
      </c>
      <c r="AA46" s="114">
        <v>0.82576712904581762</v>
      </c>
    </row>
    <row r="47" spans="1:31" ht="14">
      <c r="A47" s="81" t="s">
        <v>23</v>
      </c>
      <c r="B47" s="82" t="s">
        <v>28</v>
      </c>
      <c r="C47" s="82">
        <v>14</v>
      </c>
      <c r="D47" s="82" t="s">
        <v>322</v>
      </c>
      <c r="E47" s="102">
        <f t="shared" si="0"/>
        <v>0.64890043729006908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31</v>
      </c>
      <c r="X47" s="110" t="s">
        <v>28</v>
      </c>
      <c r="Y47" s="110">
        <v>14</v>
      </c>
      <c r="Z47" s="110" t="s">
        <v>288</v>
      </c>
      <c r="AA47" s="114">
        <v>0.81467245298615421</v>
      </c>
    </row>
    <row r="48" spans="1:31" ht="14">
      <c r="A48" s="81" t="s">
        <v>43</v>
      </c>
      <c r="B48" s="82" t="s">
        <v>28</v>
      </c>
      <c r="C48" s="82">
        <v>14</v>
      </c>
      <c r="D48" s="82" t="s">
        <v>324</v>
      </c>
      <c r="E48" s="102">
        <f t="shared" si="0"/>
        <v>0.42404692082111439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83" t="s">
        <v>36</v>
      </c>
      <c r="X48" s="110" t="s">
        <v>28</v>
      </c>
      <c r="Y48" s="110">
        <v>14</v>
      </c>
      <c r="Z48" s="110" t="s">
        <v>296</v>
      </c>
      <c r="AA48" s="114">
        <v>0.79472908539599674</v>
      </c>
    </row>
    <row r="49" spans="1:27" ht="14">
      <c r="A49" s="81" t="s">
        <v>45</v>
      </c>
      <c r="B49" s="82" t="s">
        <v>28</v>
      </c>
      <c r="C49" s="82">
        <v>14</v>
      </c>
      <c r="D49" s="82" t="s">
        <v>318</v>
      </c>
      <c r="E49" s="102">
        <f t="shared" si="0"/>
        <v>0.57546119039331711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57</v>
      </c>
      <c r="X49" s="110" t="s">
        <v>49</v>
      </c>
      <c r="Y49" s="110">
        <v>13</v>
      </c>
      <c r="Z49" s="110" t="s">
        <v>295</v>
      </c>
      <c r="AA49" s="114">
        <v>0.78356336260978665</v>
      </c>
    </row>
    <row r="50" spans="1:27" ht="14">
      <c r="A50" s="81" t="s">
        <v>62</v>
      </c>
      <c r="B50" s="82" t="s">
        <v>28</v>
      </c>
      <c r="C50" s="82">
        <v>14</v>
      </c>
      <c r="D50" s="82" t="s">
        <v>329</v>
      </c>
      <c r="E50" s="102">
        <f t="shared" si="0"/>
        <v>0.90975829351063098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3" t="s">
        <v>262</v>
      </c>
      <c r="X50" s="110" t="s">
        <v>108</v>
      </c>
      <c r="Y50" s="110">
        <v>19</v>
      </c>
      <c r="Z50" s="110" t="s">
        <v>309</v>
      </c>
      <c r="AA50" s="114">
        <v>0.77794419936265724</v>
      </c>
    </row>
    <row r="51" spans="1:27" ht="14">
      <c r="A51" s="131" t="s">
        <v>75</v>
      </c>
      <c r="B51" s="82" t="s">
        <v>28</v>
      </c>
      <c r="C51" s="82">
        <v>14</v>
      </c>
      <c r="D51" s="82" t="s">
        <v>331</v>
      </c>
      <c r="E51" s="102">
        <f>VLOOKUP($D51,$Q$7:$R$75,2,0)</f>
        <v>0.9915841495030967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83" t="s">
        <v>13</v>
      </c>
      <c r="X51" s="110" t="s">
        <v>16</v>
      </c>
      <c r="Y51" s="110">
        <v>15</v>
      </c>
      <c r="Z51" s="110" t="s">
        <v>326</v>
      </c>
      <c r="AA51" s="114">
        <v>0.77327600463039525</v>
      </c>
    </row>
    <row r="52" spans="1:27" ht="14">
      <c r="A52" s="79" t="s">
        <v>67</v>
      </c>
      <c r="B52" s="80" t="s">
        <v>49</v>
      </c>
      <c r="C52" s="80">
        <v>13</v>
      </c>
      <c r="D52" s="80" t="s">
        <v>278</v>
      </c>
      <c r="E52" s="101">
        <f t="shared" si="0"/>
        <v>0.62875460562079877</v>
      </c>
      <c r="F52" s="69"/>
      <c r="Q52" s="141" t="s">
        <v>320</v>
      </c>
      <c r="R52" s="142">
        <v>0.89259170051200387</v>
      </c>
      <c r="S52" s="141" t="s">
        <v>370</v>
      </c>
      <c r="W52" s="83" t="s">
        <v>21</v>
      </c>
      <c r="X52" s="110" t="s">
        <v>16</v>
      </c>
      <c r="Y52" s="110">
        <v>15</v>
      </c>
      <c r="Z52" s="110" t="s">
        <v>315</v>
      </c>
      <c r="AA52" s="114">
        <v>0.75386351438754873</v>
      </c>
    </row>
    <row r="53" spans="1:27" ht="14">
      <c r="A53" s="79" t="s">
        <v>9</v>
      </c>
      <c r="B53" s="80" t="s">
        <v>49</v>
      </c>
      <c r="C53" s="80">
        <v>13</v>
      </c>
      <c r="D53" s="80" t="s">
        <v>273</v>
      </c>
      <c r="E53" s="101">
        <f t="shared" si="0"/>
        <v>0.82576712904581762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32</v>
      </c>
      <c r="X53" s="110" t="s">
        <v>10</v>
      </c>
      <c r="Y53" s="110">
        <v>16</v>
      </c>
      <c r="Z53" s="110" t="s">
        <v>289</v>
      </c>
      <c r="AA53" s="114">
        <v>0.7497019635343618</v>
      </c>
    </row>
    <row r="54" spans="1:27" ht="14">
      <c r="A54" s="79" t="s">
        <v>55</v>
      </c>
      <c r="B54" s="80" t="s">
        <v>49</v>
      </c>
      <c r="C54" s="80">
        <v>13</v>
      </c>
      <c r="D54" s="80" t="s">
        <v>277</v>
      </c>
      <c r="E54" s="101">
        <f t="shared" si="0"/>
        <v>0.9427287640364086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52</v>
      </c>
      <c r="X54" s="110" t="s">
        <v>16</v>
      </c>
      <c r="Y54" s="110">
        <v>15</v>
      </c>
      <c r="Z54" s="110" t="s">
        <v>280</v>
      </c>
      <c r="AA54" s="114">
        <v>0.7469877361024081</v>
      </c>
    </row>
    <row r="55" spans="1:27" ht="14">
      <c r="A55" s="79" t="s">
        <v>48</v>
      </c>
      <c r="B55" s="80" t="s">
        <v>49</v>
      </c>
      <c r="C55" s="80">
        <v>13</v>
      </c>
      <c r="D55" s="80" t="s">
        <v>279</v>
      </c>
      <c r="E55" s="101">
        <f t="shared" si="0"/>
        <v>0.70643925978729205</v>
      </c>
      <c r="F55" s="65"/>
      <c r="Q55" s="141" t="s">
        <v>323</v>
      </c>
      <c r="R55" s="142">
        <v>1</v>
      </c>
      <c r="S55" s="141" t="s">
        <v>370</v>
      </c>
      <c r="W55" s="83" t="s">
        <v>29</v>
      </c>
      <c r="X55" s="110" t="s">
        <v>28</v>
      </c>
      <c r="Y55" s="110">
        <v>14</v>
      </c>
      <c r="Z55" s="110" t="s">
        <v>285</v>
      </c>
      <c r="AA55" s="114">
        <v>0.72270267536539723</v>
      </c>
    </row>
    <row r="56" spans="1:27" ht="14">
      <c r="A56" s="79" t="s">
        <v>60</v>
      </c>
      <c r="B56" s="80" t="s">
        <v>49</v>
      </c>
      <c r="C56" s="80">
        <v>13</v>
      </c>
      <c r="D56" s="80" t="s">
        <v>283</v>
      </c>
      <c r="E56" s="101">
        <f t="shared" si="0"/>
        <v>0.90135028841111697</v>
      </c>
      <c r="F56" s="65"/>
      <c r="Q56" s="141" t="s">
        <v>324</v>
      </c>
      <c r="R56" s="142">
        <v>0.42404692082111439</v>
      </c>
      <c r="S56" s="143" t="s">
        <v>86</v>
      </c>
      <c r="W56" s="83" t="s">
        <v>48</v>
      </c>
      <c r="X56" s="110" t="s">
        <v>49</v>
      </c>
      <c r="Y56" s="110">
        <v>13</v>
      </c>
      <c r="Z56" s="110" t="s">
        <v>279</v>
      </c>
      <c r="AA56" s="114">
        <v>0.70643925978729205</v>
      </c>
    </row>
    <row r="57" spans="1:27" ht="14">
      <c r="A57" s="119" t="s">
        <v>259</v>
      </c>
      <c r="B57" s="110" t="s">
        <v>49</v>
      </c>
      <c r="C57" s="110">
        <v>13</v>
      </c>
      <c r="D57" s="110" t="s">
        <v>281</v>
      </c>
      <c r="E57" s="111">
        <f>VLOOKUP($D57,$Q$7:$R$75,2,0)</f>
        <v>0.27216238256230779</v>
      </c>
      <c r="F57" s="69"/>
      <c r="Q57" s="141" t="s">
        <v>325</v>
      </c>
      <c r="R57" s="142">
        <v>0.99417211067658851</v>
      </c>
      <c r="S57" s="141" t="s">
        <v>370</v>
      </c>
      <c r="W57" s="83" t="s">
        <v>51</v>
      </c>
      <c r="X57" s="110" t="s">
        <v>28</v>
      </c>
      <c r="Y57" s="110">
        <v>14</v>
      </c>
      <c r="Z57" s="110" t="s">
        <v>298</v>
      </c>
      <c r="AA57" s="114">
        <v>0.66983442164179108</v>
      </c>
    </row>
    <row r="58" spans="1:27" ht="14">
      <c r="A58" s="79" t="s">
        <v>261</v>
      </c>
      <c r="B58" s="80" t="s">
        <v>49</v>
      </c>
      <c r="C58" s="80">
        <v>13</v>
      </c>
      <c r="D58" s="80" t="s">
        <v>185</v>
      </c>
      <c r="E58" s="101" t="s">
        <v>372</v>
      </c>
      <c r="F58" s="65"/>
      <c r="Q58" s="141" t="s">
        <v>326</v>
      </c>
      <c r="R58" s="142">
        <v>0.77327600463039525</v>
      </c>
      <c r="S58" s="143" t="s">
        <v>371</v>
      </c>
      <c r="W58" s="83" t="s">
        <v>253</v>
      </c>
      <c r="X58" s="110" t="s">
        <v>16</v>
      </c>
      <c r="Y58" s="110">
        <v>15</v>
      </c>
      <c r="Z58" s="110" t="s">
        <v>330</v>
      </c>
      <c r="AA58" s="114">
        <v>0.66731657086909912</v>
      </c>
    </row>
    <row r="59" spans="1:27" ht="14">
      <c r="A59" s="79" t="s">
        <v>57</v>
      </c>
      <c r="B59" s="80" t="s">
        <v>49</v>
      </c>
      <c r="C59" s="80">
        <v>13</v>
      </c>
      <c r="D59" s="80" t="s">
        <v>295</v>
      </c>
      <c r="E59" s="101">
        <f t="shared" si="0"/>
        <v>0.78356336260978665</v>
      </c>
      <c r="F59" s="65"/>
      <c r="Q59" s="141" t="s">
        <v>327</v>
      </c>
      <c r="R59" s="142">
        <v>0.93000422702993502</v>
      </c>
      <c r="S59" s="141" t="s">
        <v>370</v>
      </c>
      <c r="W59" s="83" t="s">
        <v>23</v>
      </c>
      <c r="X59" s="110" t="s">
        <v>28</v>
      </c>
      <c r="Y59" s="110">
        <v>14</v>
      </c>
      <c r="Z59" s="110" t="s">
        <v>322</v>
      </c>
      <c r="AA59" s="114">
        <v>0.64890043729006908</v>
      </c>
    </row>
    <row r="60" spans="1:27" ht="14">
      <c r="A60" s="79" t="s">
        <v>35</v>
      </c>
      <c r="B60" s="80" t="s">
        <v>49</v>
      </c>
      <c r="C60" s="80">
        <v>13</v>
      </c>
      <c r="D60" s="80" t="s">
        <v>292</v>
      </c>
      <c r="E60" s="101">
        <f t="shared" si="0"/>
        <v>1.0293089747728885</v>
      </c>
      <c r="F60" s="65"/>
      <c r="Q60" s="141" t="s">
        <v>328</v>
      </c>
      <c r="R60" s="142">
        <v>0.614337822671156</v>
      </c>
      <c r="S60" s="143" t="s">
        <v>371</v>
      </c>
      <c r="W60" s="83" t="s">
        <v>22</v>
      </c>
      <c r="X60" s="110" t="s">
        <v>49</v>
      </c>
      <c r="Y60" s="110">
        <v>13</v>
      </c>
      <c r="Z60" s="110" t="s">
        <v>316</v>
      </c>
      <c r="AA60" s="114">
        <v>0.63819230650865855</v>
      </c>
    </row>
    <row r="61" spans="1:27" ht="14">
      <c r="A61" s="79" t="s">
        <v>58</v>
      </c>
      <c r="B61" s="80" t="s">
        <v>49</v>
      </c>
      <c r="C61" s="80">
        <v>13</v>
      </c>
      <c r="D61" s="80" t="s">
        <v>275</v>
      </c>
      <c r="E61" s="101">
        <f t="shared" si="0"/>
        <v>1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67</v>
      </c>
      <c r="X61" s="110" t="s">
        <v>49</v>
      </c>
      <c r="Y61" s="110">
        <v>13</v>
      </c>
      <c r="Z61" s="110" t="s">
        <v>278</v>
      </c>
      <c r="AA61" s="114">
        <v>0.62875460562079877</v>
      </c>
    </row>
    <row r="62" spans="1:27" ht="14">
      <c r="A62" s="79" t="s">
        <v>40</v>
      </c>
      <c r="B62" s="80" t="s">
        <v>49</v>
      </c>
      <c r="C62" s="80">
        <v>13</v>
      </c>
      <c r="D62" s="80" t="s">
        <v>310</v>
      </c>
      <c r="E62" s="101">
        <f t="shared" si="0"/>
        <v>0.58034319753835939</v>
      </c>
      <c r="F62" s="65"/>
      <c r="Q62" s="141" t="s">
        <v>330</v>
      </c>
      <c r="R62" s="142">
        <v>0.66731657086909912</v>
      </c>
      <c r="S62" s="143" t="s">
        <v>371</v>
      </c>
      <c r="W62" s="83" t="s">
        <v>25</v>
      </c>
      <c r="X62" s="110" t="s">
        <v>16</v>
      </c>
      <c r="Y62" s="110">
        <v>15</v>
      </c>
      <c r="Z62" s="110" t="s">
        <v>328</v>
      </c>
      <c r="AA62" s="114">
        <v>0.614337822671156</v>
      </c>
    </row>
    <row r="63" spans="1:27" ht="14">
      <c r="A63" s="79" t="s">
        <v>22</v>
      </c>
      <c r="B63" s="80" t="s">
        <v>49</v>
      </c>
      <c r="C63" s="80">
        <v>13</v>
      </c>
      <c r="D63" s="80" t="s">
        <v>316</v>
      </c>
      <c r="E63" s="101">
        <f t="shared" si="0"/>
        <v>0.63819230650865855</v>
      </c>
      <c r="F63" s="65"/>
      <c r="Q63" s="141" t="s">
        <v>331</v>
      </c>
      <c r="R63" s="142">
        <v>0.9915841495030967</v>
      </c>
      <c r="S63" s="141" t="s">
        <v>370</v>
      </c>
      <c r="W63" s="83" t="s">
        <v>11</v>
      </c>
      <c r="X63" s="110" t="s">
        <v>28</v>
      </c>
      <c r="Y63" s="110">
        <v>14</v>
      </c>
      <c r="Z63" s="110" t="s">
        <v>297</v>
      </c>
      <c r="AA63" s="114">
        <v>0.60422936152907691</v>
      </c>
    </row>
    <row r="64" spans="1:27" ht="14">
      <c r="A64" s="79" t="s">
        <v>41</v>
      </c>
      <c r="B64" s="80" t="s">
        <v>49</v>
      </c>
      <c r="C64" s="80">
        <v>13</v>
      </c>
      <c r="D64" s="80" t="s">
        <v>321</v>
      </c>
      <c r="E64" s="101">
        <f t="shared" si="0"/>
        <v>0.97501693766937669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18</v>
      </c>
      <c r="X64" s="110" t="s">
        <v>10</v>
      </c>
      <c r="Y64" s="110">
        <v>16</v>
      </c>
      <c r="Z64" s="110" t="s">
        <v>86</v>
      </c>
      <c r="AA64" s="114">
        <v>0.58142655748172922</v>
      </c>
    </row>
    <row r="65" spans="1:27" ht="14">
      <c r="A65" s="79" t="s">
        <v>59</v>
      </c>
      <c r="B65" s="80" t="s">
        <v>49</v>
      </c>
      <c r="C65" s="80">
        <v>13</v>
      </c>
      <c r="D65" s="80" t="s">
        <v>336</v>
      </c>
      <c r="E65" s="101">
        <f t="shared" si="0"/>
        <v>1</v>
      </c>
      <c r="F65" s="65"/>
      <c r="Q65" s="141" t="s">
        <v>333</v>
      </c>
      <c r="R65" s="142">
        <v>0.98634859349145065</v>
      </c>
      <c r="S65" s="141" t="s">
        <v>370</v>
      </c>
      <c r="W65" s="83" t="s">
        <v>40</v>
      </c>
      <c r="X65" s="110" t="s">
        <v>49</v>
      </c>
      <c r="Y65" s="110">
        <v>13</v>
      </c>
      <c r="Z65" s="110" t="s">
        <v>310</v>
      </c>
      <c r="AA65" s="114">
        <v>0.58034319753835939</v>
      </c>
    </row>
    <row r="66" spans="1:27" ht="14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0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3" t="s">
        <v>45</v>
      </c>
      <c r="X66" s="110" t="s">
        <v>28</v>
      </c>
      <c r="Y66" s="110">
        <v>14</v>
      </c>
      <c r="Z66" s="110" t="s">
        <v>318</v>
      </c>
      <c r="AA66" s="114">
        <v>0.57546119039331711</v>
      </c>
    </row>
    <row r="67" spans="1:27" ht="14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0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83" t="s">
        <v>4</v>
      </c>
      <c r="X67" s="110" t="s">
        <v>2</v>
      </c>
      <c r="Y67" s="110">
        <v>17</v>
      </c>
      <c r="Z67" s="110" t="s">
        <v>368</v>
      </c>
      <c r="AA67" s="114">
        <v>0.55330389203021169</v>
      </c>
    </row>
    <row r="68" spans="1:27" ht="14">
      <c r="A68" s="79" t="s">
        <v>42</v>
      </c>
      <c r="B68" s="80" t="s">
        <v>65</v>
      </c>
      <c r="C68" s="80">
        <v>10</v>
      </c>
      <c r="D68" s="80" t="s">
        <v>320</v>
      </c>
      <c r="E68" s="101">
        <f t="shared" si="0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3" t="s">
        <v>39</v>
      </c>
      <c r="X68" s="110" t="s">
        <v>28</v>
      </c>
      <c r="Y68" s="110">
        <v>14</v>
      </c>
      <c r="Z68" s="110" t="s">
        <v>301</v>
      </c>
      <c r="AA68" s="114">
        <v>0.44575810739314115</v>
      </c>
    </row>
    <row r="69" spans="1:27" ht="15" thickBot="1">
      <c r="A69" s="137" t="s">
        <v>248</v>
      </c>
      <c r="B69" s="138" t="s">
        <v>71</v>
      </c>
      <c r="C69" s="138">
        <v>7</v>
      </c>
      <c r="D69" s="138" t="s">
        <v>294</v>
      </c>
      <c r="E69" s="139">
        <f t="shared" ref="E69:E75" si="5">VLOOKUP($D69,$Q$7:$R$75,2,0)</f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83" t="s">
        <v>43</v>
      </c>
      <c r="X69" s="110" t="s">
        <v>28</v>
      </c>
      <c r="Y69" s="110">
        <v>14</v>
      </c>
      <c r="Z69" s="110" t="s">
        <v>324</v>
      </c>
      <c r="AA69" s="114">
        <v>0.42404692082111439</v>
      </c>
    </row>
    <row r="70" spans="1:27" ht="14">
      <c r="A70" s="79" t="s">
        <v>262</v>
      </c>
      <c r="B70" s="80" t="s">
        <v>108</v>
      </c>
      <c r="C70" s="80">
        <v>19</v>
      </c>
      <c r="D70" s="80" t="s">
        <v>309</v>
      </c>
      <c r="E70" s="101">
        <f>VLOOKUP($D70,$Q$7:$R$75,2,0)</f>
        <v>0.77794419936265724</v>
      </c>
      <c r="F70" s="69"/>
      <c r="G70" s="66"/>
      <c r="Q70" s="99"/>
      <c r="R70" s="98"/>
      <c r="S70" s="97"/>
      <c r="W70" s="83" t="s">
        <v>12</v>
      </c>
      <c r="X70" s="110" t="s">
        <v>16</v>
      </c>
      <c r="Y70" s="110">
        <v>15</v>
      </c>
      <c r="Z70" s="110" t="s">
        <v>308</v>
      </c>
      <c r="AA70" s="114">
        <v>0.36017814864816144</v>
      </c>
    </row>
    <row r="71" spans="1:27" ht="14">
      <c r="A71" s="79" t="s">
        <v>263</v>
      </c>
      <c r="B71" s="80" t="s">
        <v>2</v>
      </c>
      <c r="C71" s="80">
        <v>17</v>
      </c>
      <c r="D71" s="80" t="s">
        <v>282</v>
      </c>
      <c r="E71" s="101">
        <f>VLOOKUP($D71,$Q$7:$R$75,2,0)</f>
        <v>0.87497195036407094</v>
      </c>
      <c r="F71" s="65"/>
      <c r="Q71" s="99"/>
      <c r="R71" s="98"/>
      <c r="S71" s="97"/>
      <c r="W71" s="83" t="s">
        <v>248</v>
      </c>
      <c r="X71" s="110" t="s">
        <v>71</v>
      </c>
      <c r="Y71" s="110">
        <v>7</v>
      </c>
      <c r="Z71" s="110" t="s">
        <v>294</v>
      </c>
      <c r="AA71" s="114">
        <v>0.27230062686467099</v>
      </c>
    </row>
    <row r="72" spans="1:27" ht="14">
      <c r="A72" s="83" t="s">
        <v>264</v>
      </c>
      <c r="B72" s="110" t="s">
        <v>56</v>
      </c>
      <c r="C72" s="110">
        <v>12</v>
      </c>
      <c r="D72" s="110" t="s">
        <v>332</v>
      </c>
      <c r="E72" s="111">
        <f>VLOOKUP($D72,$Q$7:$R$75,2,0)</f>
        <v>0.97028603165787286</v>
      </c>
      <c r="F72" s="69"/>
      <c r="Q72" s="99"/>
      <c r="R72" s="98"/>
      <c r="S72" s="97"/>
      <c r="W72" s="83" t="s">
        <v>259</v>
      </c>
      <c r="X72" s="110" t="s">
        <v>49</v>
      </c>
      <c r="Y72" s="110">
        <v>13</v>
      </c>
      <c r="Z72" s="110" t="s">
        <v>281</v>
      </c>
      <c r="AA72" s="114">
        <v>0.27216238256230779</v>
      </c>
    </row>
    <row r="73" spans="1:27" ht="14">
      <c r="A73" s="130" t="s">
        <v>50</v>
      </c>
      <c r="B73" s="84" t="s">
        <v>372</v>
      </c>
      <c r="C73" s="84"/>
      <c r="D73" s="110" t="s">
        <v>286</v>
      </c>
      <c r="E73" s="111">
        <f>VLOOKUP($D73,$Q$7:$R$75,2,0)</f>
        <v>0.99675869094774683</v>
      </c>
      <c r="F73" s="12"/>
      <c r="Q73" s="99"/>
      <c r="R73" s="98"/>
      <c r="S73" s="97"/>
      <c r="W73" s="83" t="s">
        <v>50</v>
      </c>
      <c r="X73" s="84" t="s">
        <v>372</v>
      </c>
      <c r="Y73" s="84"/>
      <c r="Z73" s="110" t="s">
        <v>286</v>
      </c>
      <c r="AA73" s="114">
        <v>0.99675869094774683</v>
      </c>
    </row>
    <row r="74" spans="1:27" ht="14">
      <c r="A74" s="79" t="s">
        <v>72</v>
      </c>
      <c r="B74" s="84" t="s">
        <v>372</v>
      </c>
      <c r="C74" s="84"/>
      <c r="D74" s="84" t="s">
        <v>307</v>
      </c>
      <c r="E74" s="103">
        <f t="shared" si="5"/>
        <v>0.98237685298627964</v>
      </c>
      <c r="F74" s="9"/>
      <c r="Q74" s="99"/>
      <c r="R74" s="98"/>
      <c r="S74" s="97"/>
      <c r="W74" s="83" t="s">
        <v>72</v>
      </c>
      <c r="X74" s="84" t="s">
        <v>372</v>
      </c>
      <c r="Y74" s="84"/>
      <c r="Z74" s="84" t="s">
        <v>307</v>
      </c>
      <c r="AA74" s="115">
        <v>0.98237685298627964</v>
      </c>
    </row>
    <row r="75" spans="1:27" ht="15" thickBot="1">
      <c r="A75" s="91" t="s">
        <v>76</v>
      </c>
      <c r="B75" s="92" t="s">
        <v>372</v>
      </c>
      <c r="C75" s="92"/>
      <c r="D75" s="92" t="s">
        <v>333</v>
      </c>
      <c r="E75" s="104">
        <f t="shared" si="5"/>
        <v>0.98634859349145065</v>
      </c>
      <c r="F75" s="9"/>
      <c r="Q75" s="99"/>
      <c r="R75" s="98"/>
      <c r="S75" s="97"/>
      <c r="W75" s="112" t="s">
        <v>76</v>
      </c>
      <c r="X75" s="92" t="s">
        <v>372</v>
      </c>
      <c r="Y75" s="92"/>
      <c r="Z75" s="92" t="s">
        <v>333</v>
      </c>
      <c r="AA75" s="116">
        <v>0.98634859349145065</v>
      </c>
    </row>
    <row r="76" spans="1:27" ht="14">
      <c r="A76" s="76" t="s">
        <v>135</v>
      </c>
      <c r="B76" s="78" t="s">
        <v>28</v>
      </c>
      <c r="C76" s="77">
        <f>AVERAGE(C7:C69)</f>
        <v>14.174603174603174</v>
      </c>
      <c r="D76" s="77"/>
      <c r="E76" s="77"/>
      <c r="F76" s="9"/>
      <c r="Q76" s="99"/>
      <c r="R76" s="100"/>
      <c r="S76" s="99"/>
    </row>
    <row r="77" spans="1:27">
      <c r="A77" s="7"/>
      <c r="B77" s="5"/>
      <c r="F77" s="14"/>
    </row>
    <row r="78" spans="1:27">
      <c r="A78" s="7"/>
      <c r="B78" s="5"/>
      <c r="F78" s="14"/>
    </row>
    <row r="79" spans="1:27">
      <c r="A79" s="85" t="s">
        <v>266</v>
      </c>
      <c r="F79" s="14"/>
      <c r="G79" s="133"/>
    </row>
    <row r="80" spans="1:27" s="133" customFormat="1">
      <c r="A80" s="85" t="s">
        <v>365</v>
      </c>
      <c r="C80" s="134"/>
      <c r="D80" s="134"/>
      <c r="E80" s="134"/>
      <c r="F80" s="135"/>
      <c r="AA80" s="136"/>
    </row>
    <row r="81" spans="1:27" s="133" customFormat="1">
      <c r="A81" s="132" t="s">
        <v>355</v>
      </c>
      <c r="C81" s="134"/>
      <c r="D81" s="134"/>
      <c r="E81" s="134"/>
      <c r="F81" s="135"/>
      <c r="AA81" s="136"/>
    </row>
    <row r="82" spans="1:27" s="133" customFormat="1">
      <c r="A82" s="132" t="s">
        <v>356</v>
      </c>
      <c r="C82" s="134"/>
      <c r="D82" s="134"/>
      <c r="E82" s="134"/>
      <c r="F82" s="135"/>
      <c r="G82" s="1"/>
      <c r="AA82" s="136"/>
    </row>
    <row r="83" spans="1:27">
      <c r="A83" s="132" t="s">
        <v>357</v>
      </c>
      <c r="D83" s="14"/>
      <c r="E83" s="1"/>
      <c r="AA83" s="1"/>
    </row>
    <row r="84" spans="1:27">
      <c r="A84" s="85" t="s">
        <v>358</v>
      </c>
      <c r="D84" s="14"/>
      <c r="E84" s="1"/>
      <c r="AA84" s="1"/>
    </row>
    <row r="85" spans="1:27">
      <c r="A85" s="85" t="s">
        <v>363</v>
      </c>
      <c r="D85" s="14"/>
      <c r="E85" s="1"/>
      <c r="AA85" s="1"/>
    </row>
    <row r="86" spans="1:27">
      <c r="A86" s="85" t="s">
        <v>364</v>
      </c>
      <c r="F86" s="14"/>
    </row>
    <row r="87" spans="1:27">
      <c r="A87" s="33"/>
      <c r="E87" s="120"/>
    </row>
    <row r="88" spans="1:27">
      <c r="E88" s="120"/>
    </row>
    <row r="89" spans="1:27">
      <c r="E89" s="121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3">
    <tabColor rgb="FF0070C0"/>
    <pageSetUpPr fitToPage="1"/>
  </sheetPr>
  <dimension ref="A1:M83"/>
  <sheetViews>
    <sheetView zoomScale="85" zoomScaleNormal="85" workbookViewId="0"/>
  </sheetViews>
  <sheetFormatPr baseColWidth="10" defaultColWidth="9.1640625" defaultRowHeight="13"/>
  <cols>
    <col min="1" max="1" width="35.1640625" style="1" customWidth="1"/>
    <col min="2" max="2" width="9.1640625" style="1"/>
    <col min="3" max="3" width="9.1640625" style="4"/>
    <col min="4" max="4" width="9.1640625" style="1"/>
    <col min="5" max="5" width="11.5" style="1" customWidth="1"/>
    <col min="6" max="8" width="9.1640625" style="1"/>
    <col min="9" max="9" width="11" style="1" bestFit="1" customWidth="1"/>
    <col min="10" max="10" width="4.83203125" style="1" bestFit="1" customWidth="1"/>
    <col min="11" max="16384" width="9.1640625" style="1"/>
  </cols>
  <sheetData>
    <row r="1" spans="1:13" ht="19">
      <c r="A1" s="75" t="s">
        <v>345</v>
      </c>
    </row>
    <row r="2" spans="1:13" ht="19">
      <c r="A2" s="75"/>
    </row>
    <row r="3" spans="1:13" ht="19">
      <c r="A3" s="75"/>
    </row>
    <row r="4" spans="1:13" ht="19">
      <c r="A4" s="75"/>
    </row>
    <row r="6" spans="1:13" ht="14">
      <c r="A6" s="73" t="s">
        <v>0</v>
      </c>
      <c r="B6" s="74" t="s">
        <v>347</v>
      </c>
      <c r="C6" s="20"/>
    </row>
    <row r="7" spans="1:13" ht="15" thickBot="1">
      <c r="A7" s="79" t="s">
        <v>6</v>
      </c>
      <c r="B7" s="80" t="s">
        <v>110</v>
      </c>
      <c r="C7" s="8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4">
      <c r="A8" s="79" t="s">
        <v>263</v>
      </c>
      <c r="B8" s="80" t="s">
        <v>2</v>
      </c>
      <c r="C8" s="80">
        <v>17</v>
      </c>
      <c r="D8" s="65"/>
      <c r="E8" s="72" t="s">
        <v>138</v>
      </c>
      <c r="F8" s="86">
        <f>COUNTIF(C$7:C$75,"&gt;16")</f>
        <v>4</v>
      </c>
      <c r="G8" s="87">
        <f>F8/F$14</f>
        <v>6.1538461538461542E-2</v>
      </c>
      <c r="I8" s="66"/>
      <c r="K8" s="66"/>
      <c r="L8" s="66"/>
      <c r="M8" s="67"/>
    </row>
    <row r="9" spans="1:13" ht="14">
      <c r="A9" s="79" t="s">
        <v>4</v>
      </c>
      <c r="B9" s="80" t="s">
        <v>2</v>
      </c>
      <c r="C9" s="80">
        <v>17</v>
      </c>
      <c r="D9" s="65"/>
      <c r="E9" s="72" t="s">
        <v>10</v>
      </c>
      <c r="F9" s="86">
        <f>COUNTIF(C$7:C$75,"=16")</f>
        <v>9</v>
      </c>
      <c r="G9" s="87">
        <f t="shared" ref="G9:G14" si="0">F9/F$14</f>
        <v>0.13846153846153847</v>
      </c>
      <c r="I9" s="66"/>
      <c r="K9" s="66"/>
      <c r="L9" s="66"/>
      <c r="M9" s="67"/>
    </row>
    <row r="10" spans="1:13" ht="14">
      <c r="A10" s="79" t="s">
        <v>7</v>
      </c>
      <c r="B10" s="80" t="s">
        <v>2</v>
      </c>
      <c r="C10" s="80">
        <v>17</v>
      </c>
      <c r="D10" s="65"/>
      <c r="E10" s="72" t="s">
        <v>16</v>
      </c>
      <c r="F10" s="86">
        <f>COUNTIF(C$7:C$75,"=15")</f>
        <v>13</v>
      </c>
      <c r="G10" s="87">
        <f t="shared" si="0"/>
        <v>0.2</v>
      </c>
      <c r="I10" s="66"/>
      <c r="K10" s="66"/>
      <c r="L10" s="66"/>
      <c r="M10" s="67"/>
    </row>
    <row r="11" spans="1:13" ht="14">
      <c r="A11" s="81" t="s">
        <v>3</v>
      </c>
      <c r="B11" s="82" t="s">
        <v>10</v>
      </c>
      <c r="C11" s="82">
        <v>16</v>
      </c>
      <c r="D11" s="65"/>
      <c r="E11" s="72" t="s">
        <v>28</v>
      </c>
      <c r="F11" s="86">
        <f>COUNTIF(C$7:C$75,"=14")</f>
        <v>19</v>
      </c>
      <c r="G11" s="87">
        <f t="shared" si="0"/>
        <v>0.29230769230769232</v>
      </c>
      <c r="I11" s="67"/>
      <c r="J11" s="4"/>
      <c r="K11" s="67"/>
      <c r="L11" s="67"/>
      <c r="M11" s="67"/>
    </row>
    <row r="12" spans="1:13" ht="14">
      <c r="A12" s="81" t="s">
        <v>18</v>
      </c>
      <c r="B12" s="82" t="s">
        <v>10</v>
      </c>
      <c r="C12" s="82">
        <v>16</v>
      </c>
      <c r="D12" s="65"/>
      <c r="E12" s="72" t="s">
        <v>49</v>
      </c>
      <c r="F12" s="86">
        <f>COUNTIF(C$7:C$75,"=13")</f>
        <v>14</v>
      </c>
      <c r="G12" s="87">
        <f t="shared" si="0"/>
        <v>0.2153846153846154</v>
      </c>
    </row>
    <row r="13" spans="1:13" ht="15" thickBot="1">
      <c r="A13" s="81" t="s">
        <v>32</v>
      </c>
      <c r="B13" s="82" t="s">
        <v>10</v>
      </c>
      <c r="C13" s="82">
        <v>16</v>
      </c>
      <c r="D13" s="65"/>
      <c r="E13" s="93" t="s">
        <v>79</v>
      </c>
      <c r="F13" s="94">
        <f>COUNTIF(C$7:C$75,"&lt;13")</f>
        <v>6</v>
      </c>
      <c r="G13" s="95">
        <f t="shared" si="0"/>
        <v>9.2307692307692313E-2</v>
      </c>
    </row>
    <row r="14" spans="1:13" ht="14">
      <c r="A14" s="81" t="s">
        <v>253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65</v>
      </c>
      <c r="G14" s="90">
        <f t="shared" si="0"/>
        <v>1</v>
      </c>
    </row>
    <row r="15" spans="1:13" ht="14">
      <c r="A15" s="81" t="s">
        <v>87</v>
      </c>
      <c r="B15" s="82" t="s">
        <v>10</v>
      </c>
      <c r="C15" s="82">
        <v>16</v>
      </c>
      <c r="D15" s="69"/>
      <c r="I15" s="9"/>
    </row>
    <row r="16" spans="1:13" ht="14">
      <c r="A16" s="81" t="s">
        <v>52</v>
      </c>
      <c r="B16" s="82" t="s">
        <v>10</v>
      </c>
      <c r="C16" s="82">
        <v>16</v>
      </c>
      <c r="D16" s="65"/>
      <c r="I16" s="9"/>
      <c r="J16" s="4"/>
    </row>
    <row r="17" spans="1:12" ht="14">
      <c r="A17" s="81" t="s">
        <v>5</v>
      </c>
      <c r="B17" s="82" t="s">
        <v>10</v>
      </c>
      <c r="C17" s="82">
        <v>16</v>
      </c>
      <c r="D17" s="65"/>
      <c r="I17" s="9"/>
      <c r="J17" s="4"/>
    </row>
    <row r="18" spans="1:12" ht="14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4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4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4">
      <c r="A21" s="83" t="s">
        <v>17</v>
      </c>
      <c r="B21" s="110" t="s">
        <v>16</v>
      </c>
      <c r="C21" s="110">
        <v>15</v>
      </c>
      <c r="D21" s="69"/>
    </row>
    <row r="22" spans="1:12" ht="14">
      <c r="A22" s="83" t="s">
        <v>19</v>
      </c>
      <c r="B22" s="110" t="s">
        <v>16</v>
      </c>
      <c r="C22" s="110">
        <v>15</v>
      </c>
      <c r="D22" s="65"/>
    </row>
    <row r="23" spans="1:12" ht="14">
      <c r="A23" s="83" t="s">
        <v>254</v>
      </c>
      <c r="B23" s="110" t="s">
        <v>16</v>
      </c>
      <c r="C23" s="110">
        <v>15</v>
      </c>
      <c r="D23" s="65"/>
    </row>
    <row r="24" spans="1:12" ht="14">
      <c r="A24" s="83" t="s">
        <v>255</v>
      </c>
      <c r="B24" s="110" t="s">
        <v>16</v>
      </c>
      <c r="C24" s="110">
        <v>15</v>
      </c>
      <c r="D24" s="65"/>
    </row>
    <row r="25" spans="1:12" ht="14">
      <c r="A25" s="83" t="s">
        <v>12</v>
      </c>
      <c r="B25" s="110" t="s">
        <v>16</v>
      </c>
      <c r="C25" s="110">
        <v>15</v>
      </c>
      <c r="D25" s="65"/>
    </row>
    <row r="26" spans="1:12" ht="14">
      <c r="A26" s="83" t="s">
        <v>21</v>
      </c>
      <c r="B26" s="110" t="s">
        <v>16</v>
      </c>
      <c r="C26" s="110">
        <v>15</v>
      </c>
      <c r="D26" s="65"/>
    </row>
    <row r="27" spans="1:12" ht="14">
      <c r="A27" s="83" t="s">
        <v>340</v>
      </c>
      <c r="B27" s="110" t="s">
        <v>16</v>
      </c>
      <c r="C27" s="110">
        <v>15</v>
      </c>
      <c r="D27" s="65"/>
    </row>
    <row r="28" spans="1:12" ht="14">
      <c r="A28" s="83" t="s">
        <v>24</v>
      </c>
      <c r="B28" s="110" t="s">
        <v>16</v>
      </c>
      <c r="C28" s="110">
        <v>15</v>
      </c>
      <c r="D28" s="65"/>
    </row>
    <row r="29" spans="1:12" ht="14">
      <c r="A29" s="83" t="s">
        <v>256</v>
      </c>
      <c r="B29" s="110" t="s">
        <v>16</v>
      </c>
      <c r="C29" s="110">
        <v>15</v>
      </c>
      <c r="D29" s="69"/>
    </row>
    <row r="30" spans="1:12" ht="14">
      <c r="A30" s="83" t="s">
        <v>25</v>
      </c>
      <c r="B30" s="110" t="s">
        <v>16</v>
      </c>
      <c r="C30" s="110">
        <v>15</v>
      </c>
      <c r="D30" s="65"/>
    </row>
    <row r="31" spans="1:12" ht="14">
      <c r="A31" s="83" t="s">
        <v>26</v>
      </c>
      <c r="B31" s="110" t="s">
        <v>16</v>
      </c>
      <c r="C31" s="110">
        <v>15</v>
      </c>
      <c r="D31" s="65"/>
      <c r="I31" s="66"/>
      <c r="J31" s="66"/>
    </row>
    <row r="32" spans="1:12" ht="14">
      <c r="A32" s="83" t="s">
        <v>257</v>
      </c>
      <c r="B32" s="110" t="s">
        <v>16</v>
      </c>
      <c r="C32" s="110">
        <v>15</v>
      </c>
      <c r="D32" s="65"/>
      <c r="J32" s="66"/>
    </row>
    <row r="33" spans="1:10" ht="14">
      <c r="A33" s="81" t="s">
        <v>258</v>
      </c>
      <c r="B33" s="82" t="s">
        <v>28</v>
      </c>
      <c r="C33" s="82">
        <v>14</v>
      </c>
      <c r="D33" s="65"/>
      <c r="J33" s="66"/>
    </row>
    <row r="34" spans="1:10" ht="14">
      <c r="A34" s="81" t="s">
        <v>29</v>
      </c>
      <c r="B34" s="82" t="s">
        <v>28</v>
      </c>
      <c r="C34" s="82">
        <v>14</v>
      </c>
      <c r="D34" s="65"/>
      <c r="F34" s="4"/>
      <c r="G34" s="4"/>
      <c r="J34" s="66"/>
    </row>
    <row r="35" spans="1:10" ht="14">
      <c r="A35" s="81" t="s">
        <v>30</v>
      </c>
      <c r="B35" s="82" t="s">
        <v>28</v>
      </c>
      <c r="C35" s="82">
        <v>14</v>
      </c>
      <c r="D35" s="65"/>
      <c r="E35" s="86" t="s">
        <v>267</v>
      </c>
      <c r="F35" s="4"/>
      <c r="G35" s="4"/>
      <c r="H35" s="4"/>
      <c r="J35" s="67"/>
    </row>
    <row r="36" spans="1:10" ht="14">
      <c r="A36" s="81" t="s">
        <v>259</v>
      </c>
      <c r="B36" s="82" t="s">
        <v>28</v>
      </c>
      <c r="C36" s="82">
        <v>14</v>
      </c>
      <c r="D36" s="65"/>
      <c r="F36" s="11"/>
      <c r="G36" s="11"/>
      <c r="H36" s="4"/>
      <c r="J36" s="67"/>
    </row>
    <row r="37" spans="1:10" ht="14">
      <c r="A37" s="81" t="s">
        <v>64</v>
      </c>
      <c r="B37" s="82" t="s">
        <v>28</v>
      </c>
      <c r="C37" s="82">
        <v>14</v>
      </c>
      <c r="D37" s="65"/>
      <c r="F37" s="12"/>
      <c r="G37" s="4"/>
      <c r="H37" s="11"/>
    </row>
    <row r="38" spans="1:10" ht="14">
      <c r="A38" s="81" t="s">
        <v>31</v>
      </c>
      <c r="B38" s="82" t="s">
        <v>28</v>
      </c>
      <c r="C38" s="82">
        <v>14</v>
      </c>
      <c r="D38" s="65"/>
      <c r="F38" s="12"/>
      <c r="G38" s="4"/>
      <c r="H38" s="13"/>
    </row>
    <row r="39" spans="1:10" ht="14">
      <c r="A39" s="81" t="s">
        <v>34</v>
      </c>
      <c r="B39" s="82" t="s">
        <v>28</v>
      </c>
      <c r="C39" s="82">
        <v>14</v>
      </c>
      <c r="D39" s="65"/>
      <c r="F39" s="12"/>
      <c r="G39" s="4"/>
      <c r="H39" s="13"/>
    </row>
    <row r="40" spans="1:10" ht="14">
      <c r="A40" s="81" t="s">
        <v>36</v>
      </c>
      <c r="B40" s="82" t="s">
        <v>28</v>
      </c>
      <c r="C40" s="82">
        <v>14</v>
      </c>
      <c r="D40" s="65"/>
      <c r="F40" s="12"/>
      <c r="G40" s="4"/>
      <c r="H40" s="13"/>
    </row>
    <row r="41" spans="1:10" ht="14">
      <c r="A41" s="81" t="s">
        <v>11</v>
      </c>
      <c r="B41" s="82" t="s">
        <v>28</v>
      </c>
      <c r="C41" s="82">
        <v>14</v>
      </c>
      <c r="D41" s="69"/>
      <c r="F41" s="12"/>
      <c r="G41" s="4"/>
      <c r="H41" s="13"/>
    </row>
    <row r="42" spans="1:10" ht="14">
      <c r="A42" s="81" t="s">
        <v>51</v>
      </c>
      <c r="B42" s="82" t="s">
        <v>28</v>
      </c>
      <c r="C42" s="82">
        <v>14</v>
      </c>
      <c r="D42" s="65"/>
      <c r="F42" s="12"/>
      <c r="G42" s="4"/>
      <c r="H42" s="13"/>
    </row>
    <row r="43" spans="1:10" ht="14">
      <c r="A43" s="81" t="s">
        <v>260</v>
      </c>
      <c r="B43" s="82" t="s">
        <v>28</v>
      </c>
      <c r="C43" s="82">
        <v>14</v>
      </c>
      <c r="D43" s="65"/>
      <c r="F43" s="4"/>
      <c r="G43" s="4"/>
      <c r="H43" s="4"/>
    </row>
    <row r="44" spans="1:10" ht="14">
      <c r="A44" s="81" t="s">
        <v>38</v>
      </c>
      <c r="B44" s="82" t="s">
        <v>28</v>
      </c>
      <c r="C44" s="82">
        <v>14</v>
      </c>
      <c r="D44" s="65"/>
      <c r="F44" s="4"/>
      <c r="G44" s="4"/>
      <c r="H44" s="4"/>
    </row>
    <row r="45" spans="1:10" ht="14">
      <c r="A45" s="81" t="s">
        <v>39</v>
      </c>
      <c r="B45" s="82" t="s">
        <v>28</v>
      </c>
      <c r="C45" s="82">
        <v>14</v>
      </c>
      <c r="D45" s="65"/>
      <c r="F45" s="4"/>
      <c r="G45" s="4"/>
      <c r="H45" s="4"/>
    </row>
    <row r="46" spans="1:10" ht="14">
      <c r="A46" s="81" t="s">
        <v>20</v>
      </c>
      <c r="B46" s="82" t="s">
        <v>28</v>
      </c>
      <c r="C46" s="82">
        <v>14</v>
      </c>
      <c r="D46" s="69"/>
      <c r="H46" s="67"/>
    </row>
    <row r="47" spans="1:10" ht="14">
      <c r="A47" s="81" t="s">
        <v>512</v>
      </c>
      <c r="B47" s="82" t="s">
        <v>28</v>
      </c>
      <c r="C47" s="82">
        <v>14</v>
      </c>
      <c r="D47" s="69"/>
      <c r="E47" s="66"/>
      <c r="G47" s="66"/>
      <c r="H47" s="66"/>
    </row>
    <row r="48" spans="1:10" ht="14">
      <c r="A48" s="81" t="s">
        <v>66</v>
      </c>
      <c r="B48" s="82" t="s">
        <v>28</v>
      </c>
      <c r="C48" s="82">
        <v>14</v>
      </c>
      <c r="D48" s="65"/>
      <c r="E48" s="66"/>
      <c r="G48" s="66"/>
      <c r="H48" s="66"/>
    </row>
    <row r="49" spans="1:8" ht="14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4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4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4">
      <c r="A52" s="83" t="s">
        <v>67</v>
      </c>
      <c r="B52" s="110" t="s">
        <v>49</v>
      </c>
      <c r="C52" s="110">
        <v>13</v>
      </c>
      <c r="D52" s="69"/>
    </row>
    <row r="53" spans="1:8" ht="14">
      <c r="A53" s="83" t="s">
        <v>9</v>
      </c>
      <c r="B53" s="110" t="s">
        <v>49</v>
      </c>
      <c r="C53" s="110">
        <v>13</v>
      </c>
      <c r="D53" s="69"/>
    </row>
    <row r="54" spans="1:8" ht="14">
      <c r="A54" s="83" t="s">
        <v>55</v>
      </c>
      <c r="B54" s="110" t="s">
        <v>49</v>
      </c>
      <c r="C54" s="110">
        <v>13</v>
      </c>
      <c r="D54" s="65"/>
    </row>
    <row r="55" spans="1:8" ht="14">
      <c r="A55" s="83" t="s">
        <v>48</v>
      </c>
      <c r="B55" s="110" t="s">
        <v>49</v>
      </c>
      <c r="C55" s="110">
        <v>13</v>
      </c>
      <c r="D55" s="65"/>
    </row>
    <row r="56" spans="1:8" ht="14">
      <c r="A56" s="83" t="s">
        <v>60</v>
      </c>
      <c r="B56" s="110" t="s">
        <v>49</v>
      </c>
      <c r="C56" s="110">
        <v>13</v>
      </c>
      <c r="D56" s="65"/>
    </row>
    <row r="57" spans="1:8" ht="14">
      <c r="A57" s="83" t="s">
        <v>261</v>
      </c>
      <c r="B57" s="110" t="s">
        <v>49</v>
      </c>
      <c r="C57" s="110">
        <v>13</v>
      </c>
      <c r="D57" s="69"/>
    </row>
    <row r="58" spans="1:8" ht="14">
      <c r="A58" s="83" t="s">
        <v>57</v>
      </c>
      <c r="B58" s="110" t="s">
        <v>49</v>
      </c>
      <c r="C58" s="110">
        <v>13</v>
      </c>
      <c r="D58" s="65"/>
    </row>
    <row r="59" spans="1:8" ht="14">
      <c r="A59" s="83" t="s">
        <v>35</v>
      </c>
      <c r="B59" s="110" t="s">
        <v>49</v>
      </c>
      <c r="C59" s="110">
        <v>13</v>
      </c>
      <c r="D59" s="65"/>
    </row>
    <row r="60" spans="1:8" ht="14">
      <c r="A60" s="83" t="s">
        <v>40</v>
      </c>
      <c r="B60" s="110" t="s">
        <v>49</v>
      </c>
      <c r="C60" s="110">
        <v>13</v>
      </c>
      <c r="D60" s="65"/>
    </row>
    <row r="61" spans="1:8" ht="14">
      <c r="A61" s="83" t="s">
        <v>22</v>
      </c>
      <c r="B61" s="110" t="s">
        <v>49</v>
      </c>
      <c r="C61" s="110">
        <v>13</v>
      </c>
      <c r="D61" s="65"/>
    </row>
    <row r="62" spans="1:8" ht="14">
      <c r="A62" s="83" t="s">
        <v>41</v>
      </c>
      <c r="B62" s="110" t="s">
        <v>49</v>
      </c>
      <c r="C62" s="110">
        <v>13</v>
      </c>
      <c r="D62" s="65"/>
    </row>
    <row r="63" spans="1:8" ht="14">
      <c r="A63" s="83" t="s">
        <v>54</v>
      </c>
      <c r="B63" s="110" t="s">
        <v>49</v>
      </c>
      <c r="C63" s="110">
        <v>13</v>
      </c>
      <c r="D63" s="65"/>
    </row>
    <row r="64" spans="1:8" ht="14">
      <c r="A64" s="83" t="s">
        <v>62</v>
      </c>
      <c r="B64" s="110" t="s">
        <v>49</v>
      </c>
      <c r="C64" s="110">
        <v>13</v>
      </c>
      <c r="D64" s="65"/>
    </row>
    <row r="65" spans="1:5" ht="14">
      <c r="A65" s="83" t="s">
        <v>59</v>
      </c>
      <c r="B65" s="110" t="s">
        <v>49</v>
      </c>
      <c r="C65" s="110">
        <v>13</v>
      </c>
      <c r="D65" s="65"/>
    </row>
    <row r="66" spans="1:5" ht="14">
      <c r="A66" s="81" t="s">
        <v>50</v>
      </c>
      <c r="B66" s="82" t="s">
        <v>56</v>
      </c>
      <c r="C66" s="82">
        <v>12</v>
      </c>
      <c r="D66" s="69"/>
    </row>
    <row r="67" spans="1:5" ht="14">
      <c r="A67" s="81" t="s">
        <v>58</v>
      </c>
      <c r="B67" s="82" t="s">
        <v>56</v>
      </c>
      <c r="C67" s="82">
        <v>12</v>
      </c>
      <c r="D67" s="69"/>
    </row>
    <row r="68" spans="1:5" ht="14">
      <c r="A68" s="81" t="s">
        <v>264</v>
      </c>
      <c r="B68" s="82" t="s">
        <v>56</v>
      </c>
      <c r="C68" s="82">
        <v>12</v>
      </c>
      <c r="D68" s="69"/>
    </row>
    <row r="69" spans="1:5" ht="14">
      <c r="A69" s="83" t="s">
        <v>69</v>
      </c>
      <c r="B69" s="110" t="s">
        <v>61</v>
      </c>
      <c r="C69" s="110">
        <v>11</v>
      </c>
      <c r="D69" s="69"/>
      <c r="E69" s="66"/>
    </row>
    <row r="70" spans="1:5" ht="14">
      <c r="A70" s="83" t="s">
        <v>42</v>
      </c>
      <c r="B70" s="110" t="s">
        <v>65</v>
      </c>
      <c r="C70" s="110">
        <v>10</v>
      </c>
      <c r="D70" s="69"/>
    </row>
    <row r="71" spans="1:5" ht="14">
      <c r="A71" s="83" t="s">
        <v>248</v>
      </c>
      <c r="B71" s="110" t="s">
        <v>71</v>
      </c>
      <c r="C71" s="110">
        <v>7</v>
      </c>
      <c r="D71" s="65"/>
      <c r="E71" s="66"/>
    </row>
    <row r="72" spans="1:5" ht="14">
      <c r="A72" s="83" t="s">
        <v>72</v>
      </c>
      <c r="B72" s="84" t="s">
        <v>136</v>
      </c>
      <c r="C72" s="84"/>
      <c r="D72" s="69"/>
    </row>
    <row r="73" spans="1:5" ht="14">
      <c r="A73" s="83" t="s">
        <v>74</v>
      </c>
      <c r="B73" s="84" t="s">
        <v>136</v>
      </c>
      <c r="C73" s="84"/>
      <c r="D73" s="12"/>
    </row>
    <row r="74" spans="1:5" ht="14">
      <c r="A74" s="83" t="s">
        <v>75</v>
      </c>
      <c r="B74" s="84" t="s">
        <v>136</v>
      </c>
      <c r="C74" s="84"/>
      <c r="D74" s="9"/>
    </row>
    <row r="75" spans="1:5" ht="15" thickBot="1">
      <c r="A75" s="112" t="s">
        <v>76</v>
      </c>
      <c r="B75" s="92" t="s">
        <v>136</v>
      </c>
      <c r="C75" s="92"/>
      <c r="D75" s="9"/>
    </row>
    <row r="76" spans="1:5" ht="14">
      <c r="A76" s="76" t="s">
        <v>135</v>
      </c>
      <c r="B76" s="78" t="s">
        <v>28</v>
      </c>
      <c r="C76" s="77">
        <f>AVERAGE(C7:C71)</f>
        <v>14.153846153846153</v>
      </c>
      <c r="D76" s="9"/>
    </row>
    <row r="77" spans="1:5">
      <c r="A77" s="7"/>
      <c r="B77" s="5"/>
      <c r="D77" s="14"/>
    </row>
    <row r="78" spans="1:5">
      <c r="A78" s="7"/>
      <c r="B78" s="5"/>
      <c r="D78" s="14"/>
    </row>
    <row r="79" spans="1:5">
      <c r="A79" s="85" t="s">
        <v>266</v>
      </c>
      <c r="D79" s="14"/>
    </row>
    <row r="80" spans="1:5">
      <c r="A80" s="85" t="s">
        <v>342</v>
      </c>
      <c r="D80" s="14"/>
    </row>
    <row r="81" spans="1:4">
      <c r="A81" s="85" t="s">
        <v>341</v>
      </c>
      <c r="D81" s="14"/>
    </row>
    <row r="82" spans="1:4">
      <c r="A82" s="85" t="s">
        <v>343</v>
      </c>
      <c r="D82" s="14"/>
    </row>
    <row r="83" spans="1:4">
      <c r="A83" s="33"/>
      <c r="D83" s="14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4">
    <tabColor rgb="FF002060"/>
    <pageSetUpPr fitToPage="1"/>
  </sheetPr>
  <dimension ref="A1:M84"/>
  <sheetViews>
    <sheetView zoomScale="85" zoomScaleNormal="85" workbookViewId="0"/>
  </sheetViews>
  <sheetFormatPr baseColWidth="10" defaultColWidth="9.1640625" defaultRowHeight="13"/>
  <cols>
    <col min="1" max="1" width="35.1640625" style="1" customWidth="1"/>
    <col min="2" max="2" width="9.1640625" style="1"/>
    <col min="3" max="3" width="9.1640625" style="4"/>
    <col min="4" max="4" width="9.1640625" style="1"/>
    <col min="5" max="5" width="11.5" style="1" customWidth="1"/>
    <col min="6" max="8" width="9.1640625" style="1"/>
    <col min="9" max="9" width="11" style="1" bestFit="1" customWidth="1"/>
    <col min="10" max="10" width="4.83203125" style="1" bestFit="1" customWidth="1"/>
    <col min="11" max="16384" width="9.1640625" style="1"/>
  </cols>
  <sheetData>
    <row r="1" spans="1:13" ht="19">
      <c r="A1" s="75" t="s">
        <v>346</v>
      </c>
    </row>
    <row r="2" spans="1:13" ht="19">
      <c r="A2" s="75"/>
    </row>
    <row r="3" spans="1:13" ht="19">
      <c r="A3" s="75"/>
    </row>
    <row r="4" spans="1:13" ht="19">
      <c r="A4" s="75"/>
    </row>
    <row r="6" spans="1:13" ht="14">
      <c r="A6" s="73" t="s">
        <v>0</v>
      </c>
      <c r="B6" s="74" t="s">
        <v>348</v>
      </c>
      <c r="C6" s="20"/>
    </row>
    <row r="7" spans="1:13" ht="15" thickBot="1">
      <c r="A7" s="83" t="s">
        <v>6</v>
      </c>
      <c r="B7" s="110" t="s">
        <v>110</v>
      </c>
      <c r="C7" s="11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4">
      <c r="A8" s="83" t="s">
        <v>263</v>
      </c>
      <c r="B8" s="110" t="s">
        <v>2</v>
      </c>
      <c r="C8" s="110">
        <v>17</v>
      </c>
      <c r="D8" s="65"/>
      <c r="E8" s="72" t="s">
        <v>138</v>
      </c>
      <c r="F8" s="86">
        <f>COUNTIF(C$7:C$76,"&gt;16")</f>
        <v>6</v>
      </c>
      <c r="G8" s="87">
        <f>F8/F$14</f>
        <v>9.0909090909090912E-2</v>
      </c>
      <c r="I8" s="66"/>
      <c r="K8" s="66"/>
      <c r="L8" s="66"/>
      <c r="M8" s="67"/>
    </row>
    <row r="9" spans="1:13" ht="14">
      <c r="A9" s="83" t="s">
        <v>3</v>
      </c>
      <c r="B9" s="110" t="s">
        <v>2</v>
      </c>
      <c r="C9" s="110">
        <v>17</v>
      </c>
      <c r="D9" s="65"/>
      <c r="E9" s="72" t="s">
        <v>10</v>
      </c>
      <c r="F9" s="86">
        <f>COUNTIF(C$7:C$76,"=16")</f>
        <v>7</v>
      </c>
      <c r="G9" s="87">
        <f t="shared" ref="G9:G14" si="0">F9/F$14</f>
        <v>0.10606060606060606</v>
      </c>
      <c r="I9" s="66"/>
      <c r="K9" s="66"/>
      <c r="L9" s="66"/>
      <c r="M9" s="67"/>
    </row>
    <row r="10" spans="1:13" ht="14">
      <c r="A10" s="83" t="s">
        <v>4</v>
      </c>
      <c r="B10" s="110" t="s">
        <v>2</v>
      </c>
      <c r="C10" s="110">
        <v>17</v>
      </c>
      <c r="D10" s="65"/>
      <c r="E10" s="72" t="s">
        <v>16</v>
      </c>
      <c r="F10" s="86">
        <f>COUNTIF(C$7:C$76,"=15")</f>
        <v>17</v>
      </c>
      <c r="G10" s="87">
        <f t="shared" si="0"/>
        <v>0.25757575757575757</v>
      </c>
      <c r="I10" s="66"/>
      <c r="K10" s="66"/>
      <c r="L10" s="66"/>
      <c r="M10" s="67"/>
    </row>
    <row r="11" spans="1:13" ht="14">
      <c r="A11" s="83" t="s">
        <v>5</v>
      </c>
      <c r="B11" s="110" t="s">
        <v>2</v>
      </c>
      <c r="C11" s="110">
        <v>17</v>
      </c>
      <c r="D11" s="65"/>
      <c r="E11" s="72" t="s">
        <v>28</v>
      </c>
      <c r="F11" s="86">
        <f>COUNTIF(C$7:C$76,"=14")</f>
        <v>15</v>
      </c>
      <c r="G11" s="87">
        <f t="shared" si="0"/>
        <v>0.22727272727272727</v>
      </c>
      <c r="I11" s="67"/>
      <c r="J11" s="4"/>
      <c r="K11" s="67"/>
      <c r="L11" s="67"/>
      <c r="M11" s="67"/>
    </row>
    <row r="12" spans="1:13" ht="14">
      <c r="A12" s="83" t="s">
        <v>7</v>
      </c>
      <c r="B12" s="110" t="s">
        <v>2</v>
      </c>
      <c r="C12" s="110">
        <v>17</v>
      </c>
      <c r="D12" s="65"/>
      <c r="E12" s="72" t="s">
        <v>49</v>
      </c>
      <c r="F12" s="86">
        <f>COUNTIF(C$7:C$76,"=13")</f>
        <v>13</v>
      </c>
      <c r="G12" s="87">
        <f t="shared" si="0"/>
        <v>0.19696969696969696</v>
      </c>
    </row>
    <row r="13" spans="1:13" ht="15" thickBot="1">
      <c r="A13" s="81" t="s">
        <v>18</v>
      </c>
      <c r="B13" s="82" t="s">
        <v>10</v>
      </c>
      <c r="C13" s="82">
        <v>16</v>
      </c>
      <c r="D13" s="65"/>
      <c r="E13" s="93" t="s">
        <v>79</v>
      </c>
      <c r="F13" s="94">
        <f>COUNTIF(C$7:C$76,"&lt;13")</f>
        <v>8</v>
      </c>
      <c r="G13" s="95">
        <f t="shared" si="0"/>
        <v>0.12121212121212122</v>
      </c>
    </row>
    <row r="14" spans="1:13" ht="14">
      <c r="A14" s="81" t="s">
        <v>32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66</v>
      </c>
      <c r="G14" s="90">
        <f t="shared" si="0"/>
        <v>1</v>
      </c>
    </row>
    <row r="15" spans="1:13" ht="14">
      <c r="A15" s="81" t="s">
        <v>253</v>
      </c>
      <c r="B15" s="82" t="s">
        <v>10</v>
      </c>
      <c r="C15" s="82">
        <v>16</v>
      </c>
      <c r="D15" s="69"/>
      <c r="I15" s="9"/>
    </row>
    <row r="16" spans="1:13" ht="14">
      <c r="A16" s="81" t="s">
        <v>87</v>
      </c>
      <c r="B16" s="82" t="s">
        <v>10</v>
      </c>
      <c r="C16" s="82">
        <v>16</v>
      </c>
      <c r="D16" s="65"/>
      <c r="I16" s="9"/>
      <c r="J16" s="4"/>
    </row>
    <row r="17" spans="1:12" ht="14">
      <c r="A17" s="81" t="s">
        <v>52</v>
      </c>
      <c r="B17" s="82" t="s">
        <v>10</v>
      </c>
      <c r="C17" s="82">
        <v>16</v>
      </c>
      <c r="D17" s="65"/>
      <c r="I17" s="9"/>
      <c r="J17" s="4"/>
    </row>
    <row r="18" spans="1:12" ht="14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4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4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4">
      <c r="A21" s="83" t="s">
        <v>17</v>
      </c>
      <c r="B21" s="110" t="s">
        <v>16</v>
      </c>
      <c r="C21" s="110">
        <v>15</v>
      </c>
      <c r="D21" s="69"/>
    </row>
    <row r="22" spans="1:12" ht="14">
      <c r="A22" s="83" t="s">
        <v>259</v>
      </c>
      <c r="B22" s="110" t="s">
        <v>16</v>
      </c>
      <c r="C22" s="110">
        <v>15</v>
      </c>
      <c r="D22" s="65"/>
    </row>
    <row r="23" spans="1:12" ht="14">
      <c r="A23" s="83" t="s">
        <v>19</v>
      </c>
      <c r="B23" s="110" t="s">
        <v>16</v>
      </c>
      <c r="C23" s="110">
        <v>15</v>
      </c>
      <c r="D23" s="65"/>
    </row>
    <row r="24" spans="1:12" ht="14">
      <c r="A24" s="83" t="s">
        <v>11</v>
      </c>
      <c r="B24" s="110" t="s">
        <v>16</v>
      </c>
      <c r="C24" s="110">
        <v>15</v>
      </c>
      <c r="D24" s="65"/>
    </row>
    <row r="25" spans="1:12" ht="14">
      <c r="A25" s="83" t="s">
        <v>20</v>
      </c>
      <c r="B25" s="110" t="s">
        <v>16</v>
      </c>
      <c r="C25" s="110">
        <v>15</v>
      </c>
      <c r="D25" s="65"/>
    </row>
    <row r="26" spans="1:12" ht="14">
      <c r="A26" s="83" t="s">
        <v>254</v>
      </c>
      <c r="B26" s="110" t="s">
        <v>16</v>
      </c>
      <c r="C26" s="110">
        <v>15</v>
      </c>
      <c r="D26" s="65"/>
    </row>
    <row r="27" spans="1:12" ht="14">
      <c r="A27" s="83" t="s">
        <v>255</v>
      </c>
      <c r="B27" s="110" t="s">
        <v>16</v>
      </c>
      <c r="C27" s="110">
        <v>15</v>
      </c>
      <c r="D27" s="65"/>
    </row>
    <row r="28" spans="1:12" ht="14">
      <c r="A28" s="83" t="s">
        <v>12</v>
      </c>
      <c r="B28" s="110" t="s">
        <v>16</v>
      </c>
      <c r="C28" s="110">
        <v>15</v>
      </c>
      <c r="D28" s="65"/>
    </row>
    <row r="29" spans="1:12" ht="14">
      <c r="A29" s="83" t="s">
        <v>21</v>
      </c>
      <c r="B29" s="110" t="s">
        <v>16</v>
      </c>
      <c r="C29" s="110">
        <v>15</v>
      </c>
      <c r="D29" s="69"/>
    </row>
    <row r="30" spans="1:12" ht="14">
      <c r="A30" s="83" t="s">
        <v>22</v>
      </c>
      <c r="B30" s="110" t="s">
        <v>16</v>
      </c>
      <c r="C30" s="110">
        <v>15</v>
      </c>
      <c r="D30" s="65"/>
    </row>
    <row r="31" spans="1:12" ht="14">
      <c r="A31" s="83" t="s">
        <v>340</v>
      </c>
      <c r="B31" s="110" t="s">
        <v>16</v>
      </c>
      <c r="C31" s="110">
        <v>15</v>
      </c>
      <c r="D31" s="65"/>
      <c r="I31" s="66"/>
      <c r="J31" s="66"/>
    </row>
    <row r="32" spans="1:12" ht="14">
      <c r="A32" s="83" t="s">
        <v>24</v>
      </c>
      <c r="B32" s="110" t="s">
        <v>16</v>
      </c>
      <c r="C32" s="110">
        <v>15</v>
      </c>
      <c r="D32" s="65"/>
      <c r="J32" s="66"/>
    </row>
    <row r="33" spans="1:10" ht="14">
      <c r="A33" s="83" t="s">
        <v>256</v>
      </c>
      <c r="B33" s="110" t="s">
        <v>16</v>
      </c>
      <c r="C33" s="110">
        <v>15</v>
      </c>
      <c r="D33" s="65"/>
      <c r="J33" s="66"/>
    </row>
    <row r="34" spans="1:10" ht="14">
      <c r="A34" s="83" t="s">
        <v>25</v>
      </c>
      <c r="B34" s="110" t="s">
        <v>16</v>
      </c>
      <c r="C34" s="110">
        <v>15</v>
      </c>
      <c r="D34" s="65"/>
      <c r="F34" s="4"/>
      <c r="G34" s="4"/>
      <c r="J34" s="66"/>
    </row>
    <row r="35" spans="1:10" ht="14">
      <c r="A35" s="83" t="s">
        <v>26</v>
      </c>
      <c r="B35" s="110" t="s">
        <v>16</v>
      </c>
      <c r="C35" s="110">
        <v>15</v>
      </c>
      <c r="D35" s="65"/>
      <c r="E35" s="86" t="s">
        <v>267</v>
      </c>
      <c r="F35" s="4"/>
      <c r="G35" s="4"/>
      <c r="H35" s="4"/>
      <c r="J35" s="67"/>
    </row>
    <row r="36" spans="1:10" ht="14">
      <c r="A36" s="83" t="s">
        <v>257</v>
      </c>
      <c r="B36" s="110" t="s">
        <v>16</v>
      </c>
      <c r="C36" s="110">
        <v>15</v>
      </c>
      <c r="D36" s="65"/>
      <c r="F36" s="11"/>
      <c r="G36" s="11"/>
      <c r="H36" s="4"/>
      <c r="J36" s="67"/>
    </row>
    <row r="37" spans="1:10" ht="14">
      <c r="A37" s="81" t="s">
        <v>258</v>
      </c>
      <c r="B37" s="82" t="s">
        <v>28</v>
      </c>
      <c r="C37" s="82">
        <v>14</v>
      </c>
      <c r="D37" s="65"/>
      <c r="F37" s="12"/>
      <c r="G37" s="4"/>
      <c r="H37" s="11"/>
    </row>
    <row r="38" spans="1:10" ht="14">
      <c r="A38" s="81" t="s">
        <v>29</v>
      </c>
      <c r="B38" s="82" t="s">
        <v>28</v>
      </c>
      <c r="C38" s="82">
        <v>14</v>
      </c>
      <c r="D38" s="65"/>
      <c r="F38" s="12"/>
      <c r="G38" s="4"/>
      <c r="H38" s="13"/>
    </row>
    <row r="39" spans="1:10" ht="14">
      <c r="A39" s="81" t="s">
        <v>30</v>
      </c>
      <c r="B39" s="82" t="s">
        <v>28</v>
      </c>
      <c r="C39" s="82">
        <v>14</v>
      </c>
      <c r="D39" s="65"/>
      <c r="F39" s="12"/>
      <c r="G39" s="4"/>
      <c r="H39" s="13"/>
    </row>
    <row r="40" spans="1:10" ht="14">
      <c r="A40" s="81" t="s">
        <v>64</v>
      </c>
      <c r="B40" s="82" t="s">
        <v>28</v>
      </c>
      <c r="C40" s="82">
        <v>14</v>
      </c>
      <c r="D40" s="65"/>
      <c r="F40" s="12"/>
      <c r="G40" s="4"/>
      <c r="H40" s="13"/>
    </row>
    <row r="41" spans="1:10" ht="14">
      <c r="A41" s="81" t="s">
        <v>31</v>
      </c>
      <c r="B41" s="82" t="s">
        <v>28</v>
      </c>
      <c r="C41" s="82">
        <v>14</v>
      </c>
      <c r="D41" s="69"/>
      <c r="F41" s="12"/>
      <c r="G41" s="4"/>
      <c r="H41" s="13"/>
    </row>
    <row r="42" spans="1:10" ht="14">
      <c r="A42" s="81" t="s">
        <v>34</v>
      </c>
      <c r="B42" s="82" t="s">
        <v>28</v>
      </c>
      <c r="C42" s="82">
        <v>14</v>
      </c>
      <c r="D42" s="65"/>
      <c r="F42" s="12"/>
      <c r="G42" s="4"/>
      <c r="H42" s="13"/>
    </row>
    <row r="43" spans="1:10" ht="14">
      <c r="A43" s="81" t="s">
        <v>36</v>
      </c>
      <c r="B43" s="82" t="s">
        <v>28</v>
      </c>
      <c r="C43" s="82">
        <v>14</v>
      </c>
      <c r="D43" s="65"/>
      <c r="F43" s="4"/>
      <c r="G43" s="4"/>
      <c r="H43" s="4"/>
    </row>
    <row r="44" spans="1:10" ht="14">
      <c r="A44" s="81" t="s">
        <v>51</v>
      </c>
      <c r="B44" s="82" t="s">
        <v>28</v>
      </c>
      <c r="C44" s="82">
        <v>14</v>
      </c>
      <c r="D44" s="65"/>
      <c r="F44" s="4"/>
      <c r="G44" s="4"/>
      <c r="H44" s="4"/>
    </row>
    <row r="45" spans="1:10" ht="14">
      <c r="A45" s="81" t="s">
        <v>260</v>
      </c>
      <c r="B45" s="82" t="s">
        <v>28</v>
      </c>
      <c r="C45" s="82">
        <v>14</v>
      </c>
      <c r="D45" s="65"/>
      <c r="F45" s="4"/>
      <c r="G45" s="4"/>
      <c r="H45" s="4"/>
    </row>
    <row r="46" spans="1:10" ht="14">
      <c r="A46" s="81" t="s">
        <v>38</v>
      </c>
      <c r="B46" s="82" t="s">
        <v>28</v>
      </c>
      <c r="C46" s="82">
        <v>14</v>
      </c>
      <c r="D46" s="69"/>
      <c r="H46" s="67"/>
    </row>
    <row r="47" spans="1:10" ht="14">
      <c r="A47" s="81" t="s">
        <v>39</v>
      </c>
      <c r="B47" s="82" t="s">
        <v>28</v>
      </c>
      <c r="C47" s="82">
        <v>14</v>
      </c>
      <c r="D47" s="69"/>
      <c r="E47" s="66"/>
      <c r="G47" s="66"/>
      <c r="H47" s="66"/>
    </row>
    <row r="48" spans="1:10" ht="14">
      <c r="A48" s="81" t="s">
        <v>512</v>
      </c>
      <c r="B48" s="82" t="s">
        <v>28</v>
      </c>
      <c r="C48" s="82">
        <v>14</v>
      </c>
      <c r="D48" s="65"/>
      <c r="E48" s="66"/>
      <c r="G48" s="66"/>
      <c r="H48" s="66"/>
    </row>
    <row r="49" spans="1:8" ht="14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4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4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4">
      <c r="A52" s="83" t="s">
        <v>67</v>
      </c>
      <c r="B52" s="110" t="s">
        <v>49</v>
      </c>
      <c r="C52" s="110">
        <v>13</v>
      </c>
      <c r="D52" s="69"/>
    </row>
    <row r="53" spans="1:8" ht="14">
      <c r="A53" s="83" t="s">
        <v>9</v>
      </c>
      <c r="B53" s="110" t="s">
        <v>49</v>
      </c>
      <c r="C53" s="110">
        <v>13</v>
      </c>
      <c r="D53" s="69"/>
    </row>
    <row r="54" spans="1:8" ht="14">
      <c r="A54" s="83" t="s">
        <v>48</v>
      </c>
      <c r="B54" s="110" t="s">
        <v>49</v>
      </c>
      <c r="C54" s="110">
        <v>13</v>
      </c>
      <c r="D54" s="65"/>
    </row>
    <row r="55" spans="1:8" ht="14">
      <c r="A55" s="83" t="s">
        <v>60</v>
      </c>
      <c r="B55" s="110" t="s">
        <v>49</v>
      </c>
      <c r="C55" s="110">
        <v>13</v>
      </c>
      <c r="D55" s="65"/>
    </row>
    <row r="56" spans="1:8" ht="14">
      <c r="A56" s="83" t="s">
        <v>261</v>
      </c>
      <c r="B56" s="110" t="s">
        <v>49</v>
      </c>
      <c r="C56" s="110">
        <v>13</v>
      </c>
      <c r="D56" s="65"/>
    </row>
    <row r="57" spans="1:8" ht="14">
      <c r="A57" s="83" t="s">
        <v>57</v>
      </c>
      <c r="B57" s="110" t="s">
        <v>49</v>
      </c>
      <c r="C57" s="110">
        <v>13</v>
      </c>
      <c r="D57" s="69"/>
    </row>
    <row r="58" spans="1:8" ht="14">
      <c r="A58" s="83" t="s">
        <v>35</v>
      </c>
      <c r="B58" s="110" t="s">
        <v>49</v>
      </c>
      <c r="C58" s="110">
        <v>13</v>
      </c>
      <c r="D58" s="65"/>
    </row>
    <row r="59" spans="1:8" ht="14">
      <c r="A59" s="83" t="s">
        <v>40</v>
      </c>
      <c r="B59" s="110" t="s">
        <v>49</v>
      </c>
      <c r="C59" s="110">
        <v>13</v>
      </c>
      <c r="D59" s="65"/>
    </row>
    <row r="60" spans="1:8" ht="14">
      <c r="A60" s="83" t="s">
        <v>41</v>
      </c>
      <c r="B60" s="110" t="s">
        <v>49</v>
      </c>
      <c r="C60" s="110">
        <v>13</v>
      </c>
      <c r="D60" s="65"/>
    </row>
    <row r="61" spans="1:8" ht="14">
      <c r="A61" s="83" t="s">
        <v>42</v>
      </c>
      <c r="B61" s="110" t="s">
        <v>49</v>
      </c>
      <c r="C61" s="110">
        <v>13</v>
      </c>
      <c r="D61" s="65"/>
    </row>
    <row r="62" spans="1:8" ht="14">
      <c r="A62" s="83" t="s">
        <v>54</v>
      </c>
      <c r="B62" s="110" t="s">
        <v>49</v>
      </c>
      <c r="C62" s="110">
        <v>13</v>
      </c>
      <c r="D62" s="65"/>
    </row>
    <row r="63" spans="1:8" ht="14">
      <c r="A63" s="83" t="s">
        <v>62</v>
      </c>
      <c r="B63" s="110" t="s">
        <v>49</v>
      </c>
      <c r="C63" s="110">
        <v>13</v>
      </c>
      <c r="D63" s="65"/>
    </row>
    <row r="64" spans="1:8" ht="14">
      <c r="A64" s="83" t="s">
        <v>59</v>
      </c>
      <c r="B64" s="110" t="s">
        <v>49</v>
      </c>
      <c r="C64" s="110">
        <v>13</v>
      </c>
      <c r="D64" s="65"/>
    </row>
    <row r="65" spans="1:5" ht="14">
      <c r="A65" s="81" t="s">
        <v>55</v>
      </c>
      <c r="B65" s="82" t="s">
        <v>56</v>
      </c>
      <c r="C65" s="82">
        <v>12</v>
      </c>
      <c r="D65" s="65"/>
    </row>
    <row r="66" spans="1:5" ht="14">
      <c r="A66" s="81" t="s">
        <v>50</v>
      </c>
      <c r="B66" s="82" t="s">
        <v>56</v>
      </c>
      <c r="C66" s="82">
        <v>12</v>
      </c>
      <c r="D66" s="69"/>
    </row>
    <row r="67" spans="1:5" ht="14">
      <c r="A67" s="81" t="s">
        <v>58</v>
      </c>
      <c r="B67" s="82" t="s">
        <v>56</v>
      </c>
      <c r="C67" s="82">
        <v>12</v>
      </c>
      <c r="D67" s="69"/>
    </row>
    <row r="68" spans="1:5" ht="14">
      <c r="A68" s="81" t="s">
        <v>66</v>
      </c>
      <c r="B68" s="82" t="s">
        <v>56</v>
      </c>
      <c r="C68" s="82">
        <v>12</v>
      </c>
      <c r="D68" s="69"/>
    </row>
    <row r="69" spans="1:5" ht="14">
      <c r="A69" s="83" t="s">
        <v>264</v>
      </c>
      <c r="B69" s="110" t="s">
        <v>61</v>
      </c>
      <c r="C69" s="110">
        <v>11</v>
      </c>
      <c r="D69" s="69"/>
      <c r="E69" s="66"/>
    </row>
    <row r="70" spans="1:5" ht="14">
      <c r="A70" s="83" t="s">
        <v>69</v>
      </c>
      <c r="B70" s="110" t="s">
        <v>65</v>
      </c>
      <c r="C70" s="110">
        <v>10</v>
      </c>
      <c r="D70" s="69"/>
    </row>
    <row r="71" spans="1:5" ht="14">
      <c r="A71" s="113" t="s">
        <v>70</v>
      </c>
      <c r="B71" s="110" t="s">
        <v>68</v>
      </c>
      <c r="C71" s="110">
        <v>9</v>
      </c>
      <c r="D71" s="65"/>
      <c r="E71" s="66"/>
    </row>
    <row r="72" spans="1:5" ht="14">
      <c r="A72" s="83" t="s">
        <v>248</v>
      </c>
      <c r="B72" s="110" t="s">
        <v>71</v>
      </c>
      <c r="C72" s="110">
        <v>7</v>
      </c>
      <c r="D72" s="69"/>
    </row>
    <row r="73" spans="1:5" ht="14">
      <c r="A73" s="83" t="s">
        <v>72</v>
      </c>
      <c r="B73" s="84" t="s">
        <v>136</v>
      </c>
      <c r="C73" s="84"/>
      <c r="D73" s="12"/>
    </row>
    <row r="74" spans="1:5" ht="14">
      <c r="A74" s="83" t="s">
        <v>74</v>
      </c>
      <c r="B74" s="84" t="s">
        <v>136</v>
      </c>
      <c r="C74" s="84"/>
      <c r="D74" s="9"/>
    </row>
    <row r="75" spans="1:5" ht="14">
      <c r="A75" s="83" t="s">
        <v>75</v>
      </c>
      <c r="B75" s="84" t="s">
        <v>136</v>
      </c>
      <c r="C75" s="84"/>
      <c r="D75" s="9"/>
    </row>
    <row r="76" spans="1:5" ht="15" thickBot="1">
      <c r="A76" s="112" t="s">
        <v>76</v>
      </c>
      <c r="B76" s="92" t="s">
        <v>136</v>
      </c>
      <c r="C76" s="92"/>
      <c r="D76" s="9"/>
    </row>
    <row r="77" spans="1:5" ht="14">
      <c r="A77" s="76" t="s">
        <v>135</v>
      </c>
      <c r="B77" s="78" t="s">
        <v>28</v>
      </c>
      <c r="C77" s="77">
        <f>AVERAGE(C7:C72)</f>
        <v>14.151515151515152</v>
      </c>
      <c r="D77" s="14"/>
    </row>
    <row r="78" spans="1:5">
      <c r="A78" s="7"/>
      <c r="B78" s="5"/>
      <c r="D78" s="14"/>
    </row>
    <row r="79" spans="1:5">
      <c r="A79" s="7"/>
      <c r="B79" s="5"/>
      <c r="D79" s="14"/>
    </row>
    <row r="80" spans="1:5">
      <c r="A80" s="85" t="s">
        <v>266</v>
      </c>
      <c r="D80" s="14"/>
    </row>
    <row r="81" spans="1:4">
      <c r="A81" s="85" t="s">
        <v>350</v>
      </c>
      <c r="D81" s="14"/>
    </row>
    <row r="82" spans="1:4">
      <c r="A82" s="85" t="s">
        <v>351</v>
      </c>
      <c r="D82" s="14"/>
    </row>
    <row r="83" spans="1:4">
      <c r="A83" s="85" t="s">
        <v>352</v>
      </c>
      <c r="D83" s="14"/>
    </row>
    <row r="84" spans="1:4">
      <c r="A84" s="33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">
    <tabColor rgb="FF0070C0"/>
    <pageSetUpPr fitToPage="1"/>
  </sheetPr>
  <dimension ref="A1:H84"/>
  <sheetViews>
    <sheetView zoomScale="80" zoomScaleNormal="80" workbookViewId="0"/>
  </sheetViews>
  <sheetFormatPr baseColWidth="10" defaultColWidth="9.1640625" defaultRowHeight="13"/>
  <cols>
    <col min="1" max="1" width="37.1640625" style="1" customWidth="1"/>
    <col min="2" max="2" width="9.1640625" style="1"/>
    <col min="3" max="3" width="9.1640625" style="4"/>
    <col min="4" max="4" width="9.1640625" style="1"/>
    <col min="5" max="5" width="11.5" style="1" customWidth="1"/>
    <col min="6" max="16384" width="9.1640625" style="1"/>
  </cols>
  <sheetData>
    <row r="1" spans="1:7" ht="18">
      <c r="A1" s="18" t="s">
        <v>241</v>
      </c>
    </row>
    <row r="2" spans="1:7" ht="18">
      <c r="A2" s="18"/>
    </row>
    <row r="3" spans="1:7" ht="18">
      <c r="A3" s="18"/>
    </row>
    <row r="4" spans="1:7" ht="18">
      <c r="A4" s="18"/>
    </row>
    <row r="6" spans="1:7">
      <c r="A6" s="37" t="s">
        <v>0</v>
      </c>
      <c r="B6" s="19">
        <v>2006</v>
      </c>
      <c r="C6" s="20"/>
      <c r="E6" s="17"/>
      <c r="F6" s="4"/>
      <c r="G6" s="4"/>
    </row>
    <row r="7" spans="1:7">
      <c r="A7" s="25" t="s">
        <v>6</v>
      </c>
      <c r="B7" s="5" t="s">
        <v>110</v>
      </c>
      <c r="C7" s="22">
        <v>18</v>
      </c>
      <c r="D7" s="9"/>
      <c r="E7" s="11" t="s">
        <v>77</v>
      </c>
      <c r="F7" s="11" t="s">
        <v>81</v>
      </c>
      <c r="G7" s="11" t="s">
        <v>82</v>
      </c>
    </row>
    <row r="8" spans="1:7">
      <c r="A8" s="21" t="s">
        <v>1</v>
      </c>
      <c r="B8" s="24" t="s">
        <v>2</v>
      </c>
      <c r="C8" s="22">
        <v>17</v>
      </c>
      <c r="D8" s="9"/>
      <c r="E8" s="12" t="s">
        <v>138</v>
      </c>
      <c r="F8" s="4">
        <v>8</v>
      </c>
      <c r="G8" s="26">
        <f>F8/F14</f>
        <v>0.12121212121212122</v>
      </c>
    </row>
    <row r="9" spans="1:7">
      <c r="A9" s="25" t="s">
        <v>3</v>
      </c>
      <c r="B9" s="25" t="s">
        <v>2</v>
      </c>
      <c r="C9" s="22">
        <v>17</v>
      </c>
      <c r="D9" s="9"/>
      <c r="E9" s="12" t="s">
        <v>10</v>
      </c>
      <c r="F9" s="4">
        <v>3</v>
      </c>
      <c r="G9" s="26">
        <f t="shared" ref="G9:G14" si="0">F9/$F$14</f>
        <v>4.5454545454545456E-2</v>
      </c>
    </row>
    <row r="10" spans="1:7">
      <c r="A10" s="25" t="s">
        <v>4</v>
      </c>
      <c r="B10" s="25" t="s">
        <v>2</v>
      </c>
      <c r="C10" s="22">
        <v>17</v>
      </c>
      <c r="D10" s="9"/>
      <c r="E10" s="12" t="s">
        <v>16</v>
      </c>
      <c r="F10" s="4">
        <v>14</v>
      </c>
      <c r="G10" s="26">
        <f t="shared" si="0"/>
        <v>0.21212121212121213</v>
      </c>
    </row>
    <row r="11" spans="1:7">
      <c r="A11" s="25" t="s">
        <v>87</v>
      </c>
      <c r="B11" s="25" t="s">
        <v>2</v>
      </c>
      <c r="C11" s="22">
        <v>17</v>
      </c>
      <c r="D11" s="9"/>
      <c r="E11" s="12" t="s">
        <v>28</v>
      </c>
      <c r="F11" s="4">
        <v>23</v>
      </c>
      <c r="G11" s="26">
        <f t="shared" si="0"/>
        <v>0.34848484848484851</v>
      </c>
    </row>
    <row r="12" spans="1:7">
      <c r="A12" s="25" t="s">
        <v>5</v>
      </c>
      <c r="B12" s="25" t="s">
        <v>2</v>
      </c>
      <c r="C12" s="22">
        <v>17</v>
      </c>
      <c r="D12" s="9"/>
      <c r="E12" s="12" t="s">
        <v>49</v>
      </c>
      <c r="F12" s="4">
        <v>6</v>
      </c>
      <c r="G12" s="26">
        <f t="shared" si="0"/>
        <v>9.0909090909090912E-2</v>
      </c>
    </row>
    <row r="13" spans="1:7">
      <c r="A13" s="25" t="s">
        <v>7</v>
      </c>
      <c r="B13" s="25" t="s">
        <v>2</v>
      </c>
      <c r="C13" s="22">
        <v>17</v>
      </c>
      <c r="D13" s="9"/>
      <c r="E13" s="12" t="s">
        <v>79</v>
      </c>
      <c r="F13" s="4">
        <v>12</v>
      </c>
      <c r="G13" s="26">
        <f t="shared" si="0"/>
        <v>0.18181818181818182</v>
      </c>
    </row>
    <row r="14" spans="1:7">
      <c r="A14" s="25" t="s">
        <v>8</v>
      </c>
      <c r="B14" s="25" t="s">
        <v>2</v>
      </c>
      <c r="C14" s="22">
        <v>17</v>
      </c>
      <c r="D14" s="12"/>
      <c r="E14" s="9" t="s">
        <v>80</v>
      </c>
      <c r="F14" s="1">
        <f>SUM(F8:F13)</f>
        <v>66</v>
      </c>
      <c r="G14" s="10">
        <f t="shared" si="0"/>
        <v>1</v>
      </c>
    </row>
    <row r="15" spans="1:7">
      <c r="A15" s="30" t="s">
        <v>52</v>
      </c>
      <c r="B15" s="28" t="s">
        <v>10</v>
      </c>
      <c r="C15" s="29">
        <v>16</v>
      </c>
      <c r="D15" s="9"/>
    </row>
    <row r="16" spans="1:7">
      <c r="A16" s="28" t="s">
        <v>13</v>
      </c>
      <c r="B16" s="28" t="s">
        <v>10</v>
      </c>
      <c r="C16" s="29">
        <v>16</v>
      </c>
      <c r="D16" s="9"/>
    </row>
    <row r="17" spans="1:4">
      <c r="A17" s="28" t="s">
        <v>14</v>
      </c>
      <c r="B17" s="28" t="s">
        <v>10</v>
      </c>
      <c r="C17" s="29">
        <v>16</v>
      </c>
      <c r="D17" s="9"/>
    </row>
    <row r="18" spans="1:4">
      <c r="A18" s="25" t="s">
        <v>15</v>
      </c>
      <c r="B18" s="25" t="s">
        <v>16</v>
      </c>
      <c r="C18" s="22">
        <v>15</v>
      </c>
      <c r="D18" s="9"/>
    </row>
    <row r="19" spans="1:4">
      <c r="A19" s="25" t="s">
        <v>17</v>
      </c>
      <c r="B19" s="25" t="s">
        <v>16</v>
      </c>
      <c r="C19" s="22">
        <v>15</v>
      </c>
      <c r="D19" s="9"/>
    </row>
    <row r="20" spans="1:4">
      <c r="A20" s="25" t="s">
        <v>88</v>
      </c>
      <c r="B20" s="25" t="s">
        <v>16</v>
      </c>
      <c r="C20" s="22">
        <v>15</v>
      </c>
      <c r="D20" s="12"/>
    </row>
    <row r="21" spans="1:4">
      <c r="A21" s="25" t="s">
        <v>19</v>
      </c>
      <c r="B21" s="25" t="s">
        <v>16</v>
      </c>
      <c r="C21" s="22">
        <v>15</v>
      </c>
      <c r="D21" s="12"/>
    </row>
    <row r="22" spans="1:4">
      <c r="A22" s="25" t="s">
        <v>11</v>
      </c>
      <c r="B22" s="25" t="s">
        <v>16</v>
      </c>
      <c r="C22" s="22">
        <v>15</v>
      </c>
      <c r="D22" s="12"/>
    </row>
    <row r="23" spans="1:4">
      <c r="A23" s="25" t="s">
        <v>20</v>
      </c>
      <c r="B23" s="25" t="s">
        <v>16</v>
      </c>
      <c r="C23" s="22">
        <v>15</v>
      </c>
      <c r="D23" s="9"/>
    </row>
    <row r="24" spans="1:4">
      <c r="A24" s="24" t="s">
        <v>237</v>
      </c>
      <c r="B24" s="2" t="s">
        <v>16</v>
      </c>
      <c r="C24" s="22">
        <v>15</v>
      </c>
      <c r="D24" s="9"/>
    </row>
    <row r="25" spans="1:4">
      <c r="A25" s="24" t="s">
        <v>236</v>
      </c>
      <c r="B25" s="2" t="s">
        <v>16</v>
      </c>
      <c r="C25" s="22">
        <v>15</v>
      </c>
      <c r="D25" s="9"/>
    </row>
    <row r="26" spans="1:4">
      <c r="A26" s="32" t="s">
        <v>12</v>
      </c>
      <c r="B26" s="32" t="s">
        <v>16</v>
      </c>
      <c r="C26" s="22">
        <v>15</v>
      </c>
      <c r="D26" s="9"/>
    </row>
    <row r="27" spans="1:4">
      <c r="A27" s="25" t="s">
        <v>21</v>
      </c>
      <c r="B27" s="25" t="s">
        <v>16</v>
      </c>
      <c r="C27" s="22">
        <v>15</v>
      </c>
      <c r="D27" s="9"/>
    </row>
    <row r="28" spans="1:4">
      <c r="A28" s="25" t="s">
        <v>22</v>
      </c>
      <c r="B28" s="25" t="s">
        <v>16</v>
      </c>
      <c r="C28" s="22">
        <v>15</v>
      </c>
      <c r="D28" s="9"/>
    </row>
    <row r="29" spans="1:4">
      <c r="A29" s="25" t="s">
        <v>24</v>
      </c>
      <c r="B29" s="25" t="s">
        <v>16</v>
      </c>
      <c r="C29" s="22">
        <v>15</v>
      </c>
      <c r="D29" s="9"/>
    </row>
    <row r="30" spans="1:4">
      <c r="A30" s="25" t="s">
        <v>25</v>
      </c>
      <c r="B30" s="25" t="s">
        <v>16</v>
      </c>
      <c r="C30" s="22">
        <v>15</v>
      </c>
      <c r="D30" s="12"/>
    </row>
    <row r="31" spans="1:4">
      <c r="A31" s="25" t="s">
        <v>26</v>
      </c>
      <c r="B31" s="25" t="s">
        <v>16</v>
      </c>
      <c r="C31" s="22">
        <v>15</v>
      </c>
      <c r="D31" s="9"/>
    </row>
    <row r="32" spans="1:4">
      <c r="A32" s="28" t="s">
        <v>9</v>
      </c>
      <c r="B32" s="28" t="s">
        <v>28</v>
      </c>
      <c r="C32" s="29">
        <v>14</v>
      </c>
      <c r="D32" s="9"/>
    </row>
    <row r="33" spans="1:8">
      <c r="A33" s="28" t="s">
        <v>27</v>
      </c>
      <c r="B33" s="28" t="s">
        <v>28</v>
      </c>
      <c r="C33" s="29">
        <v>14</v>
      </c>
      <c r="D33" s="9"/>
    </row>
    <row r="34" spans="1:8">
      <c r="A34" s="28" t="s">
        <v>29</v>
      </c>
      <c r="B34" s="28" t="s">
        <v>28</v>
      </c>
      <c r="C34" s="29">
        <v>14</v>
      </c>
      <c r="D34" s="9"/>
    </row>
    <row r="35" spans="1:8">
      <c r="A35" s="28" t="s">
        <v>30</v>
      </c>
      <c r="B35" s="28" t="s">
        <v>28</v>
      </c>
      <c r="C35" s="29">
        <v>14</v>
      </c>
      <c r="D35" s="9"/>
      <c r="E35" s="33" t="s">
        <v>133</v>
      </c>
    </row>
    <row r="36" spans="1:8">
      <c r="A36" s="28" t="s">
        <v>18</v>
      </c>
      <c r="B36" s="34" t="s">
        <v>28</v>
      </c>
      <c r="C36" s="29">
        <v>14</v>
      </c>
      <c r="D36" s="9"/>
      <c r="F36" s="4"/>
      <c r="G36" s="4"/>
      <c r="H36" s="4"/>
    </row>
    <row r="37" spans="1:8">
      <c r="A37" s="28" t="s">
        <v>31</v>
      </c>
      <c r="B37" s="28" t="s">
        <v>28</v>
      </c>
      <c r="C37" s="29">
        <v>14</v>
      </c>
      <c r="D37" s="9"/>
      <c r="F37" s="11"/>
      <c r="G37" s="11"/>
      <c r="H37" s="11"/>
    </row>
    <row r="38" spans="1:8">
      <c r="A38" s="28" t="s">
        <v>32</v>
      </c>
      <c r="B38" s="28" t="s">
        <v>28</v>
      </c>
      <c r="C38" s="29">
        <v>14</v>
      </c>
      <c r="D38" s="12"/>
      <c r="F38" s="12"/>
      <c r="G38" s="4"/>
      <c r="H38" s="13"/>
    </row>
    <row r="39" spans="1:8">
      <c r="A39" s="28" t="s">
        <v>33</v>
      </c>
      <c r="B39" s="28" t="s">
        <v>28</v>
      </c>
      <c r="C39" s="29">
        <v>14</v>
      </c>
      <c r="D39" s="12"/>
      <c r="F39" s="12"/>
      <c r="G39" s="4"/>
      <c r="H39" s="13"/>
    </row>
    <row r="40" spans="1:8">
      <c r="A40" s="28" t="s">
        <v>34</v>
      </c>
      <c r="B40" s="28" t="s">
        <v>28</v>
      </c>
      <c r="C40" s="29">
        <v>14</v>
      </c>
      <c r="D40" s="9"/>
      <c r="F40" s="12"/>
      <c r="G40" s="4"/>
      <c r="H40" s="13"/>
    </row>
    <row r="41" spans="1:8">
      <c r="A41" s="28" t="s">
        <v>36</v>
      </c>
      <c r="B41" s="28" t="s">
        <v>28</v>
      </c>
      <c r="C41" s="29">
        <v>14</v>
      </c>
      <c r="D41" s="9"/>
      <c r="F41" s="12"/>
      <c r="G41" s="4"/>
      <c r="H41" s="13"/>
    </row>
    <row r="42" spans="1:8">
      <c r="A42" s="28" t="s">
        <v>51</v>
      </c>
      <c r="B42" s="28" t="s">
        <v>28</v>
      </c>
      <c r="C42" s="29">
        <v>14</v>
      </c>
      <c r="D42" s="12"/>
      <c r="F42" s="12"/>
      <c r="G42" s="4"/>
      <c r="H42" s="13"/>
    </row>
    <row r="43" spans="1:8">
      <c r="A43" s="28" t="s">
        <v>37</v>
      </c>
      <c r="B43" s="28" t="s">
        <v>28</v>
      </c>
      <c r="C43" s="29">
        <v>14</v>
      </c>
      <c r="D43" s="9"/>
      <c r="F43" s="12"/>
      <c r="G43" s="4"/>
      <c r="H43" s="13"/>
    </row>
    <row r="44" spans="1:8">
      <c r="A44" s="28" t="s">
        <v>38</v>
      </c>
      <c r="B44" s="28" t="s">
        <v>28</v>
      </c>
      <c r="C44" s="29">
        <v>14</v>
      </c>
      <c r="D44" s="9"/>
      <c r="F44" s="12"/>
      <c r="G44" s="4"/>
      <c r="H44" s="4"/>
    </row>
    <row r="45" spans="1:8">
      <c r="A45" s="28" t="s">
        <v>39</v>
      </c>
      <c r="B45" s="28" t="s">
        <v>28</v>
      </c>
      <c r="C45" s="29">
        <v>14</v>
      </c>
      <c r="D45" s="9"/>
      <c r="F45" s="4"/>
      <c r="G45" s="4"/>
      <c r="H45" s="4"/>
    </row>
    <row r="46" spans="1:8">
      <c r="A46" s="28" t="s">
        <v>40</v>
      </c>
      <c r="B46" s="28" t="s">
        <v>28</v>
      </c>
      <c r="C46" s="29">
        <v>14</v>
      </c>
      <c r="D46" s="9"/>
      <c r="F46" s="4"/>
      <c r="G46" s="4"/>
      <c r="H46" s="4"/>
    </row>
    <row r="47" spans="1:8">
      <c r="A47" s="28" t="s">
        <v>512</v>
      </c>
      <c r="B47" s="28" t="s">
        <v>28</v>
      </c>
      <c r="C47" s="29">
        <v>14</v>
      </c>
      <c r="D47" s="9"/>
      <c r="F47" s="4"/>
      <c r="G47" s="4"/>
      <c r="H47" s="4"/>
    </row>
    <row r="48" spans="1:8">
      <c r="A48" s="28" t="s">
        <v>23</v>
      </c>
      <c r="B48" s="28" t="s">
        <v>28</v>
      </c>
      <c r="C48" s="29">
        <v>14</v>
      </c>
      <c r="D48" s="12"/>
      <c r="F48" s="4"/>
      <c r="G48" s="4"/>
      <c r="H48" s="4"/>
    </row>
    <row r="49" spans="1:4">
      <c r="A49" s="27" t="s">
        <v>53</v>
      </c>
      <c r="B49" s="38" t="s">
        <v>28</v>
      </c>
      <c r="C49" s="29">
        <v>14</v>
      </c>
      <c r="D49" s="12"/>
    </row>
    <row r="50" spans="1:4">
      <c r="A50" s="28" t="s">
        <v>42</v>
      </c>
      <c r="B50" s="28" t="s">
        <v>28</v>
      </c>
      <c r="C50" s="29">
        <v>14</v>
      </c>
      <c r="D50" s="9"/>
    </row>
    <row r="51" spans="1:4">
      <c r="A51" s="28" t="s">
        <v>43</v>
      </c>
      <c r="B51" s="28" t="s">
        <v>28</v>
      </c>
      <c r="C51" s="29">
        <v>14</v>
      </c>
      <c r="D51" s="9"/>
    </row>
    <row r="52" spans="1:4">
      <c r="A52" s="28" t="s">
        <v>44</v>
      </c>
      <c r="B52" s="28" t="s">
        <v>28</v>
      </c>
      <c r="C52" s="29">
        <v>14</v>
      </c>
      <c r="D52" s="9"/>
    </row>
    <row r="53" spans="1:4">
      <c r="A53" s="28" t="s">
        <v>45</v>
      </c>
      <c r="B53" s="28" t="s">
        <v>28</v>
      </c>
      <c r="C53" s="29">
        <v>14</v>
      </c>
      <c r="D53" s="12"/>
    </row>
    <row r="54" spans="1:4">
      <c r="A54" s="28" t="s">
        <v>47</v>
      </c>
      <c r="B54" s="28" t="s">
        <v>28</v>
      </c>
      <c r="C54" s="29">
        <v>14</v>
      </c>
      <c r="D54" s="12"/>
    </row>
    <row r="55" spans="1:4">
      <c r="A55" s="25" t="s">
        <v>48</v>
      </c>
      <c r="B55" s="25" t="s">
        <v>49</v>
      </c>
      <c r="C55" s="22">
        <v>13</v>
      </c>
      <c r="D55" s="9"/>
    </row>
    <row r="56" spans="1:4">
      <c r="A56" s="25" t="s">
        <v>57</v>
      </c>
      <c r="B56" s="2" t="s">
        <v>49</v>
      </c>
      <c r="C56" s="22">
        <v>13</v>
      </c>
      <c r="D56" s="12"/>
    </row>
    <row r="57" spans="1:4">
      <c r="A57" s="25" t="s">
        <v>35</v>
      </c>
      <c r="B57" s="25" t="s">
        <v>49</v>
      </c>
      <c r="C57" s="22">
        <v>13</v>
      </c>
      <c r="D57" s="9"/>
    </row>
    <row r="58" spans="1:4">
      <c r="A58" s="25" t="s">
        <v>41</v>
      </c>
      <c r="B58" s="2" t="s">
        <v>49</v>
      </c>
      <c r="C58" s="22">
        <v>13</v>
      </c>
      <c r="D58" s="9"/>
    </row>
    <row r="59" spans="1:4">
      <c r="A59" s="25" t="s">
        <v>54</v>
      </c>
      <c r="B59" s="25" t="s">
        <v>49</v>
      </c>
      <c r="C59" s="22">
        <v>13</v>
      </c>
      <c r="D59" s="9"/>
    </row>
    <row r="60" spans="1:4">
      <c r="A60" s="25" t="s">
        <v>46</v>
      </c>
      <c r="B60" s="25" t="s">
        <v>49</v>
      </c>
      <c r="C60" s="22">
        <v>13</v>
      </c>
      <c r="D60" s="9"/>
    </row>
    <row r="61" spans="1:4">
      <c r="A61" s="28" t="s">
        <v>67</v>
      </c>
      <c r="B61" s="28" t="s">
        <v>56</v>
      </c>
      <c r="C61" s="29">
        <v>12</v>
      </c>
      <c r="D61" s="9"/>
    </row>
    <row r="62" spans="1:4">
      <c r="A62" s="28" t="s">
        <v>55</v>
      </c>
      <c r="B62" s="28" t="s">
        <v>56</v>
      </c>
      <c r="C62" s="29">
        <v>12</v>
      </c>
      <c r="D62" s="9"/>
    </row>
    <row r="63" spans="1:4">
      <c r="A63" s="28" t="s">
        <v>50</v>
      </c>
      <c r="B63" s="28" t="s">
        <v>56</v>
      </c>
      <c r="C63" s="29">
        <v>12</v>
      </c>
      <c r="D63" s="12"/>
    </row>
    <row r="64" spans="1:4">
      <c r="A64" s="28" t="s">
        <v>64</v>
      </c>
      <c r="B64" s="34" t="s">
        <v>56</v>
      </c>
      <c r="C64" s="29">
        <v>12</v>
      </c>
      <c r="D64" s="12"/>
    </row>
    <row r="65" spans="1:4">
      <c r="A65" s="28" t="s">
        <v>58</v>
      </c>
      <c r="B65" s="28" t="s">
        <v>56</v>
      </c>
      <c r="C65" s="29">
        <v>12</v>
      </c>
      <c r="D65" s="12"/>
    </row>
    <row r="66" spans="1:4">
      <c r="A66" s="28" t="s">
        <v>66</v>
      </c>
      <c r="B66" s="28" t="s">
        <v>56</v>
      </c>
      <c r="C66" s="29">
        <v>12</v>
      </c>
      <c r="D66" s="12"/>
    </row>
    <row r="67" spans="1:4">
      <c r="A67" s="28" t="s">
        <v>59</v>
      </c>
      <c r="B67" s="28" t="s">
        <v>56</v>
      </c>
      <c r="C67" s="29">
        <v>12</v>
      </c>
      <c r="D67" s="12"/>
    </row>
    <row r="68" spans="1:4">
      <c r="A68" s="25" t="s">
        <v>60</v>
      </c>
      <c r="B68" s="25" t="s">
        <v>61</v>
      </c>
      <c r="C68" s="22">
        <v>11</v>
      </c>
      <c r="D68" s="12"/>
    </row>
    <row r="69" spans="1:4">
      <c r="A69" s="25" t="s">
        <v>62</v>
      </c>
      <c r="B69" s="25" t="s">
        <v>61</v>
      </c>
      <c r="C69" s="22">
        <v>11</v>
      </c>
      <c r="D69" s="12"/>
    </row>
    <row r="70" spans="1:4">
      <c r="A70" s="21" t="s">
        <v>63</v>
      </c>
      <c r="B70" s="39" t="s">
        <v>61</v>
      </c>
      <c r="C70" s="22">
        <v>11</v>
      </c>
      <c r="D70" s="12"/>
    </row>
    <row r="71" spans="1:4">
      <c r="A71" s="28" t="s">
        <v>69</v>
      </c>
      <c r="B71" s="34" t="s">
        <v>65</v>
      </c>
      <c r="C71" s="29">
        <v>10</v>
      </c>
      <c r="D71" s="12"/>
    </row>
    <row r="72" spans="1:4">
      <c r="A72" s="28" t="s">
        <v>70</v>
      </c>
      <c r="B72" s="34" t="s">
        <v>78</v>
      </c>
      <c r="C72" s="29">
        <v>8</v>
      </c>
      <c r="D72" s="12"/>
    </row>
    <row r="73" spans="1:4">
      <c r="A73" s="25" t="s">
        <v>72</v>
      </c>
      <c r="B73" s="25" t="s">
        <v>73</v>
      </c>
      <c r="C73" s="22" t="s">
        <v>136</v>
      </c>
      <c r="D73" s="9"/>
    </row>
    <row r="74" spans="1:4">
      <c r="A74" s="25" t="s">
        <v>223</v>
      </c>
      <c r="B74" s="25"/>
      <c r="C74" s="22" t="s">
        <v>136</v>
      </c>
      <c r="D74" s="9"/>
    </row>
    <row r="75" spans="1:4">
      <c r="A75" s="25" t="s">
        <v>75</v>
      </c>
      <c r="B75" s="25" t="s">
        <v>73</v>
      </c>
      <c r="C75" s="22" t="s">
        <v>136</v>
      </c>
      <c r="D75" s="9"/>
    </row>
    <row r="76" spans="1:4">
      <c r="A76" s="25" t="s">
        <v>76</v>
      </c>
      <c r="B76" s="25" t="s">
        <v>73</v>
      </c>
      <c r="C76" s="22" t="s">
        <v>136</v>
      </c>
      <c r="D76" s="9"/>
    </row>
    <row r="77" spans="1:4">
      <c r="A77" s="35" t="s">
        <v>135</v>
      </c>
      <c r="B77" s="35" t="s">
        <v>28</v>
      </c>
      <c r="C77" s="36">
        <f>SUM(C7:C72)/66</f>
        <v>14.090909090909092</v>
      </c>
      <c r="D77" s="14"/>
    </row>
    <row r="78" spans="1:4">
      <c r="A78" s="7"/>
      <c r="B78" s="5"/>
      <c r="D78" s="14"/>
    </row>
    <row r="79" spans="1:4">
      <c r="A79" s="33" t="s">
        <v>84</v>
      </c>
      <c r="D79" s="14"/>
    </row>
    <row r="80" spans="1:4">
      <c r="A80" s="2" t="s">
        <v>231</v>
      </c>
      <c r="D80" s="14"/>
    </row>
    <row r="81" spans="1:4">
      <c r="A81" s="33" t="s">
        <v>232</v>
      </c>
      <c r="D81" s="14"/>
    </row>
    <row r="82" spans="1:4">
      <c r="A82" s="33" t="s">
        <v>233</v>
      </c>
      <c r="D82" s="14"/>
    </row>
    <row r="83" spans="1:4">
      <c r="D83" s="14"/>
    </row>
    <row r="84" spans="1:4">
      <c r="A84" s="33" t="s">
        <v>224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">
    <tabColor rgb="FF002060"/>
  </sheetPr>
  <dimension ref="A1:G96"/>
  <sheetViews>
    <sheetView zoomScale="80" zoomScaleNormal="80" workbookViewId="0"/>
  </sheetViews>
  <sheetFormatPr baseColWidth="10" defaultColWidth="9.1640625" defaultRowHeight="13"/>
  <cols>
    <col min="1" max="1" width="35.1640625" style="1" customWidth="1"/>
    <col min="2" max="2" width="9.1640625" style="1"/>
    <col min="3" max="3" width="9.1640625" style="8"/>
    <col min="4" max="4" width="9.1640625" style="1"/>
    <col min="5" max="5" width="11.33203125" style="1" customWidth="1"/>
    <col min="6" max="16384" width="9.1640625" style="1"/>
  </cols>
  <sheetData>
    <row r="1" spans="1:7" ht="18">
      <c r="A1" s="18" t="s">
        <v>242</v>
      </c>
    </row>
    <row r="2" spans="1:7" ht="18">
      <c r="A2" s="18"/>
    </row>
    <row r="3" spans="1:7" ht="18">
      <c r="A3" s="18"/>
    </row>
    <row r="4" spans="1:7" ht="18">
      <c r="A4" s="18"/>
    </row>
    <row r="7" spans="1:7">
      <c r="A7" s="40"/>
      <c r="B7" s="17"/>
    </row>
    <row r="8" spans="1:7">
      <c r="A8" s="37" t="s">
        <v>0</v>
      </c>
      <c r="B8" s="31" t="s">
        <v>143</v>
      </c>
      <c r="C8" s="29"/>
      <c r="E8" s="17"/>
      <c r="F8" s="4"/>
    </row>
    <row r="9" spans="1:7">
      <c r="A9" s="14" t="s">
        <v>159</v>
      </c>
      <c r="B9" s="2" t="s">
        <v>110</v>
      </c>
      <c r="C9" s="22">
        <v>18</v>
      </c>
      <c r="E9" s="23" t="s">
        <v>77</v>
      </c>
      <c r="F9" s="23" t="s">
        <v>81</v>
      </c>
      <c r="G9" s="23" t="s">
        <v>82</v>
      </c>
    </row>
    <row r="10" spans="1:7">
      <c r="A10" s="14" t="s">
        <v>174</v>
      </c>
      <c r="B10" s="2" t="s">
        <v>110</v>
      </c>
      <c r="C10" s="22">
        <v>18</v>
      </c>
      <c r="E10" s="9" t="s">
        <v>138</v>
      </c>
      <c r="F10" s="1">
        <v>18</v>
      </c>
      <c r="G10" s="10">
        <f>F10/F16</f>
        <v>0.25</v>
      </c>
    </row>
    <row r="11" spans="1:7">
      <c r="A11" s="14" t="s">
        <v>184</v>
      </c>
      <c r="B11" s="2" t="s">
        <v>110</v>
      </c>
      <c r="C11" s="22">
        <v>18</v>
      </c>
      <c r="E11" s="9" t="s">
        <v>10</v>
      </c>
      <c r="F11" s="1">
        <v>12</v>
      </c>
      <c r="G11" s="10">
        <f>F11/$F$16</f>
        <v>0.16666666666666666</v>
      </c>
    </row>
    <row r="12" spans="1:7">
      <c r="A12" s="41" t="s">
        <v>189</v>
      </c>
      <c r="B12" s="25" t="s">
        <v>110</v>
      </c>
      <c r="C12" s="22">
        <v>18</v>
      </c>
      <c r="E12" s="9" t="s">
        <v>16</v>
      </c>
      <c r="F12" s="1">
        <v>19</v>
      </c>
      <c r="G12" s="10">
        <f>F12/$F$16</f>
        <v>0.2638888888888889</v>
      </c>
    </row>
    <row r="13" spans="1:7">
      <c r="A13" s="14" t="s">
        <v>200</v>
      </c>
      <c r="B13" s="25" t="s">
        <v>110</v>
      </c>
      <c r="C13" s="22">
        <v>18</v>
      </c>
      <c r="E13" s="9" t="s">
        <v>28</v>
      </c>
      <c r="F13" s="4">
        <v>10</v>
      </c>
      <c r="G13" s="10">
        <f>F13/$F$16</f>
        <v>0.1388888888888889</v>
      </c>
    </row>
    <row r="14" spans="1:7">
      <c r="A14" s="14" t="s">
        <v>150</v>
      </c>
      <c r="B14" s="2" t="s">
        <v>2</v>
      </c>
      <c r="C14" s="22">
        <v>17</v>
      </c>
      <c r="E14" s="9" t="s">
        <v>49</v>
      </c>
      <c r="F14" s="4">
        <v>7</v>
      </c>
      <c r="G14" s="10">
        <f>F14/$F$16</f>
        <v>9.7222222222222224E-2</v>
      </c>
    </row>
    <row r="15" spans="1:7">
      <c r="A15" s="14" t="s">
        <v>151</v>
      </c>
      <c r="B15" s="25" t="s">
        <v>2</v>
      </c>
      <c r="C15" s="22">
        <v>17</v>
      </c>
      <c r="E15" s="9" t="s">
        <v>79</v>
      </c>
      <c r="F15" s="4">
        <v>6</v>
      </c>
      <c r="G15" s="10">
        <f>F15/$F$16</f>
        <v>8.3333333333333329E-2</v>
      </c>
    </row>
    <row r="16" spans="1:7">
      <c r="A16" s="14" t="s">
        <v>156</v>
      </c>
      <c r="B16" s="2" t="s">
        <v>2</v>
      </c>
      <c r="C16" s="22">
        <v>17</v>
      </c>
      <c r="E16" s="9" t="s">
        <v>80</v>
      </c>
      <c r="F16" s="1">
        <f>SUM(F10:F15)</f>
        <v>72</v>
      </c>
    </row>
    <row r="17" spans="1:7">
      <c r="A17" s="14" t="s">
        <v>6</v>
      </c>
      <c r="B17" s="2" t="s">
        <v>2</v>
      </c>
      <c r="C17" s="22">
        <v>17</v>
      </c>
      <c r="E17" s="9"/>
      <c r="G17" s="10"/>
    </row>
    <row r="18" spans="1:7">
      <c r="A18" s="14" t="s">
        <v>13</v>
      </c>
      <c r="B18" s="25" t="s">
        <v>2</v>
      </c>
      <c r="C18" s="22">
        <v>17</v>
      </c>
      <c r="E18" s="9"/>
      <c r="F18" s="4"/>
      <c r="G18" s="10"/>
    </row>
    <row r="19" spans="1:7">
      <c r="A19" s="14" t="s">
        <v>163</v>
      </c>
      <c r="B19" s="25" t="s">
        <v>2</v>
      </c>
      <c r="C19" s="22">
        <v>17</v>
      </c>
      <c r="E19" s="9"/>
      <c r="F19" s="4"/>
      <c r="G19" s="10"/>
    </row>
    <row r="20" spans="1:7">
      <c r="A20" s="14" t="s">
        <v>167</v>
      </c>
      <c r="B20" s="2" t="s">
        <v>2</v>
      </c>
      <c r="C20" s="22">
        <v>17</v>
      </c>
      <c r="E20" s="9"/>
      <c r="F20" s="4"/>
      <c r="G20" s="10"/>
    </row>
    <row r="21" spans="1:7">
      <c r="A21" s="14" t="s">
        <v>171</v>
      </c>
      <c r="B21" s="39" t="s">
        <v>2</v>
      </c>
      <c r="C21" s="22">
        <v>17</v>
      </c>
      <c r="E21" s="9"/>
    </row>
    <row r="22" spans="1:7">
      <c r="A22" s="14" t="s">
        <v>179</v>
      </c>
      <c r="B22" s="2" t="s">
        <v>2</v>
      </c>
      <c r="C22" s="22">
        <v>17</v>
      </c>
    </row>
    <row r="23" spans="1:7">
      <c r="A23" s="14" t="s">
        <v>183</v>
      </c>
      <c r="B23" s="2" t="s">
        <v>2</v>
      </c>
      <c r="C23" s="22">
        <v>17</v>
      </c>
    </row>
    <row r="24" spans="1:7">
      <c r="A24" s="14" t="s">
        <v>25</v>
      </c>
      <c r="B24" s="25" t="s">
        <v>2</v>
      </c>
      <c r="C24" s="22">
        <v>17</v>
      </c>
    </row>
    <row r="25" spans="1:7">
      <c r="A25" s="14" t="s">
        <v>190</v>
      </c>
      <c r="B25" s="25" t="s">
        <v>2</v>
      </c>
      <c r="C25" s="22">
        <v>17</v>
      </c>
    </row>
    <row r="26" spans="1:7">
      <c r="A26" s="14" t="s">
        <v>197</v>
      </c>
      <c r="B26" s="2" t="s">
        <v>2</v>
      </c>
      <c r="C26" s="22">
        <v>17</v>
      </c>
    </row>
    <row r="27" spans="1:7">
      <c r="A27" s="42" t="s">
        <v>145</v>
      </c>
      <c r="B27" s="34" t="s">
        <v>10</v>
      </c>
      <c r="C27" s="29">
        <v>16</v>
      </c>
    </row>
    <row r="28" spans="1:7">
      <c r="A28" s="42" t="s">
        <v>152</v>
      </c>
      <c r="B28" s="34" t="s">
        <v>10</v>
      </c>
      <c r="C28" s="29">
        <v>16</v>
      </c>
    </row>
    <row r="29" spans="1:7">
      <c r="A29" s="42" t="s">
        <v>154</v>
      </c>
      <c r="B29" s="34" t="s">
        <v>10</v>
      </c>
      <c r="C29" s="29">
        <v>16</v>
      </c>
    </row>
    <row r="30" spans="1:7">
      <c r="A30" s="43" t="s">
        <v>158</v>
      </c>
      <c r="B30" s="28" t="s">
        <v>10</v>
      </c>
      <c r="C30" s="29">
        <v>16</v>
      </c>
    </row>
    <row r="31" spans="1:7">
      <c r="A31" s="43" t="s">
        <v>170</v>
      </c>
      <c r="B31" s="28" t="s">
        <v>10</v>
      </c>
      <c r="C31" s="29">
        <v>16</v>
      </c>
    </row>
    <row r="32" spans="1:7">
      <c r="A32" s="42" t="s">
        <v>173</v>
      </c>
      <c r="B32" s="34" t="s">
        <v>10</v>
      </c>
      <c r="C32" s="29">
        <v>16</v>
      </c>
    </row>
    <row r="33" spans="1:5">
      <c r="A33" s="42" t="s">
        <v>177</v>
      </c>
      <c r="B33" s="28" t="s">
        <v>10</v>
      </c>
      <c r="C33" s="29">
        <v>16</v>
      </c>
    </row>
    <row r="34" spans="1:5">
      <c r="A34" s="42" t="s">
        <v>187</v>
      </c>
      <c r="B34" s="28" t="s">
        <v>10</v>
      </c>
      <c r="C34" s="29">
        <v>16</v>
      </c>
    </row>
    <row r="35" spans="1:5">
      <c r="A35" s="42" t="s">
        <v>195</v>
      </c>
      <c r="B35" s="34" t="s">
        <v>10</v>
      </c>
      <c r="C35" s="29">
        <v>16</v>
      </c>
    </row>
    <row r="36" spans="1:5">
      <c r="A36" s="42" t="s">
        <v>196</v>
      </c>
      <c r="B36" s="34" t="s">
        <v>10</v>
      </c>
      <c r="C36" s="29">
        <v>16</v>
      </c>
    </row>
    <row r="37" spans="1:5">
      <c r="A37" s="42" t="s">
        <v>205</v>
      </c>
      <c r="B37" s="34" t="s">
        <v>10</v>
      </c>
      <c r="C37" s="29">
        <v>16</v>
      </c>
    </row>
    <row r="38" spans="1:5">
      <c r="A38" s="42" t="s">
        <v>165</v>
      </c>
      <c r="B38" s="38" t="s">
        <v>10</v>
      </c>
      <c r="C38" s="29">
        <v>16</v>
      </c>
    </row>
    <row r="39" spans="1:5">
      <c r="A39" s="14" t="s">
        <v>206</v>
      </c>
      <c r="B39" s="2" t="s">
        <v>16</v>
      </c>
      <c r="C39" s="22">
        <v>15</v>
      </c>
    </row>
    <row r="40" spans="1:5">
      <c r="A40" s="14" t="s">
        <v>29</v>
      </c>
      <c r="B40" s="2" t="s">
        <v>16</v>
      </c>
      <c r="C40" s="22">
        <v>15</v>
      </c>
      <c r="E40" s="33" t="s">
        <v>141</v>
      </c>
    </row>
    <row r="41" spans="1:5">
      <c r="A41" s="14" t="s">
        <v>191</v>
      </c>
      <c r="B41" s="25" t="s">
        <v>16</v>
      </c>
      <c r="C41" s="22">
        <v>15</v>
      </c>
    </row>
    <row r="42" spans="1:5">
      <c r="A42" s="14" t="s">
        <v>30</v>
      </c>
      <c r="B42" s="2" t="s">
        <v>16</v>
      </c>
      <c r="C42" s="22">
        <v>15</v>
      </c>
    </row>
    <row r="43" spans="1:5">
      <c r="A43" s="14" t="s">
        <v>181</v>
      </c>
      <c r="B43" s="2" t="s">
        <v>16</v>
      </c>
      <c r="C43" s="22">
        <v>15</v>
      </c>
    </row>
    <row r="44" spans="1:5">
      <c r="A44" s="14" t="s">
        <v>204</v>
      </c>
      <c r="B44" s="25" t="s">
        <v>16</v>
      </c>
      <c r="C44" s="22">
        <v>15</v>
      </c>
      <c r="E44" s="33"/>
    </row>
    <row r="45" spans="1:5">
      <c r="A45" s="14" t="s">
        <v>64</v>
      </c>
      <c r="B45" s="2" t="s">
        <v>16</v>
      </c>
      <c r="C45" s="22">
        <v>15</v>
      </c>
    </row>
    <row r="46" spans="1:5">
      <c r="A46" s="14" t="s">
        <v>185</v>
      </c>
      <c r="B46" s="2" t="s">
        <v>16</v>
      </c>
      <c r="C46" s="22">
        <v>15</v>
      </c>
    </row>
    <row r="47" spans="1:5">
      <c r="A47" s="14" t="s">
        <v>178</v>
      </c>
      <c r="B47" s="2" t="s">
        <v>16</v>
      </c>
      <c r="C47" s="22">
        <v>15</v>
      </c>
    </row>
    <row r="48" spans="1:5">
      <c r="A48" s="14" t="s">
        <v>164</v>
      </c>
      <c r="B48" s="25" t="s">
        <v>16</v>
      </c>
      <c r="C48" s="22">
        <v>15</v>
      </c>
    </row>
    <row r="49" spans="1:3">
      <c r="A49" s="14" t="s">
        <v>147</v>
      </c>
      <c r="B49" s="2" t="s">
        <v>16</v>
      </c>
      <c r="C49" s="22">
        <v>15</v>
      </c>
    </row>
    <row r="50" spans="1:3">
      <c r="A50" s="14" t="s">
        <v>149</v>
      </c>
      <c r="B50" s="2" t="s">
        <v>16</v>
      </c>
      <c r="C50" s="22">
        <v>15</v>
      </c>
    </row>
    <row r="51" spans="1:3">
      <c r="A51" s="14" t="s">
        <v>512</v>
      </c>
      <c r="B51" s="25" t="s">
        <v>16</v>
      </c>
      <c r="C51" s="22">
        <v>15</v>
      </c>
    </row>
    <row r="52" spans="1:3">
      <c r="A52" s="14" t="s">
        <v>203</v>
      </c>
      <c r="B52" s="2" t="s">
        <v>16</v>
      </c>
      <c r="C52" s="22">
        <v>15</v>
      </c>
    </row>
    <row r="53" spans="1:3">
      <c r="A53" s="14" t="s">
        <v>172</v>
      </c>
      <c r="B53" s="39" t="s">
        <v>16</v>
      </c>
      <c r="C53" s="22">
        <v>15</v>
      </c>
    </row>
    <row r="54" spans="1:3">
      <c r="A54" s="14" t="s">
        <v>153</v>
      </c>
      <c r="B54" s="25" t="s">
        <v>16</v>
      </c>
      <c r="C54" s="22">
        <v>15</v>
      </c>
    </row>
    <row r="55" spans="1:3">
      <c r="A55" s="14" t="s">
        <v>193</v>
      </c>
      <c r="B55" s="25" t="s">
        <v>16</v>
      </c>
      <c r="C55" s="22">
        <v>15</v>
      </c>
    </row>
    <row r="56" spans="1:3">
      <c r="A56" s="14" t="s">
        <v>182</v>
      </c>
      <c r="B56" s="25" t="s">
        <v>16</v>
      </c>
      <c r="C56" s="22">
        <v>15</v>
      </c>
    </row>
    <row r="57" spans="1:3">
      <c r="A57" s="14" t="s">
        <v>201</v>
      </c>
      <c r="B57" s="25" t="s">
        <v>16</v>
      </c>
      <c r="C57" s="22">
        <v>15</v>
      </c>
    </row>
    <row r="58" spans="1:3">
      <c r="A58" s="42" t="s">
        <v>198</v>
      </c>
      <c r="B58" s="34" t="s">
        <v>28</v>
      </c>
      <c r="C58" s="29">
        <v>14</v>
      </c>
    </row>
    <row r="59" spans="1:3">
      <c r="A59" s="42" t="s">
        <v>70</v>
      </c>
      <c r="B59" s="34" t="s">
        <v>28</v>
      </c>
      <c r="C59" s="29">
        <v>14</v>
      </c>
    </row>
    <row r="60" spans="1:3">
      <c r="A60" s="42" t="s">
        <v>199</v>
      </c>
      <c r="B60" s="34" t="s">
        <v>28</v>
      </c>
      <c r="C60" s="29">
        <v>14</v>
      </c>
    </row>
    <row r="61" spans="1:3">
      <c r="A61" s="42" t="s">
        <v>202</v>
      </c>
      <c r="B61" s="28" t="s">
        <v>28</v>
      </c>
      <c r="C61" s="29">
        <v>14</v>
      </c>
    </row>
    <row r="62" spans="1:3">
      <c r="A62" s="42" t="s">
        <v>148</v>
      </c>
      <c r="B62" s="28" t="s">
        <v>28</v>
      </c>
      <c r="C62" s="29">
        <v>14</v>
      </c>
    </row>
    <row r="63" spans="1:3">
      <c r="A63" s="42" t="s">
        <v>69</v>
      </c>
      <c r="B63" s="28" t="s">
        <v>28</v>
      </c>
      <c r="C63" s="29">
        <v>14</v>
      </c>
    </row>
    <row r="64" spans="1:3">
      <c r="A64" s="42" t="s">
        <v>168</v>
      </c>
      <c r="B64" s="28" t="s">
        <v>28</v>
      </c>
      <c r="C64" s="29">
        <v>14</v>
      </c>
    </row>
    <row r="65" spans="1:3">
      <c r="A65" s="42" t="s">
        <v>175</v>
      </c>
      <c r="B65" s="34" t="s">
        <v>28</v>
      </c>
      <c r="C65" s="29">
        <v>14</v>
      </c>
    </row>
    <row r="66" spans="1:3">
      <c r="A66" s="42" t="s">
        <v>176</v>
      </c>
      <c r="B66" s="28" t="s">
        <v>28</v>
      </c>
      <c r="C66" s="29">
        <v>14</v>
      </c>
    </row>
    <row r="67" spans="1:3">
      <c r="A67" s="42" t="s">
        <v>192</v>
      </c>
      <c r="B67" s="28" t="s">
        <v>28</v>
      </c>
      <c r="C67" s="29">
        <v>14</v>
      </c>
    </row>
    <row r="68" spans="1:3">
      <c r="A68" s="14" t="s">
        <v>161</v>
      </c>
      <c r="B68" s="25" t="s">
        <v>49</v>
      </c>
      <c r="C68" s="22">
        <v>13</v>
      </c>
    </row>
    <row r="69" spans="1:3">
      <c r="A69" s="14" t="s">
        <v>166</v>
      </c>
      <c r="B69" s="2" t="s">
        <v>49</v>
      </c>
      <c r="C69" s="22">
        <v>13</v>
      </c>
    </row>
    <row r="70" spans="1:3">
      <c r="A70" s="14" t="s">
        <v>155</v>
      </c>
      <c r="B70" s="2" t="s">
        <v>207</v>
      </c>
      <c r="C70" s="22">
        <v>13</v>
      </c>
    </row>
    <row r="71" spans="1:3">
      <c r="A71" s="14" t="s">
        <v>144</v>
      </c>
      <c r="B71" s="2" t="s">
        <v>49</v>
      </c>
      <c r="C71" s="22">
        <v>13</v>
      </c>
    </row>
    <row r="72" spans="1:3">
      <c r="A72" s="14" t="s">
        <v>146</v>
      </c>
      <c r="B72" s="2" t="s">
        <v>49</v>
      </c>
      <c r="C72" s="22">
        <v>13</v>
      </c>
    </row>
    <row r="73" spans="1:3">
      <c r="A73" s="14" t="s">
        <v>157</v>
      </c>
      <c r="B73" s="2" t="s">
        <v>49</v>
      </c>
      <c r="C73" s="22">
        <v>13</v>
      </c>
    </row>
    <row r="74" spans="1:3">
      <c r="A74" s="14" t="s">
        <v>42</v>
      </c>
      <c r="B74" s="39" t="s">
        <v>49</v>
      </c>
      <c r="C74" s="22">
        <v>13</v>
      </c>
    </row>
    <row r="75" spans="1:3">
      <c r="A75" s="42" t="s">
        <v>188</v>
      </c>
      <c r="B75" s="28" t="s">
        <v>56</v>
      </c>
      <c r="C75" s="29">
        <v>12</v>
      </c>
    </row>
    <row r="76" spans="1:3">
      <c r="A76" s="43" t="s">
        <v>186</v>
      </c>
      <c r="B76" s="28" t="s">
        <v>56</v>
      </c>
      <c r="C76" s="29">
        <v>12</v>
      </c>
    </row>
    <row r="77" spans="1:3">
      <c r="A77" s="42" t="s">
        <v>194</v>
      </c>
      <c r="B77" s="34" t="s">
        <v>61</v>
      </c>
      <c r="C77" s="29">
        <v>11</v>
      </c>
    </row>
    <row r="78" spans="1:3">
      <c r="A78" s="42" t="s">
        <v>162</v>
      </c>
      <c r="B78" s="38" t="s">
        <v>61</v>
      </c>
      <c r="C78" s="29">
        <v>11</v>
      </c>
    </row>
    <row r="79" spans="1:3">
      <c r="A79" s="42" t="s">
        <v>57</v>
      </c>
      <c r="B79" s="34" t="s">
        <v>129</v>
      </c>
      <c r="C79" s="29">
        <v>3</v>
      </c>
    </row>
    <row r="80" spans="1:3">
      <c r="A80" s="42" t="s">
        <v>180</v>
      </c>
      <c r="B80" s="38" t="s">
        <v>86</v>
      </c>
      <c r="C80" s="29">
        <v>1</v>
      </c>
    </row>
    <row r="81" spans="1:3">
      <c r="A81" s="14" t="s">
        <v>160</v>
      </c>
      <c r="B81" s="2"/>
      <c r="C81" s="22"/>
    </row>
    <row r="82" spans="1:3">
      <c r="A82" s="14" t="s">
        <v>76</v>
      </c>
      <c r="B82" s="25"/>
      <c r="C82" s="22"/>
    </row>
    <row r="83" spans="1:3">
      <c r="A83" s="44" t="s">
        <v>74</v>
      </c>
      <c r="B83" s="2"/>
      <c r="C83" s="22"/>
    </row>
    <row r="84" spans="1:3">
      <c r="A84" s="14" t="s">
        <v>169</v>
      </c>
      <c r="B84" s="2"/>
      <c r="C84" s="22"/>
    </row>
    <row r="85" spans="1:3">
      <c r="A85" s="35" t="s">
        <v>134</v>
      </c>
      <c r="B85" s="45" t="s">
        <v>16</v>
      </c>
      <c r="C85" s="46">
        <f>SUM(C9:C80)/72</f>
        <v>14.847222222222221</v>
      </c>
    </row>
    <row r="86" spans="1:3">
      <c r="A86" s="5"/>
    </row>
    <row r="87" spans="1:3">
      <c r="A87" s="2" t="s">
        <v>83</v>
      </c>
    </row>
    <row r="88" spans="1:3">
      <c r="A88" s="2" t="s">
        <v>85</v>
      </c>
    </row>
    <row r="89" spans="1:3">
      <c r="A89" s="2" t="s">
        <v>211</v>
      </c>
    </row>
    <row r="91" spans="1:3">
      <c r="A91" s="2" t="s">
        <v>213</v>
      </c>
    </row>
    <row r="92" spans="1:3">
      <c r="A92" s="33" t="s">
        <v>208</v>
      </c>
    </row>
    <row r="93" spans="1:3">
      <c r="A93" s="33" t="s">
        <v>209</v>
      </c>
    </row>
    <row r="94" spans="1:3">
      <c r="A94" s="33" t="s">
        <v>210</v>
      </c>
    </row>
    <row r="95" spans="1:3">
      <c r="A95" s="33" t="s">
        <v>212</v>
      </c>
    </row>
    <row r="96" spans="1:3">
      <c r="A96" s="33" t="s">
        <v>214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tabColor theme="0"/>
  </sheetPr>
  <dimension ref="A1:D41"/>
  <sheetViews>
    <sheetView zoomScale="90" zoomScaleNormal="90" workbookViewId="0"/>
  </sheetViews>
  <sheetFormatPr baseColWidth="10" defaultColWidth="9.1640625" defaultRowHeight="14"/>
  <cols>
    <col min="1" max="1" width="19.33203125" style="86" customWidth="1"/>
    <col min="2" max="2" width="9" style="118" customWidth="1"/>
    <col min="3" max="3" width="6.5" style="118" customWidth="1"/>
    <col min="4" max="4" width="8" style="118" customWidth="1"/>
    <col min="5" max="16384" width="9.1640625" style="86"/>
  </cols>
  <sheetData>
    <row r="1" spans="1:4" ht="19">
      <c r="A1" s="75" t="s">
        <v>244</v>
      </c>
    </row>
    <row r="4" spans="1:4">
      <c r="A4" s="122" t="s">
        <v>245</v>
      </c>
      <c r="B4" s="205" t="s">
        <v>99</v>
      </c>
      <c r="C4" s="205" t="s">
        <v>90</v>
      </c>
      <c r="D4" s="205" t="s">
        <v>100</v>
      </c>
    </row>
    <row r="5" spans="1:4">
      <c r="A5" s="123"/>
      <c r="B5" s="206" t="s">
        <v>101</v>
      </c>
      <c r="C5" s="206" t="s">
        <v>102</v>
      </c>
      <c r="D5" s="206" t="s">
        <v>102</v>
      </c>
    </row>
    <row r="6" spans="1:4">
      <c r="A6" s="123"/>
      <c r="B6" s="206"/>
      <c r="C6" s="206"/>
      <c r="D6" s="206"/>
    </row>
    <row r="7" spans="1:4">
      <c r="A7" s="124"/>
      <c r="B7" s="206" t="s">
        <v>103</v>
      </c>
      <c r="C7" s="206" t="s">
        <v>104</v>
      </c>
      <c r="D7" s="206" t="s">
        <v>104</v>
      </c>
    </row>
    <row r="8" spans="1:4">
      <c r="A8" s="117"/>
      <c r="B8" s="206" t="s">
        <v>105</v>
      </c>
      <c r="C8" s="206" t="s">
        <v>106</v>
      </c>
      <c r="D8" s="206" t="s">
        <v>106</v>
      </c>
    </row>
    <row r="9" spans="1:4">
      <c r="A9" s="117"/>
      <c r="B9" s="206" t="s">
        <v>107</v>
      </c>
      <c r="C9" s="206" t="s">
        <v>108</v>
      </c>
      <c r="D9" s="206" t="s">
        <v>108</v>
      </c>
    </row>
    <row r="10" spans="1:4">
      <c r="A10" s="124"/>
      <c r="B10" s="206"/>
      <c r="C10" s="206"/>
      <c r="D10" s="206"/>
    </row>
    <row r="11" spans="1:4">
      <c r="A11" s="124"/>
      <c r="B11" s="206" t="s">
        <v>109</v>
      </c>
      <c r="C11" s="206" t="s">
        <v>110</v>
      </c>
      <c r="D11" s="206" t="s">
        <v>110</v>
      </c>
    </row>
    <row r="12" spans="1:4">
      <c r="A12" s="124"/>
      <c r="B12" s="206" t="s">
        <v>111</v>
      </c>
      <c r="C12" s="206" t="s">
        <v>2</v>
      </c>
      <c r="D12" s="206" t="s">
        <v>2</v>
      </c>
    </row>
    <row r="13" spans="1:4">
      <c r="A13" s="124"/>
      <c r="B13" s="206" t="s">
        <v>112</v>
      </c>
      <c r="C13" s="206" t="s">
        <v>10</v>
      </c>
      <c r="D13" s="206" t="s">
        <v>10</v>
      </c>
    </row>
    <row r="14" spans="1:4">
      <c r="A14" s="124"/>
      <c r="B14" s="206"/>
      <c r="C14" s="206"/>
      <c r="D14" s="206"/>
    </row>
    <row r="15" spans="1:4">
      <c r="A15" s="124"/>
      <c r="B15" s="206" t="s">
        <v>113</v>
      </c>
      <c r="C15" s="206" t="s">
        <v>16</v>
      </c>
      <c r="D15" s="206" t="s">
        <v>16</v>
      </c>
    </row>
    <row r="16" spans="1:4">
      <c r="A16" s="124"/>
      <c r="B16" s="206" t="s">
        <v>114</v>
      </c>
      <c r="C16" s="206" t="s">
        <v>28</v>
      </c>
      <c r="D16" s="206" t="s">
        <v>28</v>
      </c>
    </row>
    <row r="17" spans="1:4">
      <c r="A17" s="124"/>
      <c r="B17" s="206" t="s">
        <v>115</v>
      </c>
      <c r="C17" s="206" t="s">
        <v>49</v>
      </c>
      <c r="D17" s="206" t="s">
        <v>49</v>
      </c>
    </row>
    <row r="18" spans="1:4">
      <c r="A18" s="124"/>
      <c r="B18" s="206"/>
      <c r="C18" s="206"/>
      <c r="D18" s="206"/>
    </row>
    <row r="19" spans="1:4">
      <c r="A19" s="122" t="s">
        <v>246</v>
      </c>
      <c r="B19" s="205" t="s">
        <v>99</v>
      </c>
      <c r="C19" s="205" t="s">
        <v>90</v>
      </c>
      <c r="D19" s="205" t="s">
        <v>100</v>
      </c>
    </row>
    <row r="20" spans="1:4">
      <c r="A20" s="125"/>
      <c r="B20" s="123"/>
      <c r="C20" s="123"/>
      <c r="D20" s="123"/>
    </row>
    <row r="21" spans="1:4">
      <c r="A21" s="124"/>
      <c r="B21" s="206" t="s">
        <v>116</v>
      </c>
      <c r="C21" s="206" t="s">
        <v>56</v>
      </c>
      <c r="D21" s="206" t="s">
        <v>56</v>
      </c>
    </row>
    <row r="22" spans="1:4">
      <c r="A22" s="124"/>
      <c r="B22" s="206" t="s">
        <v>117</v>
      </c>
      <c r="C22" s="206" t="s">
        <v>61</v>
      </c>
      <c r="D22" s="206" t="s">
        <v>61</v>
      </c>
    </row>
    <row r="23" spans="1:4">
      <c r="A23" s="124"/>
      <c r="B23" s="206" t="s">
        <v>118</v>
      </c>
      <c r="C23" s="206" t="s">
        <v>65</v>
      </c>
      <c r="D23" s="206" t="s">
        <v>65</v>
      </c>
    </row>
    <row r="24" spans="1:4">
      <c r="A24" s="124"/>
      <c r="B24" s="206"/>
      <c r="C24" s="206"/>
      <c r="D24" s="206"/>
    </row>
    <row r="25" spans="1:4">
      <c r="A25" s="123"/>
      <c r="B25" s="206" t="s">
        <v>119</v>
      </c>
      <c r="C25" s="206" t="s">
        <v>68</v>
      </c>
      <c r="D25" s="206" t="s">
        <v>68</v>
      </c>
    </row>
    <row r="26" spans="1:4">
      <c r="A26" s="124"/>
      <c r="B26" s="206" t="s">
        <v>120</v>
      </c>
      <c r="C26" s="206" t="s">
        <v>78</v>
      </c>
      <c r="D26" s="206" t="s">
        <v>78</v>
      </c>
    </row>
    <row r="27" spans="1:4">
      <c r="A27" s="124"/>
      <c r="B27" s="206" t="s">
        <v>121</v>
      </c>
      <c r="C27" s="206" t="s">
        <v>71</v>
      </c>
      <c r="D27" s="206" t="s">
        <v>71</v>
      </c>
    </row>
    <row r="28" spans="1:4">
      <c r="A28" s="124"/>
      <c r="B28" s="206"/>
      <c r="C28" s="206"/>
      <c r="D28" s="206"/>
    </row>
    <row r="29" spans="1:4">
      <c r="A29" s="124"/>
      <c r="B29" s="206" t="s">
        <v>122</v>
      </c>
      <c r="C29" s="206" t="s">
        <v>123</v>
      </c>
      <c r="D29" s="206" t="s">
        <v>123</v>
      </c>
    </row>
    <row r="30" spans="1:4">
      <c r="A30" s="124"/>
      <c r="B30" s="206" t="s">
        <v>124</v>
      </c>
      <c r="C30" s="206" t="s">
        <v>125</v>
      </c>
      <c r="D30" s="206" t="s">
        <v>125</v>
      </c>
    </row>
    <row r="31" spans="1:4">
      <c r="A31" s="124"/>
      <c r="B31" s="206" t="s">
        <v>126</v>
      </c>
      <c r="C31" s="206" t="s">
        <v>127</v>
      </c>
      <c r="D31" s="206" t="s">
        <v>127</v>
      </c>
    </row>
    <row r="32" spans="1:4">
      <c r="A32" s="124"/>
      <c r="B32" s="206"/>
      <c r="C32" s="206"/>
      <c r="D32" s="206"/>
    </row>
    <row r="33" spans="1:4">
      <c r="A33" s="124"/>
      <c r="B33" s="206" t="s">
        <v>128</v>
      </c>
      <c r="C33" s="206" t="s">
        <v>129</v>
      </c>
      <c r="D33" s="206" t="s">
        <v>129</v>
      </c>
    </row>
    <row r="34" spans="1:4">
      <c r="A34" s="124"/>
      <c r="B34" s="206"/>
      <c r="C34" s="206"/>
      <c r="D34" s="206"/>
    </row>
    <row r="35" spans="1:4">
      <c r="A35" s="124"/>
      <c r="B35" s="206" t="s">
        <v>130</v>
      </c>
      <c r="C35" s="206" t="s">
        <v>130</v>
      </c>
      <c r="D35" s="206" t="s">
        <v>130</v>
      </c>
    </row>
    <row r="36" spans="1:4">
      <c r="A36" s="124"/>
      <c r="B36" s="206"/>
      <c r="C36" s="206"/>
      <c r="D36" s="206"/>
    </row>
    <row r="37" spans="1:4">
      <c r="A37" s="122" t="s">
        <v>131</v>
      </c>
      <c r="B37" s="205" t="s">
        <v>99</v>
      </c>
      <c r="C37" s="205" t="s">
        <v>90</v>
      </c>
      <c r="D37" s="205" t="s">
        <v>100</v>
      </c>
    </row>
    <row r="38" spans="1:4">
      <c r="A38" s="123"/>
      <c r="B38" s="206" t="s">
        <v>130</v>
      </c>
      <c r="C38" s="206" t="s">
        <v>86</v>
      </c>
      <c r="D38" s="206" t="s">
        <v>86</v>
      </c>
    </row>
    <row r="39" spans="1:4">
      <c r="A39" s="85"/>
      <c r="B39" s="206"/>
      <c r="C39" s="206"/>
      <c r="D39" s="206"/>
    </row>
    <row r="41" spans="1:4">
      <c r="A41" s="85" t="s">
        <v>132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C7" sqref="C7:C4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43830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447">
        <v>1</v>
      </c>
      <c r="C7" s="448" t="s">
        <v>15</v>
      </c>
      <c r="D7" s="449" t="s">
        <v>276</v>
      </c>
      <c r="E7" s="450" t="s">
        <v>371</v>
      </c>
      <c r="F7" s="434">
        <v>0.75341066608302332</v>
      </c>
    </row>
    <row r="8" spans="1:6" s="226" customFormat="1">
      <c r="B8" s="447">
        <v>2</v>
      </c>
      <c r="C8" s="448" t="s">
        <v>17</v>
      </c>
      <c r="D8" s="449" t="s">
        <v>306</v>
      </c>
      <c r="E8" s="450" t="s">
        <v>370</v>
      </c>
      <c r="F8" s="434">
        <v>0.89382480973851397</v>
      </c>
    </row>
    <row r="9" spans="1:6" s="226" customFormat="1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0.93724659813973221</v>
      </c>
    </row>
    <row r="11" spans="1:6" s="226" customFormat="1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0.67555788005578798</v>
      </c>
    </row>
    <row r="12" spans="1:6" s="226" customFormat="1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0.98392179080292563</v>
      </c>
    </row>
    <row r="13" spans="1:6" s="226" customFormat="1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0.91729330470491532</v>
      </c>
    </row>
    <row r="14" spans="1:6" s="226" customFormat="1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0.79954287649200029</v>
      </c>
    </row>
    <row r="15" spans="1:6" s="226" customFormat="1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0.8782650817900659</v>
      </c>
    </row>
    <row r="16" spans="1:6" s="226" customFormat="1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0.83854749565247333</v>
      </c>
    </row>
    <row r="17" spans="2:6" s="226" customFormat="1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0.93715188550416539</v>
      </c>
    </row>
    <row r="20" spans="2:6" s="226" customFormat="1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0.95811902239722313</v>
      </c>
    </row>
    <row r="23" spans="2:6" s="226" customFormat="1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0.91896430580600108</v>
      </c>
    </row>
    <row r="25" spans="2:6" s="226" customFormat="1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0.62081022908215111</v>
      </c>
    </row>
    <row r="26" spans="2:6" s="226" customFormat="1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0.97522517198174985</v>
      </c>
    </row>
    <row r="27" spans="2:6" s="226" customFormat="1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0.4647919488701952</v>
      </c>
    </row>
    <row r="28" spans="2:6" s="226" customFormat="1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0.97785912517931628</v>
      </c>
    </row>
    <row r="29" spans="2:6" s="226" customFormat="1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0.55383656431637451</v>
      </c>
    </row>
    <row r="30" spans="2:6" s="226" customFormat="1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0.85890230123593436</v>
      </c>
    </row>
    <row r="31" spans="2:6" s="226" customFormat="1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0.53566542896228264</v>
      </c>
    </row>
    <row r="32" spans="2:6" s="226" customFormat="1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0.89374575238969445</v>
      </c>
    </row>
    <row r="33" spans="2:6" s="226" customFormat="1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0.91403535825403892</v>
      </c>
    </row>
    <row r="35" spans="2:6" s="226" customFormat="1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0.8495466430916675</v>
      </c>
    </row>
    <row r="36" spans="2:6" s="226" customFormat="1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0.99412724988198942</v>
      </c>
    </row>
    <row r="38" spans="2:6" s="226" customFormat="1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0.98811295971978985</v>
      </c>
    </row>
    <row r="41" spans="2:6" s="226" customFormat="1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0.69696207835742718</v>
      </c>
    </row>
    <row r="42" spans="2:6" s="226" customFormat="1">
      <c r="B42" s="447">
        <v>36</v>
      </c>
      <c r="C42" s="448" t="s">
        <v>25</v>
      </c>
      <c r="D42" s="449" t="s">
        <v>328</v>
      </c>
      <c r="E42" s="450" t="s">
        <v>371</v>
      </c>
      <c r="F42" s="434">
        <v>0.75814539639907796</v>
      </c>
    </row>
    <row r="43" spans="2:6" s="226" customFormat="1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0.86562763268744736</v>
      </c>
    </row>
    <row r="44" spans="2:6" s="226" customFormat="1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0.98672308141231391</v>
      </c>
    </row>
    <row r="45" spans="2:6" s="226" customFormat="1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0.96785287166898415</v>
      </c>
    </row>
    <row r="46" spans="2:6" s="226" customFormat="1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0.99254249046132492</v>
      </c>
    </row>
    <row r="47" spans="2:6" s="226" customFormat="1">
      <c r="B47" s="447"/>
      <c r="C47" s="448"/>
      <c r="D47" s="449"/>
      <c r="E47" s="450"/>
      <c r="F47" s="434"/>
    </row>
    <row r="48" spans="2:6" s="226" customFormat="1">
      <c r="B48" s="447"/>
      <c r="C48" s="448"/>
      <c r="D48" s="449"/>
      <c r="E48" s="450"/>
      <c r="F48" s="434"/>
    </row>
    <row r="49" spans="2:6" s="226" customFormat="1">
      <c r="B49" s="447"/>
      <c r="C49" s="448"/>
      <c r="D49" s="449"/>
      <c r="E49" s="450"/>
      <c r="F49" s="434"/>
    </row>
    <row r="50" spans="2:6" s="226" customFormat="1">
      <c r="B50" s="447"/>
      <c r="C50" s="448"/>
      <c r="D50" s="449"/>
      <c r="E50" s="450"/>
      <c r="F50" s="434"/>
    </row>
    <row r="51" spans="2:6" s="226" customFormat="1">
      <c r="B51" s="447"/>
      <c r="C51" s="448"/>
      <c r="D51" s="449"/>
      <c r="E51" s="450"/>
      <c r="F51" s="434"/>
    </row>
    <row r="52" spans="2:6" s="226" customFormat="1">
      <c r="B52" s="447"/>
      <c r="C52" s="448"/>
      <c r="D52" s="449"/>
      <c r="E52" s="450"/>
      <c r="F52" s="434"/>
    </row>
    <row r="53" spans="2:6" s="226" customFormat="1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>
      <c r="B58" s="447"/>
      <c r="C58" s="448"/>
      <c r="D58" s="449"/>
      <c r="E58" s="450"/>
      <c r="F58" s="434"/>
    </row>
    <row r="59" spans="2:6" s="226" customFormat="1">
      <c r="B59" s="447"/>
      <c r="C59" s="448"/>
      <c r="D59" s="449"/>
      <c r="E59" s="450"/>
      <c r="F59" s="434"/>
    </row>
    <row r="60" spans="2:6" s="226" customFormat="1">
      <c r="B60" s="447"/>
      <c r="C60" s="448"/>
      <c r="D60" s="449"/>
      <c r="E60" s="450"/>
      <c r="F60" s="434"/>
    </row>
    <row r="61" spans="2:6" s="226" customFormat="1">
      <c r="B61" s="447"/>
      <c r="C61" s="448"/>
      <c r="D61" s="449"/>
      <c r="E61" s="450"/>
      <c r="F61" s="434"/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/>
      <c r="C63" s="228"/>
      <c r="D63" s="229"/>
      <c r="E63" s="230"/>
      <c r="F63" s="434"/>
    </row>
    <row r="64" spans="2:6" s="226" customFormat="1">
      <c r="B64" s="227"/>
      <c r="C64" s="228"/>
      <c r="D64" s="229"/>
      <c r="E64" s="230"/>
      <c r="F64" s="434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43465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447">
        <v>1</v>
      </c>
      <c r="C7" s="448" t="s">
        <v>15</v>
      </c>
      <c r="D7" s="449" t="s">
        <v>276</v>
      </c>
      <c r="E7" s="450" t="s">
        <v>371</v>
      </c>
      <c r="F7" s="434">
        <v>0.76524685382381419</v>
      </c>
    </row>
    <row r="8" spans="1:6" s="226" customFormat="1">
      <c r="B8" s="447">
        <v>2</v>
      </c>
      <c r="C8" s="448" t="s">
        <v>17</v>
      </c>
      <c r="D8" s="449" t="s">
        <v>306</v>
      </c>
      <c r="E8" s="450" t="s">
        <v>370</v>
      </c>
      <c r="F8" s="434">
        <v>0.88621159082069223</v>
      </c>
    </row>
    <row r="9" spans="1:6" s="226" customFormat="1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0.95201648770108205</v>
      </c>
    </row>
    <row r="11" spans="1:6" s="226" customFormat="1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0.69136071128796595</v>
      </c>
    </row>
    <row r="12" spans="1:6" s="226" customFormat="1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0.99109013007351743</v>
      </c>
    </row>
    <row r="13" spans="1:6" s="226" customFormat="1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0.93619788356916167</v>
      </c>
    </row>
    <row r="14" spans="1:6" s="226" customFormat="1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0.58541883086221558</v>
      </c>
    </row>
    <row r="15" spans="1:6" s="226" customFormat="1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0.89220922173753514</v>
      </c>
    </row>
    <row r="16" spans="1:6" s="226" customFormat="1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0.8352930267062314</v>
      </c>
    </row>
    <row r="17" spans="2:6" s="226" customFormat="1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0.9443739938290423</v>
      </c>
    </row>
    <row r="20" spans="2:6" s="226" customFormat="1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0.9275423258872395</v>
      </c>
    </row>
    <row r="23" spans="2:6" s="226" customFormat="1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0.93038262132394411</v>
      </c>
    </row>
    <row r="25" spans="2:6" s="226" customFormat="1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0.61466916250229808</v>
      </c>
    </row>
    <row r="26" spans="2:6" s="226" customFormat="1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0.97581309437635722</v>
      </c>
    </row>
    <row r="27" spans="2:6" s="226" customFormat="1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0.45539375571722057</v>
      </c>
    </row>
    <row r="28" spans="2:6" s="226" customFormat="1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0.97989049867815681</v>
      </c>
    </row>
    <row r="29" spans="2:6" s="226" customFormat="1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0.57092590128089005</v>
      </c>
    </row>
    <row r="30" spans="2:6" s="226" customFormat="1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0.82291018184487918</v>
      </c>
    </row>
    <row r="31" spans="2:6" s="226" customFormat="1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0.51574704441572972</v>
      </c>
    </row>
    <row r="32" spans="2:6" s="226" customFormat="1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0.88342505962208773</v>
      </c>
    </row>
    <row r="33" spans="2:6" s="226" customFormat="1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0.90286176804421048</v>
      </c>
    </row>
    <row r="35" spans="2:6" s="226" customFormat="1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0.84215331712234287</v>
      </c>
    </row>
    <row r="36" spans="2:6" s="226" customFormat="1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0.99440229453897766</v>
      </c>
    </row>
    <row r="38" spans="2:6" s="226" customFormat="1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0.9916812609457093</v>
      </c>
    </row>
    <row r="41" spans="2:6" s="226" customFormat="1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0.68633896659753779</v>
      </c>
    </row>
    <row r="42" spans="2:6" s="226" customFormat="1">
      <c r="B42" s="447">
        <v>36</v>
      </c>
      <c r="C42" s="448" t="s">
        <v>25</v>
      </c>
      <c r="D42" s="449" t="s">
        <v>328</v>
      </c>
      <c r="E42" s="450" t="s">
        <v>370</v>
      </c>
      <c r="F42" s="434">
        <v>0.81662392724034438</v>
      </c>
    </row>
    <row r="43" spans="2:6" s="226" customFormat="1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0.86242879381425663</v>
      </c>
    </row>
    <row r="44" spans="2:6" s="226" customFormat="1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0.96148809982284522</v>
      </c>
    </row>
    <row r="45" spans="2:6" s="226" customFormat="1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0.97692960287730257</v>
      </c>
    </row>
    <row r="46" spans="2:6" s="226" customFormat="1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0.99316000000000004</v>
      </c>
    </row>
    <row r="47" spans="2:6" s="226" customFormat="1">
      <c r="B47" s="447"/>
      <c r="C47" s="448"/>
      <c r="D47" s="449"/>
      <c r="E47" s="450"/>
      <c r="F47" s="434"/>
    </row>
    <row r="48" spans="2:6" s="226" customFormat="1">
      <c r="B48" s="447"/>
      <c r="C48" s="448"/>
      <c r="D48" s="449"/>
      <c r="E48" s="450"/>
      <c r="F48" s="434"/>
    </row>
    <row r="49" spans="2:6" s="226" customFormat="1">
      <c r="B49" s="447"/>
      <c r="C49" s="448"/>
      <c r="D49" s="449"/>
      <c r="E49" s="450"/>
      <c r="F49" s="434"/>
    </row>
    <row r="50" spans="2:6" s="226" customFormat="1">
      <c r="B50" s="447"/>
      <c r="C50" s="448"/>
      <c r="D50" s="449"/>
      <c r="E50" s="450"/>
      <c r="F50" s="434"/>
    </row>
    <row r="51" spans="2:6" s="226" customFormat="1">
      <c r="B51" s="447"/>
      <c r="C51" s="448"/>
      <c r="D51" s="449"/>
      <c r="E51" s="450"/>
      <c r="F51" s="434"/>
    </row>
    <row r="52" spans="2:6" s="226" customFormat="1">
      <c r="B52" s="447"/>
      <c r="C52" s="448"/>
      <c r="D52" s="449"/>
      <c r="E52" s="450"/>
      <c r="F52" s="434"/>
    </row>
    <row r="53" spans="2:6" s="226" customFormat="1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0.9072583113322833</v>
      </c>
    </row>
    <row r="54" spans="2:6" s="226" customFormat="1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0.9662790080186926</v>
      </c>
    </row>
    <row r="55" spans="2:6" s="226" customFormat="1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0.78704617687576606</v>
      </c>
    </row>
    <row r="57" spans="2:6" s="226" customFormat="1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0.92185000000000006</v>
      </c>
    </row>
    <row r="58" spans="2:6" s="226" customFormat="1">
      <c r="B58" s="447"/>
      <c r="C58" s="448"/>
      <c r="D58" s="449"/>
      <c r="E58" s="450"/>
      <c r="F58" s="434"/>
    </row>
    <row r="59" spans="2:6" s="226" customFormat="1">
      <c r="B59" s="447"/>
      <c r="C59" s="448"/>
      <c r="D59" s="449"/>
      <c r="E59" s="450"/>
      <c r="F59" s="434"/>
    </row>
    <row r="60" spans="2:6" s="226" customFormat="1">
      <c r="B60" s="447"/>
      <c r="C60" s="448"/>
      <c r="D60" s="449"/>
      <c r="E60" s="450"/>
      <c r="F60" s="434"/>
    </row>
    <row r="61" spans="2:6" s="226" customFormat="1">
      <c r="B61" s="447"/>
      <c r="C61" s="448"/>
      <c r="D61" s="449"/>
      <c r="E61" s="450"/>
      <c r="F61" s="434"/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/>
      <c r="C63" s="228"/>
      <c r="D63" s="229"/>
      <c r="E63" s="230"/>
      <c r="F63" s="434"/>
    </row>
    <row r="64" spans="2:6" s="226" customFormat="1">
      <c r="B64" s="227"/>
      <c r="C64" s="228"/>
      <c r="D64" s="229"/>
      <c r="E64" s="230"/>
      <c r="F64" s="434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43100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447">
        <v>1</v>
      </c>
      <c r="C7" s="448" t="s">
        <v>15</v>
      </c>
      <c r="D7" s="449" t="s">
        <v>276</v>
      </c>
      <c r="E7" s="450" t="s">
        <v>371</v>
      </c>
      <c r="F7" s="434">
        <v>0.76507874015748034</v>
      </c>
    </row>
    <row r="8" spans="1:6" s="226" customFormat="1">
      <c r="B8" s="447">
        <v>2</v>
      </c>
      <c r="C8" s="448" t="s">
        <v>17</v>
      </c>
      <c r="D8" s="449" t="s">
        <v>306</v>
      </c>
      <c r="E8" s="450" t="s">
        <v>370</v>
      </c>
      <c r="F8" s="434">
        <v>0.88780501557676317</v>
      </c>
    </row>
    <row r="9" spans="1:6" s="226" customFormat="1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0.95447333579487414</v>
      </c>
    </row>
    <row r="11" spans="1:6" s="226" customFormat="1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0.67604433077578863</v>
      </c>
    </row>
    <row r="12" spans="1:6" s="226" customFormat="1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0.98945261528574735</v>
      </c>
    </row>
    <row r="13" spans="1:6" s="226" customFormat="1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0.95101880159822139</v>
      </c>
    </row>
    <row r="14" spans="1:6" s="226" customFormat="1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0.58622816961747914</v>
      </c>
    </row>
    <row r="15" spans="1:6" s="226" customFormat="1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0.91301518438177875</v>
      </c>
    </row>
    <row r="16" spans="1:6" s="226" customFormat="1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0.8738749974018416</v>
      </c>
    </row>
    <row r="17" spans="2:6" s="226" customFormat="1">
      <c r="B17" s="447">
        <v>11</v>
      </c>
      <c r="C17" s="448" t="s">
        <v>561</v>
      </c>
      <c r="D17" s="449" t="s">
        <v>86</v>
      </c>
      <c r="E17" s="450" t="s">
        <v>371</v>
      </c>
      <c r="F17" s="434">
        <v>0.71946631853785892</v>
      </c>
    </row>
    <row r="18" spans="2:6" s="226" customFormat="1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0.77694198477803778</v>
      </c>
    </row>
    <row r="19" spans="2:6" s="226" customFormat="1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0.86592369157590954</v>
      </c>
    </row>
    <row r="20" spans="2:6" s="226" customFormat="1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0.92017324799678957</v>
      </c>
    </row>
    <row r="23" spans="2:6" s="226" customFormat="1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0.89029386754425666</v>
      </c>
    </row>
    <row r="25" spans="2:6" s="226" customFormat="1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0.60194515852613539</v>
      </c>
    </row>
    <row r="26" spans="2:6" s="226" customFormat="1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0.88162907920581202</v>
      </c>
    </row>
    <row r="27" spans="2:6" s="226" customFormat="1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0.47300476006249853</v>
      </c>
    </row>
    <row r="28" spans="2:6" s="226" customFormat="1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0.99173421797216232</v>
      </c>
    </row>
    <row r="29" spans="2:6" s="226" customFormat="1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0.57966797302336071</v>
      </c>
    </row>
    <row r="30" spans="2:6" s="226" customFormat="1">
      <c r="B30" s="447">
        <v>24</v>
      </c>
      <c r="C30" s="448" t="s">
        <v>74</v>
      </c>
      <c r="D30" s="449" t="s">
        <v>309</v>
      </c>
      <c r="E30" s="450" t="s">
        <v>371</v>
      </c>
      <c r="F30" s="434">
        <v>0.7812176918491015</v>
      </c>
    </row>
    <row r="31" spans="2:6" s="226" customFormat="1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0.51360053972829589</v>
      </c>
    </row>
    <row r="32" spans="2:6" s="226" customFormat="1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0.87805146856229688</v>
      </c>
    </row>
    <row r="33" spans="2:6" s="226" customFormat="1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0.99952295893849685</v>
      </c>
    </row>
    <row r="34" spans="2:6" s="226" customFormat="1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0.88887608401279206</v>
      </c>
    </row>
    <row r="35" spans="2:6" s="226" customFormat="1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0.84330816383755158</v>
      </c>
    </row>
    <row r="36" spans="2:6" s="226" customFormat="1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0.99263585427228107</v>
      </c>
    </row>
    <row r="38" spans="2:6" s="226" customFormat="1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0.99720340413221153</v>
      </c>
    </row>
    <row r="41" spans="2:6" s="226" customFormat="1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0.66846146642944082</v>
      </c>
    </row>
    <row r="42" spans="2:6" s="226" customFormat="1">
      <c r="B42" s="447">
        <v>36</v>
      </c>
      <c r="C42" s="448" t="s">
        <v>13</v>
      </c>
      <c r="D42" s="449" t="s">
        <v>326</v>
      </c>
      <c r="E42" s="450" t="s">
        <v>370</v>
      </c>
      <c r="F42" s="434">
        <v>0.81317039329740115</v>
      </c>
    </row>
    <row r="43" spans="2:6" s="226" customFormat="1">
      <c r="B43" s="447">
        <v>37</v>
      </c>
      <c r="C43" s="448" t="s">
        <v>25</v>
      </c>
      <c r="D43" s="449" t="s">
        <v>328</v>
      </c>
      <c r="E43" s="450" t="s">
        <v>371</v>
      </c>
      <c r="F43" s="434">
        <v>0.73605438826073821</v>
      </c>
    </row>
    <row r="44" spans="2:6" s="226" customFormat="1">
      <c r="B44" s="447">
        <v>38</v>
      </c>
      <c r="C44" s="448" t="s">
        <v>7</v>
      </c>
      <c r="D44" s="449" t="s">
        <v>327</v>
      </c>
      <c r="E44" s="450" t="s">
        <v>370</v>
      </c>
      <c r="F44" s="434">
        <v>0.85753794874104772</v>
      </c>
    </row>
    <row r="45" spans="2:6" s="226" customFormat="1">
      <c r="B45" s="447">
        <v>39</v>
      </c>
      <c r="C45" s="448" t="s">
        <v>76</v>
      </c>
      <c r="D45" s="449" t="s">
        <v>333</v>
      </c>
      <c r="E45" s="450" t="s">
        <v>370</v>
      </c>
      <c r="F45" s="434">
        <v>0.95917545696110795</v>
      </c>
    </row>
    <row r="46" spans="2:6" s="226" customFormat="1">
      <c r="B46" s="447">
        <v>40</v>
      </c>
      <c r="C46" s="448" t="s">
        <v>14</v>
      </c>
      <c r="D46" s="449" t="s">
        <v>334</v>
      </c>
      <c r="E46" s="450" t="s">
        <v>370</v>
      </c>
      <c r="F46" s="434">
        <v>0.84594425656724326</v>
      </c>
    </row>
    <row r="47" spans="2:6" s="226" customFormat="1">
      <c r="B47" s="447">
        <v>41</v>
      </c>
      <c r="C47" s="448" t="s">
        <v>537</v>
      </c>
      <c r="D47" s="449" t="s">
        <v>335</v>
      </c>
      <c r="E47" s="450" t="s">
        <v>370</v>
      </c>
      <c r="F47" s="434">
        <v>0.98266884031591772</v>
      </c>
    </row>
    <row r="48" spans="2:6" s="226" customFormat="1">
      <c r="B48" s="447">
        <v>42</v>
      </c>
      <c r="C48" s="448" t="s">
        <v>257</v>
      </c>
      <c r="D48" s="449" t="s">
        <v>337</v>
      </c>
      <c r="E48" s="450" t="s">
        <v>370</v>
      </c>
      <c r="F48" s="434">
        <v>0.99316000000000004</v>
      </c>
    </row>
    <row r="49" spans="2:6" s="226" customFormat="1">
      <c r="B49" s="447"/>
      <c r="C49" s="466"/>
      <c r="D49" s="467"/>
      <c r="E49" s="468"/>
      <c r="F49" s="469"/>
    </row>
    <row r="50" spans="2:6" s="226" customFormat="1">
      <c r="B50" s="447"/>
      <c r="C50" s="470" t="s">
        <v>260</v>
      </c>
      <c r="D50" s="471" t="s">
        <v>300</v>
      </c>
      <c r="E50" s="472" t="s">
        <v>370</v>
      </c>
      <c r="F50" s="473">
        <v>0.92375922105651831</v>
      </c>
    </row>
    <row r="51" spans="2:6" s="226" customFormat="1">
      <c r="B51" s="447"/>
      <c r="C51" s="474" t="s">
        <v>59</v>
      </c>
      <c r="D51" s="475" t="s">
        <v>336</v>
      </c>
      <c r="E51" s="476" t="s">
        <v>370</v>
      </c>
      <c r="F51" s="477">
        <v>1</v>
      </c>
    </row>
    <row r="52" spans="2:6" s="226" customFormat="1">
      <c r="B52" s="447"/>
      <c r="C52" s="448"/>
      <c r="D52" s="449"/>
      <c r="E52" s="450"/>
      <c r="F52" s="434"/>
    </row>
    <row r="53" spans="2:6" s="226" customFormat="1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0.90461810065077275</v>
      </c>
    </row>
    <row r="54" spans="2:6" s="226" customFormat="1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0.82441928557485844</v>
      </c>
    </row>
    <row r="55" spans="2:6" s="226" customFormat="1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0.78762415750266057</v>
      </c>
    </row>
    <row r="57" spans="2:6" s="226" customFormat="1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0.93376000000000003</v>
      </c>
    </row>
    <row r="58" spans="2:6" s="226" customFormat="1">
      <c r="B58" s="447"/>
      <c r="C58" s="448"/>
      <c r="D58" s="449"/>
      <c r="E58" s="450"/>
      <c r="F58" s="434"/>
    </row>
    <row r="59" spans="2:6" s="226" customFormat="1">
      <c r="B59" s="447"/>
      <c r="C59" s="448"/>
      <c r="D59" s="449"/>
      <c r="E59" s="450"/>
      <c r="F59" s="434"/>
    </row>
    <row r="60" spans="2:6" s="226" customFormat="1">
      <c r="B60" s="447"/>
      <c r="C60" s="448"/>
      <c r="D60" s="449"/>
      <c r="E60" s="450"/>
      <c r="F60" s="434"/>
    </row>
    <row r="61" spans="2:6" s="226" customFormat="1">
      <c r="B61" s="447"/>
      <c r="C61" s="448"/>
      <c r="D61" s="449"/>
      <c r="E61" s="450"/>
      <c r="F61" s="434"/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/>
      <c r="C63" s="228"/>
      <c r="D63" s="229"/>
      <c r="E63" s="230"/>
      <c r="F63" s="434"/>
    </row>
    <row r="64" spans="2:6" s="226" customFormat="1">
      <c r="B64" s="227"/>
      <c r="C64" s="228"/>
      <c r="D64" s="229"/>
      <c r="E64" s="230"/>
      <c r="F64" s="434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42735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447">
        <v>1</v>
      </c>
      <c r="C7" s="448" t="s">
        <v>15</v>
      </c>
      <c r="D7" s="449" t="s">
        <v>276</v>
      </c>
      <c r="E7" s="450" t="s">
        <v>371</v>
      </c>
      <c r="F7" s="434">
        <v>0.78538235773683363</v>
      </c>
    </row>
    <row r="8" spans="1:6" s="226" customFormat="1">
      <c r="B8" s="447">
        <v>2</v>
      </c>
      <c r="C8" s="448" t="s">
        <v>17</v>
      </c>
      <c r="D8" s="449" t="s">
        <v>306</v>
      </c>
      <c r="E8" s="450" t="s">
        <v>370</v>
      </c>
      <c r="F8" s="434">
        <v>0.90711690020786906</v>
      </c>
    </row>
    <row r="9" spans="1:6" s="226" customFormat="1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0.92354851365340163</v>
      </c>
    </row>
    <row r="11" spans="1:6" s="226" customFormat="1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0.66284454949056182</v>
      </c>
    </row>
    <row r="12" spans="1:6" s="226" customFormat="1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0.98861906057812454</v>
      </c>
    </row>
    <row r="13" spans="1:6" s="226" customFormat="1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0.94660102979935035</v>
      </c>
    </row>
    <row r="14" spans="1:6" s="226" customFormat="1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0.72648700883119577</v>
      </c>
    </row>
    <row r="15" spans="1:6" s="226" customFormat="1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0.91920266395338079</v>
      </c>
    </row>
    <row r="16" spans="1:6" s="226" customFormat="1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0.87387835457465546</v>
      </c>
    </row>
    <row r="17" spans="2:6" s="226" customFormat="1">
      <c r="B17" s="447">
        <v>11</v>
      </c>
      <c r="C17" s="448" t="s">
        <v>18</v>
      </c>
      <c r="D17" s="449" t="s">
        <v>86</v>
      </c>
      <c r="E17" s="450" t="s">
        <v>371</v>
      </c>
      <c r="F17" s="434">
        <v>0.67019553072625704</v>
      </c>
    </row>
    <row r="18" spans="2:6" s="226" customFormat="1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0.78480696607471678</v>
      </c>
    </row>
    <row r="19" spans="2:6" s="226" customFormat="1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0.86616551547517728</v>
      </c>
    </row>
    <row r="20" spans="2:6" s="226" customFormat="1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>
      <c r="B22" s="447">
        <v>16</v>
      </c>
      <c r="C22" s="448" t="s">
        <v>35</v>
      </c>
      <c r="D22" s="449" t="s">
        <v>292</v>
      </c>
      <c r="E22" s="450" t="s">
        <v>370</v>
      </c>
      <c r="F22" s="434">
        <v>1</v>
      </c>
    </row>
    <row r="23" spans="2:6" s="226" customFormat="1">
      <c r="B23" s="447">
        <v>17</v>
      </c>
      <c r="C23" s="448" t="s">
        <v>36</v>
      </c>
      <c r="D23" s="449" t="s">
        <v>296</v>
      </c>
      <c r="E23" s="450" t="s">
        <v>370</v>
      </c>
      <c r="F23" s="434">
        <v>0.89531113704615117</v>
      </c>
    </row>
    <row r="24" spans="2:6" s="226" customFormat="1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0.94913456378770289</v>
      </c>
    </row>
    <row r="25" spans="2:6" s="226" customFormat="1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0.59958748172387388</v>
      </c>
    </row>
    <row r="26" spans="2:6" s="226" customFormat="1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0.84492908130156674</v>
      </c>
    </row>
    <row r="27" spans="2:6" s="226" customFormat="1">
      <c r="B27" s="447">
        <v>21</v>
      </c>
      <c r="C27" s="448" t="s">
        <v>260</v>
      </c>
      <c r="D27" s="449" t="s">
        <v>300</v>
      </c>
      <c r="E27" s="450" t="s">
        <v>370</v>
      </c>
      <c r="F27" s="434">
        <v>0.84334561532792929</v>
      </c>
    </row>
    <row r="28" spans="2:6" s="226" customFormat="1">
      <c r="B28" s="447">
        <v>22</v>
      </c>
      <c r="C28" s="448" t="s">
        <v>39</v>
      </c>
      <c r="D28" s="449" t="s">
        <v>301</v>
      </c>
      <c r="E28" s="450" t="s">
        <v>371</v>
      </c>
      <c r="F28" s="434">
        <v>0.48090017420618525</v>
      </c>
    </row>
    <row r="29" spans="2:6" s="226" customFormat="1">
      <c r="B29" s="447">
        <v>23</v>
      </c>
      <c r="C29" s="448" t="s">
        <v>20</v>
      </c>
      <c r="D29" s="449" t="s">
        <v>302</v>
      </c>
      <c r="E29" s="450" t="s">
        <v>370</v>
      </c>
      <c r="F29" s="434">
        <v>0.99154946416451661</v>
      </c>
    </row>
    <row r="30" spans="2:6" s="226" customFormat="1">
      <c r="B30" s="447">
        <v>24</v>
      </c>
      <c r="C30" s="448" t="s">
        <v>12</v>
      </c>
      <c r="D30" s="449" t="s">
        <v>308</v>
      </c>
      <c r="E30" s="450" t="s">
        <v>371</v>
      </c>
      <c r="F30" s="434">
        <v>0.55788183787105561</v>
      </c>
    </row>
    <row r="31" spans="2:6" s="226" customFormat="1">
      <c r="B31" s="447">
        <v>25</v>
      </c>
      <c r="C31" s="448" t="s">
        <v>74</v>
      </c>
      <c r="D31" s="449" t="s">
        <v>309</v>
      </c>
      <c r="E31" s="450" t="s">
        <v>371</v>
      </c>
      <c r="F31" s="434">
        <v>0.78567232629673633</v>
      </c>
    </row>
    <row r="32" spans="2:6" s="226" customFormat="1">
      <c r="B32" s="447">
        <v>26</v>
      </c>
      <c r="C32" s="448" t="s">
        <v>369</v>
      </c>
      <c r="D32" s="449" t="s">
        <v>368</v>
      </c>
      <c r="E32" s="450" t="s">
        <v>371</v>
      </c>
      <c r="F32" s="434">
        <v>0.50560599157712272</v>
      </c>
    </row>
    <row r="33" spans="2:6" s="226" customFormat="1">
      <c r="B33" s="447">
        <v>27</v>
      </c>
      <c r="C33" s="448" t="s">
        <v>40</v>
      </c>
      <c r="D33" s="449" t="s">
        <v>310</v>
      </c>
      <c r="E33" s="450" t="s">
        <v>370</v>
      </c>
      <c r="F33" s="434">
        <v>0.87362440415367082</v>
      </c>
    </row>
    <row r="34" spans="2:6" s="226" customFormat="1">
      <c r="B34" s="447">
        <v>28</v>
      </c>
      <c r="C34" s="448" t="s">
        <v>66</v>
      </c>
      <c r="D34" s="449" t="s">
        <v>314</v>
      </c>
      <c r="E34" s="450" t="s">
        <v>370</v>
      </c>
      <c r="F34" s="434">
        <v>0.99888749902033358</v>
      </c>
    </row>
    <row r="35" spans="2:6" s="226" customFormat="1">
      <c r="B35" s="447">
        <v>29</v>
      </c>
      <c r="C35" s="448" t="s">
        <v>21</v>
      </c>
      <c r="D35" s="449" t="s">
        <v>315</v>
      </c>
      <c r="E35" s="450" t="s">
        <v>370</v>
      </c>
      <c r="F35" s="434">
        <v>0.87220813714837608</v>
      </c>
    </row>
    <row r="36" spans="2:6" s="226" customFormat="1">
      <c r="B36" s="447">
        <v>30</v>
      </c>
      <c r="C36" s="448" t="s">
        <v>22</v>
      </c>
      <c r="D36" s="449" t="s">
        <v>316</v>
      </c>
      <c r="E36" s="450" t="s">
        <v>370</v>
      </c>
      <c r="F36" s="434">
        <v>0.84827636694494046</v>
      </c>
    </row>
    <row r="37" spans="2:6" s="226" customFormat="1">
      <c r="B37" s="447">
        <v>31</v>
      </c>
      <c r="C37" s="448" t="s">
        <v>53</v>
      </c>
      <c r="D37" s="449" t="s">
        <v>317</v>
      </c>
      <c r="E37" s="450" t="s">
        <v>370</v>
      </c>
      <c r="F37" s="434">
        <v>1</v>
      </c>
    </row>
    <row r="38" spans="2:6" s="226" customFormat="1">
      <c r="B38" s="447">
        <v>32</v>
      </c>
      <c r="C38" s="448" t="s">
        <v>41</v>
      </c>
      <c r="D38" s="449" t="s">
        <v>321</v>
      </c>
      <c r="E38" s="450" t="s">
        <v>370</v>
      </c>
      <c r="F38" s="434">
        <v>0.99543383874273916</v>
      </c>
    </row>
    <row r="39" spans="2:6" s="226" customFormat="1">
      <c r="B39" s="447">
        <v>33</v>
      </c>
      <c r="C39" s="448" t="s">
        <v>42</v>
      </c>
      <c r="D39" s="449" t="s">
        <v>320</v>
      </c>
      <c r="E39" s="450" t="s">
        <v>370</v>
      </c>
      <c r="F39" s="434">
        <v>1</v>
      </c>
    </row>
    <row r="40" spans="2:6" s="226" customFormat="1">
      <c r="B40" s="447">
        <v>34</v>
      </c>
      <c r="C40" s="448" t="s">
        <v>24</v>
      </c>
      <c r="D40" s="449" t="s">
        <v>323</v>
      </c>
      <c r="E40" s="450" t="s">
        <v>370</v>
      </c>
      <c r="F40" s="434">
        <v>1</v>
      </c>
    </row>
    <row r="41" spans="2:6" s="226" customFormat="1">
      <c r="B41" s="447">
        <v>35</v>
      </c>
      <c r="C41" s="448" t="s">
        <v>43</v>
      </c>
      <c r="D41" s="449" t="s">
        <v>324</v>
      </c>
      <c r="E41" s="450" t="s">
        <v>370</v>
      </c>
      <c r="F41" s="434">
        <v>0.99177870687780023</v>
      </c>
    </row>
    <row r="42" spans="2:6" s="226" customFormat="1">
      <c r="B42" s="447">
        <v>36</v>
      </c>
      <c r="C42" s="448" t="s">
        <v>45</v>
      </c>
      <c r="D42" s="449" t="s">
        <v>318</v>
      </c>
      <c r="E42" s="450" t="s">
        <v>371</v>
      </c>
      <c r="F42" s="434">
        <v>0.65605190915897182</v>
      </c>
    </row>
    <row r="43" spans="2:6" s="226" customFormat="1">
      <c r="B43" s="447">
        <v>37</v>
      </c>
      <c r="C43" s="448" t="s">
        <v>13</v>
      </c>
      <c r="D43" s="449" t="s">
        <v>326</v>
      </c>
      <c r="E43" s="450" t="s">
        <v>371</v>
      </c>
      <c r="F43" s="434">
        <v>0.79227027315977971</v>
      </c>
    </row>
    <row r="44" spans="2:6" s="226" customFormat="1">
      <c r="B44" s="447">
        <v>38</v>
      </c>
      <c r="C44" s="448" t="s">
        <v>25</v>
      </c>
      <c r="D44" s="449" t="s">
        <v>328</v>
      </c>
      <c r="E44" s="450" t="s">
        <v>371</v>
      </c>
      <c r="F44" s="434">
        <v>0.74659484696320211</v>
      </c>
    </row>
    <row r="45" spans="2:6" s="226" customFormat="1">
      <c r="B45" s="447">
        <v>39</v>
      </c>
      <c r="C45" s="448" t="s">
        <v>7</v>
      </c>
      <c r="D45" s="449" t="s">
        <v>327</v>
      </c>
      <c r="E45" s="450" t="s">
        <v>370</v>
      </c>
      <c r="F45" s="434">
        <v>0.85685114451625843</v>
      </c>
    </row>
    <row r="46" spans="2:6" s="226" customFormat="1">
      <c r="B46" s="447">
        <v>40</v>
      </c>
      <c r="C46" s="448" t="s">
        <v>76</v>
      </c>
      <c r="D46" s="449" t="s">
        <v>333</v>
      </c>
      <c r="E46" s="450" t="s">
        <v>370</v>
      </c>
      <c r="F46" s="434">
        <v>0.96286119482361276</v>
      </c>
    </row>
    <row r="47" spans="2:6" s="226" customFormat="1">
      <c r="B47" s="447">
        <v>41</v>
      </c>
      <c r="C47" s="448" t="s">
        <v>14</v>
      </c>
      <c r="D47" s="449" t="s">
        <v>334</v>
      </c>
      <c r="E47" s="450" t="s">
        <v>370</v>
      </c>
      <c r="F47" s="434">
        <v>0.84117434102780686</v>
      </c>
    </row>
    <row r="48" spans="2:6" s="226" customFormat="1">
      <c r="B48" s="447">
        <v>42</v>
      </c>
      <c r="C48" s="448" t="s">
        <v>537</v>
      </c>
      <c r="D48" s="449" t="s">
        <v>335</v>
      </c>
      <c r="E48" s="450" t="s">
        <v>370</v>
      </c>
      <c r="F48" s="434">
        <v>0.99316473681414996</v>
      </c>
    </row>
    <row r="49" spans="2:6" s="226" customFormat="1">
      <c r="B49" s="447">
        <v>43</v>
      </c>
      <c r="C49" s="448" t="s">
        <v>59</v>
      </c>
      <c r="D49" s="449" t="s">
        <v>336</v>
      </c>
      <c r="E49" s="450" t="s">
        <v>370</v>
      </c>
      <c r="F49" s="434">
        <v>1</v>
      </c>
    </row>
    <row r="50" spans="2:6" s="226" customFormat="1">
      <c r="B50" s="447">
        <v>44</v>
      </c>
      <c r="C50" s="448" t="s">
        <v>257</v>
      </c>
      <c r="D50" s="449" t="s">
        <v>337</v>
      </c>
      <c r="E50" s="450" t="s">
        <v>370</v>
      </c>
      <c r="F50" s="434">
        <v>0.99317999999999995</v>
      </c>
    </row>
    <row r="51" spans="2:6" s="226" customFormat="1">
      <c r="B51" s="447"/>
      <c r="C51" s="448"/>
      <c r="D51" s="449"/>
      <c r="E51" s="450"/>
      <c r="F51" s="434"/>
    </row>
    <row r="52" spans="2:6" s="226" customFormat="1">
      <c r="B52" s="447"/>
      <c r="C52" s="448"/>
      <c r="D52" s="449"/>
      <c r="E52" s="450"/>
      <c r="F52" s="434"/>
    </row>
    <row r="53" spans="2:6" s="226" customFormat="1">
      <c r="B53" s="447"/>
      <c r="C53" s="448"/>
      <c r="D53" s="449"/>
      <c r="E53" s="450"/>
      <c r="F53" s="434"/>
    </row>
    <row r="54" spans="2:6" s="226" customFormat="1">
      <c r="B54" s="447">
        <v>1</v>
      </c>
      <c r="C54" s="448" t="s">
        <v>551</v>
      </c>
      <c r="D54" s="449" t="s">
        <v>540</v>
      </c>
      <c r="E54" s="450" t="s">
        <v>370</v>
      </c>
      <c r="F54" s="434">
        <v>0.90779036389525458</v>
      </c>
    </row>
    <row r="55" spans="2:6" s="226" customFormat="1">
      <c r="B55" s="447">
        <v>2</v>
      </c>
      <c r="C55" s="448" t="s">
        <v>520</v>
      </c>
      <c r="D55" s="449" t="s">
        <v>442</v>
      </c>
      <c r="E55" s="450" t="s">
        <v>371</v>
      </c>
      <c r="F55" s="434">
        <v>0.70705191798941791</v>
      </c>
    </row>
    <row r="56" spans="2:6" s="226" customFormat="1">
      <c r="B56" s="447">
        <v>3</v>
      </c>
      <c r="C56" s="448" t="s">
        <v>521</v>
      </c>
      <c r="D56" s="449" t="s">
        <v>444</v>
      </c>
      <c r="E56" s="450" t="s">
        <v>370</v>
      </c>
      <c r="F56" s="434">
        <v>1</v>
      </c>
    </row>
    <row r="57" spans="2:6" s="226" customFormat="1">
      <c r="B57" s="447">
        <v>4</v>
      </c>
      <c r="C57" s="448" t="s">
        <v>522</v>
      </c>
      <c r="D57" s="449" t="s">
        <v>445</v>
      </c>
      <c r="E57" s="450" t="s">
        <v>370</v>
      </c>
      <c r="F57" s="434">
        <v>1</v>
      </c>
    </row>
    <row r="58" spans="2:6" s="226" customFormat="1">
      <c r="B58" s="447">
        <v>5</v>
      </c>
      <c r="C58" s="448" t="s">
        <v>523</v>
      </c>
      <c r="D58" s="449" t="s">
        <v>446</v>
      </c>
      <c r="E58" s="450" t="s">
        <v>370</v>
      </c>
      <c r="F58" s="434">
        <v>0.81182116104868918</v>
      </c>
    </row>
    <row r="59" spans="2:6" s="226" customFormat="1">
      <c r="B59" s="447">
        <v>6</v>
      </c>
      <c r="C59" s="448" t="s">
        <v>524</v>
      </c>
      <c r="D59" s="449" t="s">
        <v>448</v>
      </c>
      <c r="E59" s="450" t="s">
        <v>370</v>
      </c>
      <c r="F59" s="434">
        <v>0.94743999999999995</v>
      </c>
    </row>
    <row r="60" spans="2:6" s="226" customFormat="1">
      <c r="B60" s="447"/>
      <c r="C60" s="448"/>
      <c r="D60" s="449"/>
      <c r="E60" s="450"/>
      <c r="F60" s="434"/>
    </row>
    <row r="61" spans="2:6" s="226" customFormat="1">
      <c r="B61" s="447"/>
      <c r="C61" s="448"/>
      <c r="D61" s="449"/>
      <c r="E61" s="450"/>
      <c r="F61" s="434"/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/>
      <c r="C63" s="228"/>
      <c r="D63" s="229"/>
      <c r="E63" s="230"/>
      <c r="F63" s="434"/>
    </row>
    <row r="64" spans="2:6" s="226" customFormat="1">
      <c r="B64" s="227"/>
      <c r="C64" s="228"/>
      <c r="D64" s="229"/>
      <c r="E64" s="230"/>
      <c r="F64" s="434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42369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447">
        <f t="shared" ref="B7:B61" ca="1" si="0">OFFSET( B7, -1, 0 ) + 1</f>
        <v>1</v>
      </c>
      <c r="C7" s="448" t="s">
        <v>15</v>
      </c>
      <c r="D7" s="449" t="s">
        <v>276</v>
      </c>
      <c r="E7" s="450" t="s">
        <v>371</v>
      </c>
      <c r="F7" s="434">
        <v>0.78714515701738286</v>
      </c>
    </row>
    <row r="8" spans="1:6" s="226" customFormat="1">
      <c r="B8" s="447">
        <f t="shared" ca="1" si="0"/>
        <v>2</v>
      </c>
      <c r="C8" s="448" t="s">
        <v>17</v>
      </c>
      <c r="D8" s="449" t="s">
        <v>306</v>
      </c>
      <c r="E8" s="450" t="s">
        <v>370</v>
      </c>
      <c r="F8" s="434">
        <v>0.89239067802035976</v>
      </c>
    </row>
    <row r="9" spans="1:6" s="226" customFormat="1">
      <c r="B9" s="447">
        <f t="shared" ca="1" si="0"/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>
      <c r="B10" s="447">
        <f t="shared" ca="1" si="0"/>
        <v>4</v>
      </c>
      <c r="C10" s="448" t="s">
        <v>258</v>
      </c>
      <c r="D10" s="449" t="s">
        <v>274</v>
      </c>
      <c r="E10" s="450" t="s">
        <v>370</v>
      </c>
      <c r="F10" s="434">
        <v>0.89886208702221515</v>
      </c>
    </row>
    <row r="11" spans="1:6" s="226" customFormat="1">
      <c r="B11" s="447">
        <f t="shared" ca="1" si="0"/>
        <v>5</v>
      </c>
      <c r="C11" s="448" t="s">
        <v>531</v>
      </c>
      <c r="D11" s="449" t="s">
        <v>529</v>
      </c>
      <c r="E11" s="450" t="s">
        <v>371</v>
      </c>
      <c r="F11" s="434">
        <v>0.55099999999999993</v>
      </c>
    </row>
    <row r="12" spans="1:6" s="226" customFormat="1">
      <c r="B12" s="447">
        <f t="shared" ca="1" si="0"/>
        <v>6</v>
      </c>
      <c r="C12" s="448" t="s">
        <v>55</v>
      </c>
      <c r="D12" s="449" t="s">
        <v>277</v>
      </c>
      <c r="E12" s="450" t="s">
        <v>370</v>
      </c>
      <c r="F12" s="434">
        <v>0.99200961796941245</v>
      </c>
    </row>
    <row r="13" spans="1:6" s="226" customFormat="1">
      <c r="B13" s="447">
        <f t="shared" ca="1" si="0"/>
        <v>7</v>
      </c>
      <c r="C13" s="448" t="s">
        <v>48</v>
      </c>
      <c r="D13" s="449" t="s">
        <v>279</v>
      </c>
      <c r="E13" s="450" t="s">
        <v>370</v>
      </c>
      <c r="F13" s="434">
        <v>0.80003806249853648</v>
      </c>
    </row>
    <row r="14" spans="1:6" s="226" customFormat="1">
      <c r="B14" s="447">
        <f t="shared" ca="1" si="0"/>
        <v>8</v>
      </c>
      <c r="C14" s="448" t="s">
        <v>29</v>
      </c>
      <c r="D14" s="449" t="s">
        <v>285</v>
      </c>
      <c r="E14" s="450" t="s">
        <v>371</v>
      </c>
      <c r="F14" s="434">
        <v>0.74153804494990516</v>
      </c>
    </row>
    <row r="15" spans="1:6" s="226" customFormat="1">
      <c r="B15" s="447">
        <f t="shared" ca="1" si="0"/>
        <v>9</v>
      </c>
      <c r="C15" s="448" t="s">
        <v>30</v>
      </c>
      <c r="D15" s="449" t="s">
        <v>284</v>
      </c>
      <c r="E15" s="450" t="s">
        <v>370</v>
      </c>
      <c r="F15" s="434">
        <v>0.9791788967546956</v>
      </c>
    </row>
    <row r="16" spans="1:6" s="226" customFormat="1">
      <c r="B16" s="447">
        <f t="shared" ca="1" si="0"/>
        <v>10</v>
      </c>
      <c r="C16" s="448" t="s">
        <v>60</v>
      </c>
      <c r="D16" s="449" t="s">
        <v>283</v>
      </c>
      <c r="E16" s="450" t="s">
        <v>370</v>
      </c>
      <c r="F16" s="434">
        <v>0.91415929203539825</v>
      </c>
    </row>
    <row r="17" spans="2:6" s="226" customFormat="1">
      <c r="B17" s="447">
        <f t="shared" ca="1" si="0"/>
        <v>11</v>
      </c>
      <c r="C17" s="448" t="s">
        <v>3</v>
      </c>
      <c r="D17" s="449" t="s">
        <v>291</v>
      </c>
      <c r="E17" s="450" t="s">
        <v>370</v>
      </c>
      <c r="F17" s="434">
        <v>0.88287103983173398</v>
      </c>
    </row>
    <row r="18" spans="2:6" s="226" customFormat="1">
      <c r="B18" s="447">
        <f t="shared" ca="1" si="0"/>
        <v>12</v>
      </c>
      <c r="C18" s="448" t="s">
        <v>18</v>
      </c>
      <c r="D18" s="449" t="s">
        <v>86</v>
      </c>
      <c r="E18" s="450" t="s">
        <v>371</v>
      </c>
      <c r="F18" s="434">
        <v>0.6468401360544217</v>
      </c>
    </row>
    <row r="19" spans="2:6" s="226" customFormat="1">
      <c r="B19" s="447">
        <f t="shared" ca="1" si="0"/>
        <v>13</v>
      </c>
      <c r="C19" s="448" t="s">
        <v>31</v>
      </c>
      <c r="D19" s="449" t="s">
        <v>288</v>
      </c>
      <c r="E19" s="450" t="s">
        <v>370</v>
      </c>
      <c r="F19" s="434">
        <v>0.82952291470925987</v>
      </c>
    </row>
    <row r="20" spans="2:6" s="226" customFormat="1">
      <c r="B20" s="447">
        <f t="shared" ca="1" si="0"/>
        <v>14</v>
      </c>
      <c r="C20" s="448" t="s">
        <v>32</v>
      </c>
      <c r="D20" s="449" t="s">
        <v>289</v>
      </c>
      <c r="E20" s="450" t="s">
        <v>370</v>
      </c>
      <c r="F20" s="434">
        <v>0.92081283634322686</v>
      </c>
    </row>
    <row r="21" spans="2:6" s="226" customFormat="1">
      <c r="B21" s="447">
        <f t="shared" ca="1" si="0"/>
        <v>15</v>
      </c>
      <c r="C21" s="448" t="s">
        <v>57</v>
      </c>
      <c r="D21" s="449" t="s">
        <v>295</v>
      </c>
      <c r="E21" s="450" t="s">
        <v>370</v>
      </c>
      <c r="F21" s="434">
        <v>1</v>
      </c>
    </row>
    <row r="22" spans="2:6" s="226" customFormat="1">
      <c r="B22" s="447">
        <f t="shared" ca="1" si="0"/>
        <v>16</v>
      </c>
      <c r="C22" s="448" t="s">
        <v>34</v>
      </c>
      <c r="D22" s="449" t="s">
        <v>293</v>
      </c>
      <c r="E22" s="450" t="s">
        <v>370</v>
      </c>
      <c r="F22" s="434">
        <v>1</v>
      </c>
    </row>
    <row r="23" spans="2:6" s="226" customFormat="1">
      <c r="B23" s="447">
        <f t="shared" ca="1" si="0"/>
        <v>17</v>
      </c>
      <c r="C23" s="448" t="s">
        <v>35</v>
      </c>
      <c r="D23" s="449" t="s">
        <v>292</v>
      </c>
      <c r="E23" s="450" t="s">
        <v>370</v>
      </c>
      <c r="F23" s="434">
        <v>1.0050576242524851</v>
      </c>
    </row>
    <row r="24" spans="2:6" s="226" customFormat="1">
      <c r="B24" s="447">
        <f t="shared" ca="1" si="0"/>
        <v>18</v>
      </c>
      <c r="C24" s="448" t="s">
        <v>36</v>
      </c>
      <c r="D24" s="449" t="s">
        <v>296</v>
      </c>
      <c r="E24" s="450" t="s">
        <v>370</v>
      </c>
      <c r="F24" s="434">
        <v>0.85910186466347471</v>
      </c>
    </row>
    <row r="25" spans="2:6" s="226" customFormat="1">
      <c r="B25" s="447">
        <f t="shared" ca="1" si="0"/>
        <v>19</v>
      </c>
      <c r="C25" s="448" t="s">
        <v>515</v>
      </c>
      <c r="D25" s="449" t="s">
        <v>511</v>
      </c>
      <c r="E25" s="450" t="s">
        <v>370</v>
      </c>
      <c r="F25" s="434">
        <v>0.95175979306939418</v>
      </c>
    </row>
    <row r="26" spans="2:6" s="226" customFormat="1">
      <c r="B26" s="447">
        <f t="shared" ca="1" si="0"/>
        <v>20</v>
      </c>
      <c r="C26" s="448" t="s">
        <v>11</v>
      </c>
      <c r="D26" s="449" t="s">
        <v>297</v>
      </c>
      <c r="E26" s="450" t="s">
        <v>86</v>
      </c>
      <c r="F26" s="434">
        <v>0.47381112136207332</v>
      </c>
    </row>
    <row r="27" spans="2:6" s="226" customFormat="1">
      <c r="B27" s="447">
        <f t="shared" ca="1" si="0"/>
        <v>21</v>
      </c>
      <c r="C27" s="448" t="s">
        <v>51</v>
      </c>
      <c r="D27" s="449" t="s">
        <v>298</v>
      </c>
      <c r="E27" s="450" t="s">
        <v>371</v>
      </c>
      <c r="F27" s="434">
        <v>0.67670109414221935</v>
      </c>
    </row>
    <row r="28" spans="2:6" s="226" customFormat="1">
      <c r="B28" s="447">
        <f t="shared" ca="1" si="0"/>
        <v>22</v>
      </c>
      <c r="C28" s="448" t="s">
        <v>260</v>
      </c>
      <c r="D28" s="449" t="s">
        <v>300</v>
      </c>
      <c r="E28" s="450" t="s">
        <v>370</v>
      </c>
      <c r="F28" s="434">
        <v>1.0285791443949863</v>
      </c>
    </row>
    <row r="29" spans="2:6" s="226" customFormat="1">
      <c r="B29" s="447">
        <f t="shared" ca="1" si="0"/>
        <v>23</v>
      </c>
      <c r="C29" s="448" t="s">
        <v>39</v>
      </c>
      <c r="D29" s="449" t="s">
        <v>301</v>
      </c>
      <c r="E29" s="450" t="s">
        <v>86</v>
      </c>
      <c r="F29" s="434">
        <v>0.48176077819232183</v>
      </c>
    </row>
    <row r="30" spans="2:6" s="226" customFormat="1">
      <c r="B30" s="447">
        <f t="shared" ca="1" si="0"/>
        <v>24</v>
      </c>
      <c r="C30" s="448" t="s">
        <v>20</v>
      </c>
      <c r="D30" s="449" t="s">
        <v>302</v>
      </c>
      <c r="E30" s="450" t="s">
        <v>370</v>
      </c>
      <c r="F30" s="434">
        <v>0.99095531131201209</v>
      </c>
    </row>
    <row r="31" spans="2:6" s="226" customFormat="1">
      <c r="B31" s="447">
        <f t="shared" ca="1" si="0"/>
        <v>25</v>
      </c>
      <c r="C31" s="448" t="s">
        <v>12</v>
      </c>
      <c r="D31" s="449" t="s">
        <v>308</v>
      </c>
      <c r="E31" s="450" t="s">
        <v>371</v>
      </c>
      <c r="F31" s="434">
        <v>0.50850668898945151</v>
      </c>
    </row>
    <row r="32" spans="2:6" s="226" customFormat="1">
      <c r="B32" s="447">
        <f t="shared" ca="1" si="0"/>
        <v>26</v>
      </c>
      <c r="C32" s="448" t="s">
        <v>74</v>
      </c>
      <c r="D32" s="449" t="s">
        <v>309</v>
      </c>
      <c r="E32" s="450" t="s">
        <v>371</v>
      </c>
      <c r="F32" s="434">
        <v>0.77746229357018903</v>
      </c>
    </row>
    <row r="33" spans="2:6" s="226" customFormat="1">
      <c r="B33" s="447">
        <f t="shared" ca="1" si="0"/>
        <v>27</v>
      </c>
      <c r="C33" s="448" t="s">
        <v>369</v>
      </c>
      <c r="D33" s="449" t="s">
        <v>368</v>
      </c>
      <c r="E33" s="450" t="s">
        <v>371</v>
      </c>
      <c r="F33" s="434">
        <v>0.51556153687605333</v>
      </c>
    </row>
    <row r="34" spans="2:6" s="226" customFormat="1">
      <c r="B34" s="447">
        <f t="shared" ca="1" si="0"/>
        <v>28</v>
      </c>
      <c r="C34" s="448" t="s">
        <v>40</v>
      </c>
      <c r="D34" s="449" t="s">
        <v>310</v>
      </c>
      <c r="E34" s="450" t="s">
        <v>370</v>
      </c>
      <c r="F34" s="434">
        <v>0.87807917679005287</v>
      </c>
    </row>
    <row r="35" spans="2:6" s="226" customFormat="1">
      <c r="B35" s="447">
        <f t="shared" ca="1" si="0"/>
        <v>29</v>
      </c>
      <c r="C35" s="448" t="s">
        <v>66</v>
      </c>
      <c r="D35" s="449" t="s">
        <v>314</v>
      </c>
      <c r="E35" s="450" t="s">
        <v>370</v>
      </c>
      <c r="F35" s="434">
        <v>0.99859509267538604</v>
      </c>
    </row>
    <row r="36" spans="2:6" s="226" customFormat="1">
      <c r="B36" s="447">
        <f t="shared" ca="1" si="0"/>
        <v>30</v>
      </c>
      <c r="C36" s="448" t="s">
        <v>21</v>
      </c>
      <c r="D36" s="449" t="s">
        <v>315</v>
      </c>
      <c r="E36" s="450" t="s">
        <v>370</v>
      </c>
      <c r="F36" s="434">
        <v>0.89001187821701711</v>
      </c>
    </row>
    <row r="37" spans="2:6" s="226" customFormat="1">
      <c r="B37" s="447">
        <f t="shared" ca="1" si="0"/>
        <v>31</v>
      </c>
      <c r="C37" s="448" t="s">
        <v>22</v>
      </c>
      <c r="D37" s="449" t="s">
        <v>316</v>
      </c>
      <c r="E37" s="450" t="s">
        <v>370</v>
      </c>
      <c r="F37" s="434">
        <v>0.83639005680694867</v>
      </c>
    </row>
    <row r="38" spans="2:6" s="226" customFormat="1">
      <c r="B38" s="447">
        <f t="shared" ca="1" si="0"/>
        <v>32</v>
      </c>
      <c r="C38" s="448" t="s">
        <v>53</v>
      </c>
      <c r="D38" s="449" t="s">
        <v>317</v>
      </c>
      <c r="E38" s="450" t="s">
        <v>370</v>
      </c>
      <c r="F38" s="434">
        <v>1</v>
      </c>
    </row>
    <row r="39" spans="2:6" s="226" customFormat="1">
      <c r="B39" s="447">
        <f t="shared" ca="1" si="0"/>
        <v>33</v>
      </c>
      <c r="C39" s="448" t="s">
        <v>41</v>
      </c>
      <c r="D39" s="449" t="s">
        <v>321</v>
      </c>
      <c r="E39" s="450" t="s">
        <v>370</v>
      </c>
      <c r="F39" s="434">
        <v>0.99693404252176143</v>
      </c>
    </row>
    <row r="40" spans="2:6" s="226" customFormat="1">
      <c r="B40" s="447">
        <f t="shared" ca="1" si="0"/>
        <v>34</v>
      </c>
      <c r="C40" s="448" t="s">
        <v>42</v>
      </c>
      <c r="D40" s="449" t="s">
        <v>320</v>
      </c>
      <c r="E40" s="450" t="s">
        <v>370</v>
      </c>
      <c r="F40" s="434">
        <v>1</v>
      </c>
    </row>
    <row r="41" spans="2:6" s="226" customFormat="1">
      <c r="B41" s="447">
        <f t="shared" ca="1" si="0"/>
        <v>35</v>
      </c>
      <c r="C41" s="448" t="s">
        <v>24</v>
      </c>
      <c r="D41" s="449" t="s">
        <v>323</v>
      </c>
      <c r="E41" s="450" t="s">
        <v>370</v>
      </c>
      <c r="F41" s="434">
        <v>1</v>
      </c>
    </row>
    <row r="42" spans="2:6" s="226" customFormat="1">
      <c r="B42" s="447">
        <f t="shared" ca="1" si="0"/>
        <v>36</v>
      </c>
      <c r="C42" s="448" t="s">
        <v>43</v>
      </c>
      <c r="D42" s="449" t="s">
        <v>324</v>
      </c>
      <c r="E42" s="450" t="s">
        <v>370</v>
      </c>
      <c r="F42" s="434">
        <v>0.99071270451133564</v>
      </c>
    </row>
    <row r="43" spans="2:6" s="226" customFormat="1">
      <c r="B43" s="447">
        <f t="shared" ca="1" si="0"/>
        <v>37</v>
      </c>
      <c r="C43" s="448" t="s">
        <v>45</v>
      </c>
      <c r="D43" s="449" t="s">
        <v>318</v>
      </c>
      <c r="E43" s="450" t="s">
        <v>371</v>
      </c>
      <c r="F43" s="434">
        <v>0.63079792193952311</v>
      </c>
    </row>
    <row r="44" spans="2:6" s="226" customFormat="1">
      <c r="B44" s="447">
        <f t="shared" ca="1" si="0"/>
        <v>38</v>
      </c>
      <c r="C44" s="448" t="s">
        <v>13</v>
      </c>
      <c r="D44" s="449" t="s">
        <v>326</v>
      </c>
      <c r="E44" s="450" t="s">
        <v>371</v>
      </c>
      <c r="F44" s="434">
        <v>0.7867141024145573</v>
      </c>
    </row>
    <row r="45" spans="2:6" s="226" customFormat="1">
      <c r="B45" s="447">
        <f t="shared" ca="1" si="0"/>
        <v>39</v>
      </c>
      <c r="C45" s="448" t="s">
        <v>25</v>
      </c>
      <c r="D45" s="449" t="s">
        <v>328</v>
      </c>
      <c r="E45" s="450" t="s">
        <v>371</v>
      </c>
      <c r="F45" s="434">
        <v>0.78586206561360905</v>
      </c>
    </row>
    <row r="46" spans="2:6" s="226" customFormat="1">
      <c r="B46" s="447">
        <f t="shared" ca="1" si="0"/>
        <v>40</v>
      </c>
      <c r="C46" s="448" t="s">
        <v>7</v>
      </c>
      <c r="D46" s="449" t="s">
        <v>327</v>
      </c>
      <c r="E46" s="450" t="s">
        <v>370</v>
      </c>
      <c r="F46" s="434">
        <v>0.88168747925125768</v>
      </c>
    </row>
    <row r="47" spans="2:6" s="226" customFormat="1">
      <c r="B47" s="447">
        <f t="shared" ca="1" si="0"/>
        <v>41</v>
      </c>
      <c r="C47" s="448" t="s">
        <v>62</v>
      </c>
      <c r="D47" s="449" t="s">
        <v>329</v>
      </c>
      <c r="E47" s="450" t="s">
        <v>370</v>
      </c>
      <c r="F47" s="434">
        <v>1.0477954715380926</v>
      </c>
    </row>
    <row r="48" spans="2:6" s="226" customFormat="1">
      <c r="B48" s="447">
        <f t="shared" ca="1" si="0"/>
        <v>42</v>
      </c>
      <c r="C48" s="448" t="s">
        <v>76</v>
      </c>
      <c r="D48" s="449" t="s">
        <v>333</v>
      </c>
      <c r="E48" s="450" t="s">
        <v>370</v>
      </c>
      <c r="F48" s="434">
        <v>0.96855886850152895</v>
      </c>
    </row>
    <row r="49" spans="2:6" s="226" customFormat="1">
      <c r="B49" s="447">
        <f t="shared" ca="1" si="0"/>
        <v>43</v>
      </c>
      <c r="C49" s="448" t="s">
        <v>14</v>
      </c>
      <c r="D49" s="449" t="s">
        <v>334</v>
      </c>
      <c r="E49" s="450" t="s">
        <v>370</v>
      </c>
      <c r="F49" s="434">
        <v>0.82990443446274409</v>
      </c>
    </row>
    <row r="50" spans="2:6" s="226" customFormat="1">
      <c r="B50" s="447">
        <f t="shared" ca="1" si="0"/>
        <v>44</v>
      </c>
      <c r="C50" s="448" t="s">
        <v>537</v>
      </c>
      <c r="D50" s="449" t="s">
        <v>335</v>
      </c>
      <c r="E50" s="450" t="s">
        <v>370</v>
      </c>
      <c r="F50" s="434">
        <v>1</v>
      </c>
    </row>
    <row r="51" spans="2:6" s="226" customFormat="1">
      <c r="B51" s="447">
        <f t="shared" ca="1" si="0"/>
        <v>45</v>
      </c>
      <c r="C51" s="448" t="s">
        <v>59</v>
      </c>
      <c r="D51" s="449" t="s">
        <v>336</v>
      </c>
      <c r="E51" s="450" t="s">
        <v>370</v>
      </c>
      <c r="F51" s="434">
        <v>0.98699999999999999</v>
      </c>
    </row>
    <row r="52" spans="2:6" s="226" customFormat="1">
      <c r="B52" s="447">
        <f t="shared" ca="1" si="0"/>
        <v>46</v>
      </c>
      <c r="C52" s="448" t="s">
        <v>257</v>
      </c>
      <c r="D52" s="449" t="s">
        <v>337</v>
      </c>
      <c r="E52" s="450" t="s">
        <v>370</v>
      </c>
      <c r="F52" s="434">
        <v>1.0439999999999998</v>
      </c>
    </row>
    <row r="53" spans="2:6" s="226" customFormat="1">
      <c r="B53" s="447"/>
      <c r="C53" s="448"/>
      <c r="D53" s="449"/>
      <c r="E53" s="450"/>
      <c r="F53" s="434"/>
    </row>
    <row r="54" spans="2:6" s="226" customFormat="1">
      <c r="B54" s="447"/>
      <c r="C54" s="448"/>
      <c r="D54" s="449"/>
      <c r="E54" s="450"/>
      <c r="F54" s="434"/>
    </row>
    <row r="55" spans="2:6" s="226" customFormat="1">
      <c r="B55" s="447"/>
      <c r="C55" s="448"/>
      <c r="D55" s="449"/>
      <c r="E55" s="450"/>
      <c r="F55" s="434"/>
    </row>
    <row r="56" spans="2:6" s="226" customFormat="1">
      <c r="B56" s="447"/>
      <c r="C56" s="448"/>
      <c r="D56" s="449"/>
      <c r="E56" s="450"/>
      <c r="F56" s="434"/>
    </row>
    <row r="57" spans="2:6" s="226" customFormat="1">
      <c r="B57" s="447">
        <f t="shared" ca="1" si="0"/>
        <v>1</v>
      </c>
      <c r="C57" s="448" t="s">
        <v>520</v>
      </c>
      <c r="D57" s="449" t="s">
        <v>442</v>
      </c>
      <c r="E57" s="450" t="s">
        <v>371</v>
      </c>
      <c r="F57" s="434">
        <v>1.0074832375478926</v>
      </c>
    </row>
    <row r="58" spans="2:6" s="226" customFormat="1">
      <c r="B58" s="447">
        <f t="shared" ca="1" si="0"/>
        <v>2</v>
      </c>
      <c r="C58" s="448" t="s">
        <v>521</v>
      </c>
      <c r="D58" s="449" t="s">
        <v>444</v>
      </c>
      <c r="E58" s="450" t="s">
        <v>370</v>
      </c>
      <c r="F58" s="434">
        <v>0.25970852978997</v>
      </c>
    </row>
    <row r="59" spans="2:6" s="226" customFormat="1">
      <c r="B59" s="447">
        <f t="shared" ca="1" si="0"/>
        <v>3</v>
      </c>
      <c r="C59" s="448" t="s">
        <v>522</v>
      </c>
      <c r="D59" s="449" t="s">
        <v>445</v>
      </c>
      <c r="E59" s="450" t="s">
        <v>370</v>
      </c>
      <c r="F59" s="434">
        <v>1</v>
      </c>
    </row>
    <row r="60" spans="2:6" s="226" customFormat="1">
      <c r="B60" s="447">
        <f t="shared" ca="1" si="0"/>
        <v>4</v>
      </c>
      <c r="C60" s="448" t="s">
        <v>523</v>
      </c>
      <c r="D60" s="449" t="s">
        <v>446</v>
      </c>
      <c r="E60" s="450" t="s">
        <v>370</v>
      </c>
      <c r="F60" s="434">
        <v>0.81867540481714463</v>
      </c>
    </row>
    <row r="61" spans="2:6" s="226" customFormat="1">
      <c r="B61" s="447">
        <f t="shared" ca="1" si="0"/>
        <v>5</v>
      </c>
      <c r="C61" s="448" t="s">
        <v>524</v>
      </c>
      <c r="D61" s="449" t="s">
        <v>448</v>
      </c>
      <c r="E61" s="450" t="s">
        <v>370</v>
      </c>
      <c r="F61" s="434">
        <v>0.95299999999999996</v>
      </c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/>
      <c r="C63" s="228"/>
      <c r="D63" s="229"/>
      <c r="E63" s="230"/>
      <c r="F63" s="434"/>
    </row>
    <row r="64" spans="2:6" s="226" customFormat="1">
      <c r="B64" s="227"/>
      <c r="C64" s="228"/>
      <c r="D64" s="229"/>
      <c r="E64" s="230"/>
      <c r="F64" s="434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42004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227">
        <v>1</v>
      </c>
      <c r="C7" s="228" t="s">
        <v>15</v>
      </c>
      <c r="D7" s="229" t="s">
        <v>276</v>
      </c>
      <c r="E7" s="230" t="s">
        <v>370</v>
      </c>
      <c r="F7" s="434">
        <v>0.85066960190790675</v>
      </c>
    </row>
    <row r="8" spans="1:6" s="226" customFormat="1">
      <c r="B8" s="227">
        <v>2</v>
      </c>
      <c r="C8" s="228" t="s">
        <v>17</v>
      </c>
      <c r="D8" s="229" t="s">
        <v>306</v>
      </c>
      <c r="E8" s="230" t="s">
        <v>370</v>
      </c>
      <c r="F8" s="434">
        <v>0.87489553943024512</v>
      </c>
    </row>
    <row r="9" spans="1:6" s="226" customFormat="1">
      <c r="B9" s="227">
        <v>3</v>
      </c>
      <c r="C9" s="228" t="s">
        <v>9</v>
      </c>
      <c r="D9" s="229" t="s">
        <v>273</v>
      </c>
      <c r="E9" s="230" t="s">
        <v>370</v>
      </c>
      <c r="F9" s="434">
        <v>1</v>
      </c>
    </row>
    <row r="10" spans="1:6" s="226" customFormat="1">
      <c r="B10" s="227">
        <v>4</v>
      </c>
      <c r="C10" s="228" t="s">
        <v>258</v>
      </c>
      <c r="D10" s="229" t="s">
        <v>274</v>
      </c>
      <c r="E10" s="230" t="s">
        <v>370</v>
      </c>
      <c r="F10" s="434">
        <v>0.86898193953012592</v>
      </c>
    </row>
    <row r="11" spans="1:6" s="226" customFormat="1">
      <c r="B11" s="227">
        <v>5</v>
      </c>
      <c r="C11" s="228" t="s">
        <v>55</v>
      </c>
      <c r="D11" s="229" t="s">
        <v>277</v>
      </c>
      <c r="E11" s="230" t="s">
        <v>370</v>
      </c>
      <c r="F11" s="434">
        <v>0.98297869992579046</v>
      </c>
    </row>
    <row r="12" spans="1:6" s="226" customFormat="1">
      <c r="B12" s="227">
        <v>6</v>
      </c>
      <c r="C12" s="228" t="s">
        <v>48</v>
      </c>
      <c r="D12" s="229" t="s">
        <v>279</v>
      </c>
      <c r="E12" s="230" t="s">
        <v>370</v>
      </c>
      <c r="F12" s="434">
        <v>0.85415133302771207</v>
      </c>
    </row>
    <row r="13" spans="1:6" s="226" customFormat="1">
      <c r="B13" s="227">
        <v>7</v>
      </c>
      <c r="C13" s="228" t="s">
        <v>29</v>
      </c>
      <c r="D13" s="229" t="s">
        <v>285</v>
      </c>
      <c r="E13" s="230" t="s">
        <v>371</v>
      </c>
      <c r="F13" s="434">
        <v>0.65802997858672374</v>
      </c>
    </row>
    <row r="14" spans="1:6" s="226" customFormat="1">
      <c r="B14" s="227">
        <v>8</v>
      </c>
      <c r="C14" s="228" t="s">
        <v>30</v>
      </c>
      <c r="D14" s="229" t="s">
        <v>284</v>
      </c>
      <c r="E14" s="230" t="s">
        <v>370</v>
      </c>
      <c r="F14" s="434">
        <v>0.9689233314904776</v>
      </c>
    </row>
    <row r="15" spans="1:6" s="226" customFormat="1">
      <c r="B15" s="227">
        <v>9</v>
      </c>
      <c r="C15" s="228" t="s">
        <v>60</v>
      </c>
      <c r="D15" s="229" t="s">
        <v>283</v>
      </c>
      <c r="E15" s="230" t="s">
        <v>370</v>
      </c>
      <c r="F15" s="434">
        <v>0.88470158978368518</v>
      </c>
    </row>
    <row r="16" spans="1:6" s="226" customFormat="1">
      <c r="B16" s="227">
        <v>10</v>
      </c>
      <c r="C16" s="228" t="s">
        <v>3</v>
      </c>
      <c r="D16" s="229" t="s">
        <v>291</v>
      </c>
      <c r="E16" s="230" t="s">
        <v>370</v>
      </c>
      <c r="F16" s="434">
        <v>0.89796425024826221</v>
      </c>
    </row>
    <row r="17" spans="2:6" s="226" customFormat="1">
      <c r="B17" s="227">
        <v>11</v>
      </c>
      <c r="C17" s="228" t="s">
        <v>18</v>
      </c>
      <c r="D17" s="229" t="s">
        <v>86</v>
      </c>
      <c r="E17" s="230" t="s">
        <v>371</v>
      </c>
      <c r="F17" s="434">
        <v>0.60541110175358148</v>
      </c>
    </row>
    <row r="18" spans="2:6" s="226" customFormat="1">
      <c r="B18" s="227">
        <v>12</v>
      </c>
      <c r="C18" s="228" t="s">
        <v>31</v>
      </c>
      <c r="D18" s="229" t="s">
        <v>288</v>
      </c>
      <c r="E18" s="230" t="s">
        <v>370</v>
      </c>
      <c r="F18" s="434">
        <v>0.82212054050189465</v>
      </c>
    </row>
    <row r="19" spans="2:6" s="226" customFormat="1">
      <c r="B19" s="227">
        <v>13</v>
      </c>
      <c r="C19" s="228" t="s">
        <v>32</v>
      </c>
      <c r="D19" s="229" t="s">
        <v>289</v>
      </c>
      <c r="E19" s="230" t="s">
        <v>370</v>
      </c>
      <c r="F19" s="434">
        <v>0.88358780206943976</v>
      </c>
    </row>
    <row r="20" spans="2:6" s="226" customFormat="1">
      <c r="B20" s="227"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>
      <c r="B21" s="227"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>
      <c r="B22" s="227">
        <v>16</v>
      </c>
      <c r="C22" s="228" t="s">
        <v>35</v>
      </c>
      <c r="D22" s="229" t="s">
        <v>292</v>
      </c>
      <c r="E22" s="230" t="s">
        <v>370</v>
      </c>
      <c r="F22" s="434">
        <v>1.0050785355208813</v>
      </c>
    </row>
    <row r="23" spans="2:6" s="226" customFormat="1">
      <c r="B23" s="227">
        <v>17</v>
      </c>
      <c r="C23" s="228" t="s">
        <v>36</v>
      </c>
      <c r="D23" s="229" t="s">
        <v>296</v>
      </c>
      <c r="E23" s="230" t="s">
        <v>370</v>
      </c>
      <c r="F23" s="434">
        <v>0.82306200926438611</v>
      </c>
    </row>
    <row r="24" spans="2:6" s="226" customFormat="1">
      <c r="B24" s="227">
        <v>18</v>
      </c>
      <c r="C24" s="228" t="s">
        <v>11</v>
      </c>
      <c r="D24" s="229" t="s">
        <v>297</v>
      </c>
      <c r="E24" s="230" t="s">
        <v>371</v>
      </c>
      <c r="F24" s="434">
        <v>0.50006911327666048</v>
      </c>
    </row>
    <row r="25" spans="2:6" s="226" customFormat="1">
      <c r="B25" s="227">
        <v>19</v>
      </c>
      <c r="C25" s="228" t="s">
        <v>51</v>
      </c>
      <c r="D25" s="229" t="s">
        <v>298</v>
      </c>
      <c r="E25" s="230" t="s">
        <v>371</v>
      </c>
      <c r="F25" s="434">
        <v>0.66296054901660084</v>
      </c>
    </row>
    <row r="26" spans="2:6" s="226" customFormat="1">
      <c r="B26" s="227">
        <v>20</v>
      </c>
      <c r="C26" s="228" t="s">
        <v>260</v>
      </c>
      <c r="D26" s="229" t="s">
        <v>300</v>
      </c>
      <c r="E26" s="230" t="s">
        <v>370</v>
      </c>
      <c r="F26" s="434">
        <v>1.0258121175673225</v>
      </c>
    </row>
    <row r="27" spans="2:6" s="226" customFormat="1">
      <c r="B27" s="227">
        <v>21</v>
      </c>
      <c r="C27" s="228" t="s">
        <v>39</v>
      </c>
      <c r="D27" s="229" t="s">
        <v>301</v>
      </c>
      <c r="E27" s="230" t="s">
        <v>86</v>
      </c>
      <c r="F27" s="434">
        <v>0.49985483935719455</v>
      </c>
    </row>
    <row r="28" spans="2:6" s="226" customFormat="1">
      <c r="B28" s="227">
        <v>22</v>
      </c>
      <c r="C28" s="228" t="s">
        <v>20</v>
      </c>
      <c r="D28" s="229" t="s">
        <v>302</v>
      </c>
      <c r="E28" s="230" t="s">
        <v>370</v>
      </c>
      <c r="F28" s="434">
        <v>0.98311466116060708</v>
      </c>
    </row>
    <row r="29" spans="2:6" s="226" customFormat="1">
      <c r="B29" s="227">
        <v>23</v>
      </c>
      <c r="C29" s="228" t="s">
        <v>253</v>
      </c>
      <c r="D29" s="229" t="s">
        <v>330</v>
      </c>
      <c r="E29" s="230" t="s">
        <v>370</v>
      </c>
      <c r="F29" s="434">
        <v>0.91615848253855703</v>
      </c>
    </row>
    <row r="30" spans="2:6" s="226" customFormat="1">
      <c r="B30" s="227">
        <v>24</v>
      </c>
      <c r="C30" s="228" t="s">
        <v>12</v>
      </c>
      <c r="D30" s="229" t="s">
        <v>308</v>
      </c>
      <c r="E30" s="230" t="s">
        <v>86</v>
      </c>
      <c r="F30" s="434">
        <v>0.3793248841417991</v>
      </c>
    </row>
    <row r="31" spans="2:6" s="226" customFormat="1">
      <c r="B31" s="227">
        <v>25</v>
      </c>
      <c r="C31" s="228" t="s">
        <v>74</v>
      </c>
      <c r="D31" s="229" t="s">
        <v>309</v>
      </c>
      <c r="E31" s="230" t="s">
        <v>371</v>
      </c>
      <c r="F31" s="434">
        <v>0.78015169061523282</v>
      </c>
    </row>
    <row r="32" spans="2:6" s="226" customFormat="1">
      <c r="B32" s="227">
        <v>26</v>
      </c>
      <c r="C32" s="228" t="s">
        <v>369</v>
      </c>
      <c r="D32" s="229" t="s">
        <v>368</v>
      </c>
      <c r="E32" s="230" t="s">
        <v>371</v>
      </c>
      <c r="F32" s="434">
        <v>0.52458994514807356</v>
      </c>
    </row>
    <row r="33" spans="2:6" s="226" customFormat="1">
      <c r="B33" s="227">
        <v>27</v>
      </c>
      <c r="C33" s="228" t="s">
        <v>40</v>
      </c>
      <c r="D33" s="229" t="s">
        <v>310</v>
      </c>
      <c r="E33" s="230" t="s">
        <v>371</v>
      </c>
      <c r="F33" s="434">
        <v>0.58274049617353607</v>
      </c>
    </row>
    <row r="34" spans="2:6" s="226" customFormat="1">
      <c r="B34" s="227">
        <v>28</v>
      </c>
      <c r="C34" s="228" t="s">
        <v>515</v>
      </c>
      <c r="D34" s="229" t="s">
        <v>511</v>
      </c>
      <c r="E34" s="230" t="s">
        <v>370</v>
      </c>
      <c r="F34" s="434">
        <v>0.9476761367452482</v>
      </c>
    </row>
    <row r="35" spans="2:6" s="226" customFormat="1">
      <c r="B35" s="227">
        <v>29</v>
      </c>
      <c r="C35" s="228" t="s">
        <v>66</v>
      </c>
      <c r="D35" s="229" t="s">
        <v>314</v>
      </c>
      <c r="E35" s="230" t="s">
        <v>370</v>
      </c>
      <c r="F35" s="434">
        <v>0.99831481784170029</v>
      </c>
    </row>
    <row r="36" spans="2:6" s="226" customFormat="1">
      <c r="B36" s="227">
        <v>30</v>
      </c>
      <c r="C36" s="228" t="s">
        <v>21</v>
      </c>
      <c r="D36" s="229" t="s">
        <v>315</v>
      </c>
      <c r="E36" s="230" t="s">
        <v>370</v>
      </c>
      <c r="F36" s="434">
        <v>0.8675874808455255</v>
      </c>
    </row>
    <row r="37" spans="2:6" s="226" customFormat="1">
      <c r="B37" s="227">
        <v>31</v>
      </c>
      <c r="C37" s="228" t="s">
        <v>22</v>
      </c>
      <c r="D37" s="229" t="s">
        <v>316</v>
      </c>
      <c r="E37" s="230" t="s">
        <v>370</v>
      </c>
      <c r="F37" s="434">
        <v>0.82212039553860683</v>
      </c>
    </row>
    <row r="38" spans="2:6" s="226" customFormat="1">
      <c r="B38" s="227">
        <v>32</v>
      </c>
      <c r="C38" s="228" t="s">
        <v>23</v>
      </c>
      <c r="D38" s="229" t="s">
        <v>322</v>
      </c>
      <c r="E38" s="230" t="s">
        <v>370</v>
      </c>
      <c r="F38" s="434">
        <v>0.87566221995276694</v>
      </c>
    </row>
    <row r="39" spans="2:6" s="226" customFormat="1">
      <c r="B39" s="227"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>
      <c r="B40" s="227"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>
      <c r="B41" s="227">
        <v>35</v>
      </c>
      <c r="C41" s="228" t="s">
        <v>42</v>
      </c>
      <c r="D41" s="229" t="s">
        <v>320</v>
      </c>
      <c r="E41" s="230" t="s">
        <v>370</v>
      </c>
      <c r="F41" s="434">
        <v>0.9801980503746146</v>
      </c>
    </row>
    <row r="42" spans="2:6" s="226" customFormat="1">
      <c r="B42" s="227"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>
      <c r="B43" s="227">
        <v>37</v>
      </c>
      <c r="C43" s="228" t="s">
        <v>43</v>
      </c>
      <c r="D43" s="229" t="s">
        <v>324</v>
      </c>
      <c r="E43" s="230" t="s">
        <v>371</v>
      </c>
      <c r="F43" s="434">
        <v>0.74817741739001753</v>
      </c>
    </row>
    <row r="44" spans="2:6" s="226" customFormat="1">
      <c r="B44" s="227">
        <v>38</v>
      </c>
      <c r="C44" s="228" t="s">
        <v>45</v>
      </c>
      <c r="D44" s="229" t="s">
        <v>318</v>
      </c>
      <c r="E44" s="230" t="s">
        <v>371</v>
      </c>
      <c r="F44" s="434">
        <v>0.62895876376192228</v>
      </c>
    </row>
    <row r="45" spans="2:6" s="226" customFormat="1">
      <c r="B45" s="227">
        <v>39</v>
      </c>
      <c r="C45" s="228" t="s">
        <v>13</v>
      </c>
      <c r="D45" s="229" t="s">
        <v>326</v>
      </c>
      <c r="E45" s="230" t="s">
        <v>371</v>
      </c>
      <c r="F45" s="434">
        <v>0.75178020413007363</v>
      </c>
    </row>
    <row r="46" spans="2:6" s="226" customFormat="1">
      <c r="B46" s="227">
        <v>40</v>
      </c>
      <c r="C46" s="228" t="s">
        <v>25</v>
      </c>
      <c r="D46" s="229" t="s">
        <v>328</v>
      </c>
      <c r="E46" s="230" t="s">
        <v>371</v>
      </c>
      <c r="F46" s="434">
        <v>0.75848182824927013</v>
      </c>
    </row>
    <row r="47" spans="2:6" s="226" customFormat="1">
      <c r="B47" s="227">
        <v>41</v>
      </c>
      <c r="C47" s="228" t="s">
        <v>7</v>
      </c>
      <c r="D47" s="229" t="s">
        <v>327</v>
      </c>
      <c r="E47" s="230" t="s">
        <v>370</v>
      </c>
      <c r="F47" s="434">
        <v>0.911467366016666</v>
      </c>
    </row>
    <row r="48" spans="2:6" s="226" customFormat="1">
      <c r="B48" s="227">
        <v>42</v>
      </c>
      <c r="C48" s="228" t="s">
        <v>62</v>
      </c>
      <c r="D48" s="229" t="s">
        <v>329</v>
      </c>
      <c r="E48" s="230" t="s">
        <v>370</v>
      </c>
      <c r="F48" s="434">
        <v>1.0182439091471658</v>
      </c>
    </row>
    <row r="49" spans="2:6" s="226" customFormat="1">
      <c r="B49" s="227">
        <v>43</v>
      </c>
      <c r="C49" s="228" t="s">
        <v>75</v>
      </c>
      <c r="D49" s="229" t="s">
        <v>331</v>
      </c>
      <c r="E49" s="230" t="s">
        <v>370</v>
      </c>
      <c r="F49" s="434">
        <v>0.97107572768433081</v>
      </c>
    </row>
    <row r="50" spans="2:6" s="226" customFormat="1">
      <c r="B50" s="227">
        <v>44</v>
      </c>
      <c r="C50" s="228" t="s">
        <v>76</v>
      </c>
      <c r="D50" s="229" t="s">
        <v>333</v>
      </c>
      <c r="E50" s="230" t="s">
        <v>370</v>
      </c>
      <c r="F50" s="434">
        <v>0.98020395920815839</v>
      </c>
    </row>
    <row r="51" spans="2:6" s="226" customFormat="1">
      <c r="B51" s="227">
        <v>45</v>
      </c>
      <c r="C51" s="228" t="s">
        <v>14</v>
      </c>
      <c r="D51" s="229" t="s">
        <v>334</v>
      </c>
      <c r="E51" s="230" t="s">
        <v>371</v>
      </c>
      <c r="F51" s="434">
        <v>0.82606590085814458</v>
      </c>
    </row>
    <row r="52" spans="2:6" s="226" customFormat="1">
      <c r="B52" s="227">
        <v>46</v>
      </c>
      <c r="C52" s="228" t="s">
        <v>59</v>
      </c>
      <c r="D52" s="229" t="s">
        <v>336</v>
      </c>
      <c r="E52" s="230" t="s">
        <v>370</v>
      </c>
      <c r="F52" s="434">
        <v>1</v>
      </c>
    </row>
    <row r="53" spans="2:6" s="226" customFormat="1">
      <c r="B53" s="227">
        <v>47</v>
      </c>
      <c r="C53" s="228" t="s">
        <v>26</v>
      </c>
      <c r="D53" s="229" t="s">
        <v>335</v>
      </c>
      <c r="E53" s="230" t="s">
        <v>370</v>
      </c>
      <c r="F53" s="434">
        <v>0.98347336349367565</v>
      </c>
    </row>
    <row r="54" spans="2:6" s="226" customFormat="1">
      <c r="B54" s="227">
        <v>48</v>
      </c>
      <c r="C54" s="228" t="s">
        <v>257</v>
      </c>
      <c r="D54" s="229" t="s">
        <v>337</v>
      </c>
      <c r="E54" s="230" t="s">
        <v>370</v>
      </c>
      <c r="F54" s="434">
        <v>0.99337195892319707</v>
      </c>
    </row>
    <row r="55" spans="2:6" s="226" customFormat="1">
      <c r="B55" s="227"/>
      <c r="C55" s="228"/>
      <c r="D55" s="229"/>
      <c r="E55" s="230"/>
      <c r="F55" s="434"/>
    </row>
    <row r="56" spans="2:6" s="226" customFormat="1">
      <c r="B56" s="227">
        <v>1</v>
      </c>
      <c r="C56" s="444" t="s">
        <v>530</v>
      </c>
      <c r="D56" s="445" t="s">
        <v>529</v>
      </c>
      <c r="E56" s="230" t="s">
        <v>370</v>
      </c>
      <c r="F56" s="434">
        <v>1</v>
      </c>
    </row>
    <row r="57" spans="2:6" s="226" customFormat="1">
      <c r="B57" s="227">
        <v>2</v>
      </c>
      <c r="C57" s="228" t="s">
        <v>520</v>
      </c>
      <c r="D57" s="229" t="s">
        <v>442</v>
      </c>
      <c r="E57" s="230" t="s">
        <v>370</v>
      </c>
      <c r="F57" s="434">
        <v>1</v>
      </c>
    </row>
    <row r="58" spans="2:6" s="226" customFormat="1">
      <c r="B58" s="227">
        <v>3</v>
      </c>
      <c r="C58" s="228" t="s">
        <v>521</v>
      </c>
      <c r="D58" s="229" t="s">
        <v>444</v>
      </c>
      <c r="E58" s="230" t="s">
        <v>86</v>
      </c>
      <c r="F58" s="434">
        <v>0.20685175054704596</v>
      </c>
    </row>
    <row r="59" spans="2:6" s="226" customFormat="1">
      <c r="B59" s="227">
        <v>4</v>
      </c>
      <c r="C59" s="228" t="s">
        <v>522</v>
      </c>
      <c r="D59" s="229" t="s">
        <v>445</v>
      </c>
      <c r="E59" s="230" t="s">
        <v>370</v>
      </c>
      <c r="F59" s="434">
        <v>1</v>
      </c>
    </row>
    <row r="60" spans="2:6" s="226" customFormat="1">
      <c r="B60" s="227">
        <v>5</v>
      </c>
      <c r="C60" s="228" t="s">
        <v>523</v>
      </c>
      <c r="D60" s="229" t="s">
        <v>446</v>
      </c>
      <c r="E60" s="230" t="s">
        <v>371</v>
      </c>
      <c r="F60" s="434">
        <v>0.78488758123806135</v>
      </c>
    </row>
    <row r="61" spans="2:6" s="226" customFormat="1">
      <c r="B61" s="227">
        <v>6</v>
      </c>
      <c r="C61" s="228" t="s">
        <v>524</v>
      </c>
      <c r="D61" s="229" t="s">
        <v>448</v>
      </c>
      <c r="E61" s="230" t="s">
        <v>370</v>
      </c>
      <c r="F61" s="434">
        <v>0.95403000000000004</v>
      </c>
    </row>
    <row r="62" spans="2:6" s="226" customFormat="1">
      <c r="B62" s="227"/>
      <c r="C62" s="228"/>
      <c r="D62" s="229"/>
      <c r="E62" s="230"/>
      <c r="F62" s="434"/>
    </row>
    <row r="63" spans="2:6" s="226" customFormat="1">
      <c r="B63" s="227">
        <v>1</v>
      </c>
      <c r="C63" s="228" t="s">
        <v>1</v>
      </c>
      <c r="D63" s="229" t="s">
        <v>282</v>
      </c>
      <c r="E63" s="230"/>
    </row>
    <row r="64" spans="2:6" s="226" customFormat="1">
      <c r="B64" s="227">
        <v>2</v>
      </c>
      <c r="C64" s="228" t="s">
        <v>265</v>
      </c>
      <c r="D64" s="229" t="s">
        <v>313</v>
      </c>
      <c r="E64" s="230"/>
    </row>
    <row r="65" spans="2:6" s="226" customFormat="1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6" s="214" customFormat="1" ht="19">
      <c r="A1" s="214" t="s">
        <v>432</v>
      </c>
      <c r="C1" s="215"/>
      <c r="D1" s="216"/>
      <c r="E1" s="217"/>
    </row>
    <row r="2" spans="1:6" s="214" customFormat="1">
      <c r="C2" s="218"/>
      <c r="D2" s="216"/>
      <c r="E2" s="217"/>
    </row>
    <row r="3" spans="1:6">
      <c r="E3" s="231">
        <v>41639</v>
      </c>
    </row>
    <row r="4" spans="1:6">
      <c r="C4" s="214"/>
      <c r="D4" s="216"/>
    </row>
    <row r="5" spans="1:6" s="219" customFormat="1" ht="30">
      <c r="C5" s="220" t="s">
        <v>0</v>
      </c>
      <c r="D5" s="221" t="s">
        <v>433</v>
      </c>
      <c r="E5" s="222" t="s">
        <v>434</v>
      </c>
    </row>
    <row r="6" spans="1:6">
      <c r="C6" s="223"/>
      <c r="D6" s="224"/>
      <c r="E6" s="225"/>
    </row>
    <row r="7" spans="1:6" s="226" customFormat="1">
      <c r="B7" s="227">
        <f t="shared" ref="B7:B62" ca="1" si="0">OFFSET( B7, -1, 0 ) + 1</f>
        <v>1</v>
      </c>
      <c r="C7" s="228" t="s">
        <v>15</v>
      </c>
      <c r="D7" s="229" t="s">
        <v>276</v>
      </c>
      <c r="E7" s="230" t="s">
        <v>370</v>
      </c>
      <c r="F7" s="434">
        <v>0.90911182696732629</v>
      </c>
    </row>
    <row r="8" spans="1:6" s="226" customFormat="1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  <c r="F8" s="434">
        <v>0.88890788668514453</v>
      </c>
    </row>
    <row r="9" spans="1:6" s="226" customFormat="1">
      <c r="B9" s="227">
        <f t="shared" ca="1" si="0"/>
        <v>3</v>
      </c>
      <c r="C9" s="228" t="s">
        <v>9</v>
      </c>
      <c r="D9" s="229" t="s">
        <v>273</v>
      </c>
      <c r="E9" s="230" t="s">
        <v>370</v>
      </c>
      <c r="F9" s="434">
        <v>0.97514010633711745</v>
      </c>
    </row>
    <row r="10" spans="1:6" s="226" customFormat="1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  <c r="F10" s="434">
        <v>0.8323465806360123</v>
      </c>
    </row>
    <row r="11" spans="1:6" s="226" customFormat="1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  <c r="F11" s="434">
        <v>0.9035001305616811</v>
      </c>
    </row>
    <row r="12" spans="1:6" s="226" customFormat="1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  <c r="F12" s="434">
        <v>0.85971896000648229</v>
      </c>
    </row>
    <row r="13" spans="1:6" s="226" customFormat="1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  <c r="F13" s="434">
        <v>0.66671239140374938</v>
      </c>
    </row>
    <row r="14" spans="1:6" s="226" customFormat="1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  <c r="F14" s="434">
        <v>0.93557933053746112</v>
      </c>
    </row>
    <row r="15" spans="1:6" s="226" customFormat="1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  <c r="F15" s="434">
        <v>0.87683739090491497</v>
      </c>
    </row>
    <row r="16" spans="1:6" s="226" customFormat="1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  <c r="F16" s="434">
        <v>0.89118508130981378</v>
      </c>
    </row>
    <row r="17" spans="2:6" s="226" customFormat="1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  <c r="F17" s="434">
        <v>0.6031767271522398</v>
      </c>
    </row>
    <row r="18" spans="2:6" s="226" customFormat="1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  <c r="F18" s="434">
        <v>0.82691343743975321</v>
      </c>
    </row>
    <row r="19" spans="2:6" s="226" customFormat="1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  <c r="F19" s="434">
        <v>0.87022887461992182</v>
      </c>
    </row>
    <row r="20" spans="2:6" s="226" customFormat="1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  <c r="F22" s="434">
        <v>1.0060255146162436</v>
      </c>
    </row>
    <row r="23" spans="2:6" s="226" customFormat="1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  <c r="F23" s="434">
        <v>0.81876283997081911</v>
      </c>
    </row>
    <row r="24" spans="2:6" s="226" customFormat="1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  <c r="F24" s="434">
        <v>0.52044442220109099</v>
      </c>
    </row>
    <row r="25" spans="2:6" s="226" customFormat="1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  <c r="F25" s="434">
        <v>0.65306203395208628</v>
      </c>
    </row>
    <row r="26" spans="2:6" s="226" customFormat="1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  <c r="F26" s="434">
        <v>1.0228882945055842</v>
      </c>
    </row>
    <row r="27" spans="2:6" s="226" customFormat="1">
      <c r="B27" s="227">
        <f t="shared" ca="1" si="0"/>
        <v>21</v>
      </c>
      <c r="C27" s="228" t="s">
        <v>39</v>
      </c>
      <c r="D27" s="229" t="s">
        <v>301</v>
      </c>
      <c r="E27" s="230" t="s">
        <v>86</v>
      </c>
      <c r="F27" s="434">
        <v>0.49198330297240517</v>
      </c>
    </row>
    <row r="28" spans="2:6" s="226" customFormat="1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  <c r="F28" s="434">
        <v>0.98170363550581841</v>
      </c>
    </row>
    <row r="29" spans="2:6" s="226" customFormat="1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  <c r="F29" s="434">
        <v>0.86226708765064253</v>
      </c>
    </row>
    <row r="30" spans="2:6" s="226" customFormat="1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  <c r="F30" s="434">
        <v>0.37816533764451238</v>
      </c>
    </row>
    <row r="31" spans="2:6" s="226" customFormat="1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  <c r="F31" s="434">
        <v>0.77859929325041477</v>
      </c>
    </row>
    <row r="32" spans="2:6" s="226" customFormat="1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  <c r="F32" s="434">
        <v>0.52647678411681531</v>
      </c>
    </row>
    <row r="33" spans="2:6" s="226" customFormat="1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  <c r="F33" s="434">
        <v>0.57990014964310777</v>
      </c>
    </row>
    <row r="34" spans="2:6" s="226" customFormat="1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  <c r="F34" s="434">
        <v>0.96294364195643178</v>
      </c>
    </row>
    <row r="35" spans="2:6" s="226" customFormat="1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  <c r="F35" s="434">
        <v>0.99627347749551853</v>
      </c>
    </row>
    <row r="36" spans="2:6" s="226" customFormat="1">
      <c r="B36" s="227">
        <f t="shared" ca="1" si="0"/>
        <v>30</v>
      </c>
      <c r="C36" s="228" t="s">
        <v>21</v>
      </c>
      <c r="D36" s="229" t="s">
        <v>315</v>
      </c>
      <c r="E36" s="230" t="s">
        <v>370</v>
      </c>
      <c r="F36" s="434">
        <v>0.84238124952105697</v>
      </c>
    </row>
    <row r="37" spans="2:6" s="226" customFormat="1">
      <c r="B37" s="227">
        <f t="shared" ca="1" si="0"/>
        <v>31</v>
      </c>
      <c r="C37" s="228" t="s">
        <v>22</v>
      </c>
      <c r="D37" s="229" t="s">
        <v>316</v>
      </c>
      <c r="E37" s="230" t="s">
        <v>370</v>
      </c>
      <c r="F37" s="434">
        <v>0.80852170306243221</v>
      </c>
    </row>
    <row r="38" spans="2:6" s="226" customFormat="1">
      <c r="B38" s="227">
        <f t="shared" ca="1" si="0"/>
        <v>32</v>
      </c>
      <c r="C38" s="228" t="s">
        <v>23</v>
      </c>
      <c r="D38" s="229" t="s">
        <v>322</v>
      </c>
      <c r="E38" s="230" t="s">
        <v>370</v>
      </c>
      <c r="F38" s="434">
        <v>0.87741631305987744</v>
      </c>
    </row>
    <row r="39" spans="2:6" s="226" customFormat="1">
      <c r="B39" s="227">
        <f t="shared" ca="1" si="0"/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>
      <c r="B40" s="227">
        <f t="shared" ca="1" si="0"/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>
      <c r="B41" s="227">
        <f t="shared" ca="1" si="0"/>
        <v>35</v>
      </c>
      <c r="C41" s="228" t="s">
        <v>42</v>
      </c>
      <c r="D41" s="229" t="s">
        <v>320</v>
      </c>
      <c r="E41" s="230" t="s">
        <v>370</v>
      </c>
      <c r="F41" s="434">
        <v>0.97997112837509848</v>
      </c>
    </row>
    <row r="42" spans="2:6" s="226" customFormat="1">
      <c r="B42" s="227">
        <f t="shared" ca="1" si="0"/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>
      <c r="B43" s="227">
        <f t="shared" ca="1" si="0"/>
        <v>37</v>
      </c>
      <c r="C43" s="228" t="s">
        <v>43</v>
      </c>
      <c r="D43" s="229" t="s">
        <v>324</v>
      </c>
      <c r="E43" s="230" t="s">
        <v>371</v>
      </c>
      <c r="F43" s="434">
        <v>0.74506486245544123</v>
      </c>
    </row>
    <row r="44" spans="2:6" s="226" customFormat="1">
      <c r="B44" s="227">
        <f t="shared" ca="1" si="0"/>
        <v>38</v>
      </c>
      <c r="C44" s="228" t="s">
        <v>45</v>
      </c>
      <c r="D44" s="229" t="s">
        <v>318</v>
      </c>
      <c r="E44" s="230" t="s">
        <v>371</v>
      </c>
      <c r="F44" s="434">
        <v>0.60635877252321502</v>
      </c>
    </row>
    <row r="45" spans="2:6" s="226" customFormat="1">
      <c r="B45" s="227">
        <f t="shared" ca="1" si="0"/>
        <v>39</v>
      </c>
      <c r="C45" s="228" t="s">
        <v>13</v>
      </c>
      <c r="D45" s="229" t="s">
        <v>326</v>
      </c>
      <c r="E45" s="230" t="s">
        <v>371</v>
      </c>
      <c r="F45" s="434">
        <v>0.78000527565286204</v>
      </c>
    </row>
    <row r="46" spans="2:6" s="226" customFormat="1">
      <c r="B46" s="227">
        <f t="shared" ca="1" si="0"/>
        <v>40</v>
      </c>
      <c r="C46" s="228" t="s">
        <v>25</v>
      </c>
      <c r="D46" s="229" t="s">
        <v>328</v>
      </c>
      <c r="E46" s="230" t="s">
        <v>371</v>
      </c>
      <c r="F46" s="434">
        <v>0.75327569541402639</v>
      </c>
    </row>
    <row r="47" spans="2:6" s="226" customFormat="1">
      <c r="B47" s="227">
        <f t="shared" ca="1" si="0"/>
        <v>41</v>
      </c>
      <c r="C47" s="228" t="s">
        <v>7</v>
      </c>
      <c r="D47" s="229" t="s">
        <v>327</v>
      </c>
      <c r="E47" s="230" t="s">
        <v>370</v>
      </c>
      <c r="F47" s="434">
        <v>0.92100207603879403</v>
      </c>
    </row>
    <row r="48" spans="2:6" s="226" customFormat="1">
      <c r="B48" s="227">
        <f t="shared" ca="1" si="0"/>
        <v>42</v>
      </c>
      <c r="C48" s="228" t="s">
        <v>62</v>
      </c>
      <c r="D48" s="229" t="s">
        <v>329</v>
      </c>
      <c r="E48" s="230" t="s">
        <v>370</v>
      </c>
      <c r="F48" s="434">
        <v>0.95973415682062291</v>
      </c>
    </row>
    <row r="49" spans="2:6" s="226" customFormat="1">
      <c r="B49" s="227">
        <f t="shared" ca="1" si="0"/>
        <v>43</v>
      </c>
      <c r="C49" s="228" t="s">
        <v>75</v>
      </c>
      <c r="D49" s="229" t="s">
        <v>331</v>
      </c>
      <c r="E49" s="230" t="s">
        <v>370</v>
      </c>
      <c r="F49" s="434">
        <v>0.96437419083942755</v>
      </c>
    </row>
    <row r="50" spans="2:6" s="226" customFormat="1">
      <c r="B50" s="227">
        <f t="shared" ca="1" si="0"/>
        <v>44</v>
      </c>
      <c r="C50" s="228" t="s">
        <v>76</v>
      </c>
      <c r="D50" s="229" t="s">
        <v>333</v>
      </c>
      <c r="E50" s="230" t="s">
        <v>370</v>
      </c>
      <c r="F50" s="434">
        <v>0.98316315446447966</v>
      </c>
    </row>
    <row r="51" spans="2:6" s="226" customFormat="1">
      <c r="B51" s="227">
        <f t="shared" ca="1" si="0"/>
        <v>45</v>
      </c>
      <c r="C51" s="228" t="s">
        <v>427</v>
      </c>
      <c r="D51" s="229" t="s">
        <v>332</v>
      </c>
      <c r="E51" s="230" t="s">
        <v>370</v>
      </c>
      <c r="F51" s="434">
        <v>0.99953194476948282</v>
      </c>
    </row>
    <row r="52" spans="2:6" s="226" customFormat="1">
      <c r="B52" s="227">
        <f t="shared" ca="1" si="0"/>
        <v>46</v>
      </c>
      <c r="C52" s="228" t="s">
        <v>14</v>
      </c>
      <c r="D52" s="229" t="s">
        <v>334</v>
      </c>
      <c r="E52" s="230" t="s">
        <v>371</v>
      </c>
      <c r="F52" s="434">
        <v>0.77742719397953985</v>
      </c>
    </row>
    <row r="53" spans="2:6" s="226" customFormat="1">
      <c r="B53" s="227">
        <f t="shared" ca="1" si="0"/>
        <v>47</v>
      </c>
      <c r="C53" s="228" t="s">
        <v>59</v>
      </c>
      <c r="D53" s="229" t="s">
        <v>336</v>
      </c>
      <c r="E53" s="230" t="s">
        <v>370</v>
      </c>
      <c r="F53" s="434">
        <v>1</v>
      </c>
    </row>
    <row r="54" spans="2:6" s="226" customFormat="1">
      <c r="B54" s="227">
        <f t="shared" ca="1" si="0"/>
        <v>48</v>
      </c>
      <c r="C54" s="228" t="s">
        <v>26</v>
      </c>
      <c r="D54" s="229" t="s">
        <v>335</v>
      </c>
      <c r="E54" s="230" t="s">
        <v>370</v>
      </c>
      <c r="F54" s="434">
        <v>0.97907836472707066</v>
      </c>
    </row>
    <row r="55" spans="2:6" s="226" customFormat="1">
      <c r="B55" s="227">
        <f t="shared" ca="1" si="0"/>
        <v>49</v>
      </c>
      <c r="C55" s="228" t="s">
        <v>257</v>
      </c>
      <c r="D55" s="229" t="s">
        <v>337</v>
      </c>
      <c r="E55" s="230" t="s">
        <v>370</v>
      </c>
      <c r="F55" s="434">
        <v>0.99302150358307584</v>
      </c>
    </row>
    <row r="56" spans="2:6" s="226" customFormat="1">
      <c r="B56" s="227"/>
      <c r="C56" s="228"/>
      <c r="D56" s="229"/>
      <c r="E56" s="230"/>
      <c r="F56" s="434"/>
    </row>
    <row r="57" spans="2:6" s="226" customFormat="1">
      <c r="B57" s="227">
        <f t="shared" ca="1" si="0"/>
        <v>1</v>
      </c>
      <c r="C57" s="228" t="s">
        <v>451</v>
      </c>
      <c r="D57" s="229" t="s">
        <v>443</v>
      </c>
      <c r="E57" s="230" t="s">
        <v>370</v>
      </c>
      <c r="F57" s="434">
        <v>1</v>
      </c>
    </row>
    <row r="58" spans="2:6" s="226" customFormat="1">
      <c r="B58" s="227">
        <f t="shared" ca="1" si="0"/>
        <v>2</v>
      </c>
      <c r="C58" s="228" t="s">
        <v>64</v>
      </c>
      <c r="D58" s="229" t="s">
        <v>442</v>
      </c>
      <c r="E58" s="230" t="s">
        <v>370</v>
      </c>
      <c r="F58" s="434">
        <v>1</v>
      </c>
    </row>
    <row r="59" spans="2:6" s="226" customFormat="1">
      <c r="B59" s="227">
        <f t="shared" ca="1" si="0"/>
        <v>3</v>
      </c>
      <c r="C59" s="228" t="s">
        <v>248</v>
      </c>
      <c r="D59" s="229" t="s">
        <v>444</v>
      </c>
      <c r="E59" s="230" t="s">
        <v>86</v>
      </c>
      <c r="F59" s="434">
        <v>0.14258999999999999</v>
      </c>
    </row>
    <row r="60" spans="2:6" s="226" customFormat="1">
      <c r="B60" s="227">
        <f t="shared" ca="1" si="0"/>
        <v>4</v>
      </c>
      <c r="C60" s="228" t="s">
        <v>58</v>
      </c>
      <c r="D60" s="229" t="s">
        <v>445</v>
      </c>
      <c r="E60" s="230" t="s">
        <v>370</v>
      </c>
      <c r="F60" s="434">
        <v>1</v>
      </c>
    </row>
    <row r="61" spans="2:6" s="226" customFormat="1">
      <c r="B61" s="227">
        <f t="shared" ca="1" si="0"/>
        <v>5</v>
      </c>
      <c r="C61" s="228" t="s">
        <v>52</v>
      </c>
      <c r="D61" s="229" t="s">
        <v>446</v>
      </c>
      <c r="E61" s="230" t="s">
        <v>371</v>
      </c>
      <c r="F61" s="434">
        <v>0.77944722987807114</v>
      </c>
    </row>
    <row r="62" spans="2:6" s="226" customFormat="1">
      <c r="B62" s="227">
        <f t="shared" ca="1" si="0"/>
        <v>6</v>
      </c>
      <c r="C62" s="228" t="s">
        <v>54</v>
      </c>
      <c r="D62" s="229" t="s">
        <v>448</v>
      </c>
      <c r="E62" s="230" t="s">
        <v>370</v>
      </c>
      <c r="F62" s="434">
        <v>0.94986000000000004</v>
      </c>
    </row>
    <row r="63" spans="2:6" s="226" customFormat="1">
      <c r="B63" s="227"/>
      <c r="C63" s="228"/>
      <c r="D63" s="229"/>
      <c r="E63" s="230"/>
    </row>
    <row r="64" spans="2:6" s="226" customFormat="1">
      <c r="B64" s="227">
        <f t="shared" ref="B64" ca="1" si="1">OFFSET( B64, -1, 0 ) + 1</f>
        <v>1</v>
      </c>
      <c r="C64" s="228" t="s">
        <v>1</v>
      </c>
      <c r="D64" s="229" t="s">
        <v>282</v>
      </c>
      <c r="E64" s="230"/>
    </row>
    <row r="65" spans="2:6" s="226" customFormat="1">
      <c r="B65" s="227">
        <f ca="1">OFFSET( B65, -1, 0 ) + 1</f>
        <v>2</v>
      </c>
      <c r="C65" s="228" t="s">
        <v>265</v>
      </c>
      <c r="D65" s="229" t="s">
        <v>313</v>
      </c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FF00"/>
  </sheetPr>
  <dimension ref="A1:E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5" s="214" customFormat="1" ht="19">
      <c r="A1" s="214" t="s">
        <v>432</v>
      </c>
      <c r="C1" s="215"/>
      <c r="D1" s="216"/>
      <c r="E1" s="217"/>
    </row>
    <row r="2" spans="1:5" s="214" customFormat="1">
      <c r="C2" s="218"/>
      <c r="D2" s="216"/>
      <c r="E2" s="217"/>
    </row>
    <row r="3" spans="1:5">
      <c r="E3" s="231">
        <v>41274</v>
      </c>
    </row>
    <row r="4" spans="1:5">
      <c r="C4" s="214"/>
      <c r="D4" s="216"/>
    </row>
    <row r="5" spans="1:5" s="219" customFormat="1" ht="30">
      <c r="C5" s="220" t="s">
        <v>0</v>
      </c>
      <c r="D5" s="221" t="s">
        <v>433</v>
      </c>
      <c r="E5" s="222" t="s">
        <v>434</v>
      </c>
    </row>
    <row r="6" spans="1:5">
      <c r="C6" s="223"/>
      <c r="D6" s="224"/>
      <c r="E6" s="225"/>
    </row>
    <row r="7" spans="1:5" s="226" customFormat="1">
      <c r="B7" s="227">
        <f t="shared" ref="B7:B63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</row>
    <row r="13" spans="1:5" s="226" customFormat="1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</row>
    <row r="15" spans="1:5" s="226" customFormat="1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</row>
    <row r="16" spans="1:5" s="226" customFormat="1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</row>
    <row r="17" spans="2:5" s="226" customFormat="1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</row>
    <row r="18" spans="2:5" s="226" customFormat="1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</row>
    <row r="19" spans="2:5" s="226" customFormat="1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</row>
    <row r="20" spans="2:5" s="226" customFormat="1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</row>
    <row r="21" spans="2:5" s="226" customFormat="1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</row>
    <row r="22" spans="2:5" s="226" customFormat="1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</row>
    <row r="23" spans="2:5" s="226" customFormat="1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</row>
    <row r="24" spans="2:5" s="226" customFormat="1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</row>
    <row r="25" spans="2:5" s="226" customFormat="1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</row>
    <row r="26" spans="2:5" s="226" customFormat="1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</row>
    <row r="27" spans="2:5" s="226" customFormat="1">
      <c r="B27" s="227">
        <f t="shared" ca="1" si="0"/>
        <v>21</v>
      </c>
      <c r="C27" s="228" t="s">
        <v>39</v>
      </c>
      <c r="D27" s="229" t="s">
        <v>301</v>
      </c>
      <c r="E27" s="230" t="s">
        <v>371</v>
      </c>
    </row>
    <row r="28" spans="2:5" s="226" customFormat="1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</row>
    <row r="29" spans="2:5" s="226" customFormat="1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</row>
    <row r="30" spans="2:5" s="226" customFormat="1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</row>
    <row r="31" spans="2:5" s="226" customFormat="1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</row>
    <row r="32" spans="2:5" s="226" customFormat="1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</row>
    <row r="33" spans="2:5" s="226" customFormat="1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</row>
    <row r="34" spans="2:5" s="226" customFormat="1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</row>
    <row r="35" spans="2:5" s="226" customFormat="1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</row>
    <row r="36" spans="2:5" s="226" customFormat="1">
      <c r="B36" s="227">
        <f t="shared" ca="1" si="0"/>
        <v>30</v>
      </c>
      <c r="C36" s="228" t="s">
        <v>265</v>
      </c>
      <c r="D36" s="229" t="s">
        <v>313</v>
      </c>
      <c r="E36" s="230" t="s">
        <v>370</v>
      </c>
    </row>
    <row r="37" spans="2:5" s="226" customFormat="1">
      <c r="B37" s="227">
        <f t="shared" ca="1" si="0"/>
        <v>31</v>
      </c>
      <c r="C37" s="228" t="s">
        <v>21</v>
      </c>
      <c r="D37" s="229" t="s">
        <v>315</v>
      </c>
      <c r="E37" s="230" t="s">
        <v>371</v>
      </c>
    </row>
    <row r="38" spans="2:5" s="226" customFormat="1">
      <c r="B38" s="227">
        <f t="shared" ca="1" si="0"/>
        <v>32</v>
      </c>
      <c r="C38" s="228" t="s">
        <v>22</v>
      </c>
      <c r="D38" s="229" t="s">
        <v>316</v>
      </c>
      <c r="E38" s="230" t="s">
        <v>371</v>
      </c>
    </row>
    <row r="39" spans="2:5" s="226" customFormat="1">
      <c r="B39" s="227">
        <f t="shared" ca="1" si="0"/>
        <v>33</v>
      </c>
      <c r="C39" s="228" t="s">
        <v>23</v>
      </c>
      <c r="D39" s="229" t="s">
        <v>322</v>
      </c>
      <c r="E39" s="230" t="s">
        <v>371</v>
      </c>
    </row>
    <row r="40" spans="2:5" s="226" customFormat="1">
      <c r="B40" s="227">
        <f t="shared" ca="1" si="0"/>
        <v>34</v>
      </c>
      <c r="C40" s="228" t="s">
        <v>53</v>
      </c>
      <c r="D40" s="229" t="s">
        <v>317</v>
      </c>
      <c r="E40" s="230" t="s">
        <v>370</v>
      </c>
    </row>
    <row r="41" spans="2:5" s="226" customFormat="1">
      <c r="B41" s="227">
        <f t="shared" ca="1" si="0"/>
        <v>35</v>
      </c>
      <c r="C41" s="228" t="s">
        <v>41</v>
      </c>
      <c r="D41" s="229" t="s">
        <v>321</v>
      </c>
      <c r="E41" s="230" t="s">
        <v>370</v>
      </c>
    </row>
    <row r="42" spans="2:5" s="226" customFormat="1">
      <c r="B42" s="227">
        <f t="shared" ca="1" si="0"/>
        <v>36</v>
      </c>
      <c r="C42" s="228" t="s">
        <v>42</v>
      </c>
      <c r="D42" s="229" t="s">
        <v>320</v>
      </c>
      <c r="E42" s="230" t="s">
        <v>370</v>
      </c>
    </row>
    <row r="43" spans="2:5" s="226" customFormat="1">
      <c r="B43" s="227">
        <f t="shared" ca="1" si="0"/>
        <v>37</v>
      </c>
      <c r="C43" s="228" t="s">
        <v>24</v>
      </c>
      <c r="D43" s="229" t="s">
        <v>323</v>
      </c>
      <c r="E43" s="230" t="s">
        <v>370</v>
      </c>
    </row>
    <row r="44" spans="2:5" s="226" customFormat="1">
      <c r="B44" s="227">
        <f t="shared" ca="1" si="0"/>
        <v>38</v>
      </c>
      <c r="C44" s="228" t="s">
        <v>43</v>
      </c>
      <c r="D44" s="229" t="s">
        <v>324</v>
      </c>
      <c r="E44" s="230" t="s">
        <v>371</v>
      </c>
    </row>
    <row r="45" spans="2:5" s="226" customFormat="1">
      <c r="B45" s="227">
        <f t="shared" ca="1" si="0"/>
        <v>39</v>
      </c>
      <c r="C45" s="228" t="s">
        <v>45</v>
      </c>
      <c r="D45" s="229" t="s">
        <v>318</v>
      </c>
      <c r="E45" s="230" t="s">
        <v>371</v>
      </c>
    </row>
    <row r="46" spans="2:5" s="226" customFormat="1">
      <c r="B46" s="227">
        <f t="shared" ca="1" si="0"/>
        <v>40</v>
      </c>
      <c r="C46" s="228" t="s">
        <v>13</v>
      </c>
      <c r="D46" s="229" t="s">
        <v>326</v>
      </c>
      <c r="E46" s="230" t="s">
        <v>371</v>
      </c>
    </row>
    <row r="47" spans="2:5" s="226" customFormat="1">
      <c r="B47" s="227">
        <f t="shared" ca="1" si="0"/>
        <v>41</v>
      </c>
      <c r="C47" s="228" t="s">
        <v>25</v>
      </c>
      <c r="D47" s="229" t="s">
        <v>328</v>
      </c>
      <c r="E47" s="230" t="s">
        <v>371</v>
      </c>
    </row>
    <row r="48" spans="2:5" s="226" customFormat="1">
      <c r="B48" s="227">
        <f t="shared" ca="1" si="0"/>
        <v>42</v>
      </c>
      <c r="C48" s="228" t="s">
        <v>7</v>
      </c>
      <c r="D48" s="229" t="s">
        <v>327</v>
      </c>
      <c r="E48" s="230" t="s">
        <v>370</v>
      </c>
    </row>
    <row r="49" spans="2:5" s="226" customFormat="1">
      <c r="B49" s="227">
        <f t="shared" ca="1" si="0"/>
        <v>43</v>
      </c>
      <c r="C49" s="228" t="s">
        <v>62</v>
      </c>
      <c r="D49" s="229" t="s">
        <v>329</v>
      </c>
      <c r="E49" s="230" t="s">
        <v>370</v>
      </c>
    </row>
    <row r="50" spans="2:5" s="226" customFormat="1">
      <c r="B50" s="227">
        <f t="shared" ca="1" si="0"/>
        <v>44</v>
      </c>
      <c r="C50" s="228" t="s">
        <v>75</v>
      </c>
      <c r="D50" s="229" t="s">
        <v>331</v>
      </c>
      <c r="E50" s="230" t="s">
        <v>370</v>
      </c>
    </row>
    <row r="51" spans="2:5" s="226" customFormat="1">
      <c r="B51" s="227">
        <f t="shared" ca="1" si="0"/>
        <v>45</v>
      </c>
      <c r="C51" s="228" t="s">
        <v>76</v>
      </c>
      <c r="D51" s="229" t="s">
        <v>333</v>
      </c>
      <c r="E51" s="230" t="s">
        <v>370</v>
      </c>
    </row>
    <row r="52" spans="2:5" s="226" customFormat="1">
      <c r="B52" s="227">
        <f t="shared" ca="1" si="0"/>
        <v>46</v>
      </c>
      <c r="C52" s="228" t="s">
        <v>427</v>
      </c>
      <c r="D52" s="229" t="s">
        <v>332</v>
      </c>
      <c r="E52" s="230" t="s">
        <v>370</v>
      </c>
    </row>
    <row r="53" spans="2:5" s="226" customFormat="1">
      <c r="B53" s="227">
        <f t="shared" ca="1" si="0"/>
        <v>47</v>
      </c>
      <c r="C53" s="228" t="s">
        <v>14</v>
      </c>
      <c r="D53" s="229" t="s">
        <v>334</v>
      </c>
      <c r="E53" s="230" t="s">
        <v>371</v>
      </c>
    </row>
    <row r="54" spans="2:5" s="226" customFormat="1">
      <c r="B54" s="227">
        <f t="shared" ca="1" si="0"/>
        <v>48</v>
      </c>
      <c r="C54" s="228" t="s">
        <v>59</v>
      </c>
      <c r="D54" s="229" t="s">
        <v>336</v>
      </c>
      <c r="E54" s="230" t="s">
        <v>370</v>
      </c>
    </row>
    <row r="55" spans="2:5" s="226" customFormat="1">
      <c r="B55" s="227">
        <f t="shared" ca="1" si="0"/>
        <v>49</v>
      </c>
      <c r="C55" s="228" t="s">
        <v>26</v>
      </c>
      <c r="D55" s="229" t="s">
        <v>335</v>
      </c>
      <c r="E55" s="230" t="s">
        <v>370</v>
      </c>
    </row>
    <row r="56" spans="2:5" s="226" customFormat="1">
      <c r="B56" s="227">
        <f t="shared" ca="1" si="0"/>
        <v>50</v>
      </c>
      <c r="C56" s="228" t="s">
        <v>257</v>
      </c>
      <c r="D56" s="229" t="s">
        <v>337</v>
      </c>
      <c r="E56" s="230" t="s">
        <v>370</v>
      </c>
    </row>
    <row r="57" spans="2:5" s="226" customFormat="1">
      <c r="B57" s="227"/>
      <c r="C57" s="228"/>
      <c r="D57" s="229"/>
      <c r="E57" s="230"/>
    </row>
    <row r="58" spans="2:5" s="226" customFormat="1">
      <c r="B58" s="227">
        <f t="shared" ca="1" si="0"/>
        <v>1</v>
      </c>
      <c r="C58" s="228" t="s">
        <v>451</v>
      </c>
      <c r="D58" s="229" t="s">
        <v>443</v>
      </c>
      <c r="E58" s="230" t="s">
        <v>370</v>
      </c>
    </row>
    <row r="59" spans="2:5" s="226" customFormat="1">
      <c r="B59" s="227">
        <f t="shared" ca="1" si="0"/>
        <v>2</v>
      </c>
      <c r="C59" s="228" t="s">
        <v>64</v>
      </c>
      <c r="D59" s="229" t="s">
        <v>442</v>
      </c>
      <c r="E59" s="230" t="s">
        <v>370</v>
      </c>
    </row>
    <row r="60" spans="2:5" s="226" customFormat="1">
      <c r="B60" s="227">
        <f t="shared" ca="1" si="0"/>
        <v>3</v>
      </c>
      <c r="C60" s="228" t="s">
        <v>248</v>
      </c>
      <c r="D60" s="229" t="s">
        <v>444</v>
      </c>
      <c r="E60" s="230" t="s">
        <v>86</v>
      </c>
    </row>
    <row r="61" spans="2:5" s="226" customFormat="1">
      <c r="B61" s="227">
        <f t="shared" ca="1" si="0"/>
        <v>4</v>
      </c>
      <c r="C61" s="228" t="s">
        <v>58</v>
      </c>
      <c r="D61" s="229" t="s">
        <v>445</v>
      </c>
      <c r="E61" s="230" t="s">
        <v>370</v>
      </c>
    </row>
    <row r="62" spans="2:5" s="226" customFormat="1">
      <c r="B62" s="227">
        <f t="shared" ca="1" si="0"/>
        <v>5</v>
      </c>
      <c r="C62" s="228" t="s">
        <v>52</v>
      </c>
      <c r="D62" s="229" t="s">
        <v>446</v>
      </c>
      <c r="E62" s="230" t="s">
        <v>371</v>
      </c>
    </row>
    <row r="63" spans="2:5" s="226" customFormat="1">
      <c r="B63" s="227">
        <f t="shared" ca="1" si="0"/>
        <v>6</v>
      </c>
      <c r="C63" s="228" t="s">
        <v>54</v>
      </c>
      <c r="D63" s="229" t="s">
        <v>448</v>
      </c>
      <c r="E63" s="230" t="s">
        <v>370</v>
      </c>
    </row>
    <row r="64" spans="2:5" s="226" customFormat="1">
      <c r="B64" s="227"/>
      <c r="C64" s="228"/>
      <c r="D64" s="229"/>
      <c r="E64" s="230"/>
    </row>
    <row r="65" spans="2:5" s="226" customFormat="1">
      <c r="B65" s="227">
        <f t="shared" ref="B65" ca="1" si="1">OFFSET( B65, -1, 0 ) + 1</f>
        <v>1</v>
      </c>
      <c r="C65" s="228" t="s">
        <v>1</v>
      </c>
      <c r="D65" s="229" t="s">
        <v>282</v>
      </c>
      <c r="E65" s="230" t="s">
        <v>370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5" s="214" customFormat="1" ht="19">
      <c r="A1" s="214" t="s">
        <v>432</v>
      </c>
      <c r="C1" s="215"/>
      <c r="D1" s="216"/>
      <c r="E1" s="217"/>
    </row>
    <row r="2" spans="1:5" s="214" customFormat="1">
      <c r="C2" s="218"/>
      <c r="D2" s="216"/>
      <c r="E2" s="217"/>
    </row>
    <row r="3" spans="1:5">
      <c r="E3" s="231">
        <v>40908</v>
      </c>
    </row>
    <row r="4" spans="1:5">
      <c r="C4" s="214"/>
      <c r="D4" s="216"/>
    </row>
    <row r="5" spans="1:5" s="219" customFormat="1" ht="30">
      <c r="C5" s="220" t="s">
        <v>0</v>
      </c>
      <c r="D5" s="221" t="s">
        <v>433</v>
      </c>
      <c r="E5" s="222" t="s">
        <v>434</v>
      </c>
    </row>
    <row r="6" spans="1:5">
      <c r="C6" s="223"/>
      <c r="D6" s="224"/>
      <c r="E6" s="225"/>
    </row>
    <row r="7" spans="1:5" s="226" customFormat="1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>
      <c r="B23" s="227">
        <f t="shared" ca="1" si="0"/>
        <v>17</v>
      </c>
      <c r="C23" s="228" t="s">
        <v>57</v>
      </c>
      <c r="D23" s="229" t="s">
        <v>295</v>
      </c>
      <c r="E23" s="230" t="s">
        <v>370</v>
      </c>
    </row>
    <row r="24" spans="2:5" s="226" customFormat="1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>
      <c r="B62" s="227"/>
      <c r="C62" s="228"/>
      <c r="D62" s="229"/>
      <c r="E62" s="230"/>
    </row>
    <row r="63" spans="2:5" s="226" customFormat="1">
      <c r="B63" s="227">
        <f t="shared" ca="1" si="0"/>
        <v>1</v>
      </c>
      <c r="C63" s="228" t="s">
        <v>19</v>
      </c>
      <c r="D63" s="229" t="s">
        <v>443</v>
      </c>
      <c r="E63" s="230" t="s">
        <v>370</v>
      </c>
    </row>
    <row r="64" spans="2:5" s="226" customFormat="1">
      <c r="B64" s="227">
        <f t="shared" ca="1" si="0"/>
        <v>2</v>
      </c>
      <c r="C64" s="228" t="s">
        <v>64</v>
      </c>
      <c r="D64" s="229" t="s">
        <v>442</v>
      </c>
      <c r="E64" s="230" t="s">
        <v>370</v>
      </c>
    </row>
    <row r="65" spans="2:5" s="226" customFormat="1">
      <c r="B65" s="227">
        <f t="shared" ca="1" si="0"/>
        <v>3</v>
      </c>
      <c r="C65" s="228" t="s">
        <v>248</v>
      </c>
      <c r="D65" s="229" t="s">
        <v>444</v>
      </c>
      <c r="E65" s="230" t="s">
        <v>86</v>
      </c>
    </row>
    <row r="66" spans="2:5" s="226" customFormat="1">
      <c r="B66" s="227">
        <f t="shared" ca="1" si="0"/>
        <v>4</v>
      </c>
      <c r="C66" s="228" t="s">
        <v>58</v>
      </c>
      <c r="D66" s="229" t="s">
        <v>445</v>
      </c>
      <c r="E66" s="230" t="s">
        <v>370</v>
      </c>
    </row>
    <row r="67" spans="2:5" s="226" customFormat="1">
      <c r="B67" s="227">
        <f t="shared" ca="1" si="0"/>
        <v>5</v>
      </c>
      <c r="C67" s="228" t="s">
        <v>52</v>
      </c>
      <c r="D67" s="229" t="s">
        <v>446</v>
      </c>
      <c r="E67" s="230" t="s">
        <v>371</v>
      </c>
    </row>
    <row r="68" spans="2:5" s="226" customFormat="1">
      <c r="B68" s="227">
        <f t="shared" ca="1" si="0"/>
        <v>6</v>
      </c>
      <c r="C68" s="228" t="s">
        <v>54</v>
      </c>
      <c r="D68" s="229" t="s">
        <v>448</v>
      </c>
      <c r="E68" s="230" t="s">
        <v>370</v>
      </c>
    </row>
    <row r="69" spans="2:5" s="226" customFormat="1">
      <c r="B69" s="227"/>
      <c r="C69" s="228"/>
      <c r="D69" s="229"/>
      <c r="E69" s="230"/>
    </row>
    <row r="70" spans="2:5" s="226" customFormat="1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baseColWidth="10" defaultColWidth="9.1640625" defaultRowHeight="14"/>
  <cols>
    <col min="1" max="1" width="2.6640625" style="218" customWidth="1"/>
    <col min="2" max="2" width="4.6640625" style="218" customWidth="1"/>
    <col min="3" max="3" width="42.83203125" style="218" customWidth="1"/>
    <col min="4" max="4" width="9.6640625" style="217" customWidth="1"/>
    <col min="5" max="5" width="14" style="217" customWidth="1"/>
    <col min="6" max="16384" width="9.1640625" style="218"/>
  </cols>
  <sheetData>
    <row r="1" spans="1:5" s="214" customFormat="1" ht="19">
      <c r="A1" s="214" t="s">
        <v>432</v>
      </c>
      <c r="C1" s="215"/>
      <c r="D1" s="216"/>
      <c r="E1" s="217"/>
    </row>
    <row r="2" spans="1:5" s="214" customFormat="1">
      <c r="C2" s="218"/>
      <c r="D2" s="216"/>
      <c r="E2" s="217"/>
    </row>
    <row r="3" spans="1:5">
      <c r="E3" s="231">
        <v>40543</v>
      </c>
    </row>
    <row r="4" spans="1:5">
      <c r="C4" s="214"/>
      <c r="D4" s="216"/>
    </row>
    <row r="5" spans="1:5" s="219" customFormat="1" ht="30">
      <c r="C5" s="220" t="s">
        <v>0</v>
      </c>
      <c r="D5" s="221" t="s">
        <v>433</v>
      </c>
      <c r="E5" s="222" t="s">
        <v>434</v>
      </c>
    </row>
    <row r="6" spans="1:5">
      <c r="C6" s="223"/>
      <c r="D6" s="224"/>
      <c r="E6" s="225"/>
    </row>
    <row r="7" spans="1:5" s="226" customFormat="1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>
      <c r="B23" s="227">
        <f t="shared" ca="1" si="0"/>
        <v>17</v>
      </c>
      <c r="C23" s="228" t="s">
        <v>57</v>
      </c>
      <c r="D23" s="229" t="s">
        <v>295</v>
      </c>
      <c r="E23" s="230" t="s">
        <v>371</v>
      </c>
    </row>
    <row r="24" spans="2:5" s="226" customFormat="1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>
      <c r="B62" s="227"/>
      <c r="C62" s="228"/>
      <c r="D62" s="229"/>
      <c r="E62" s="230"/>
    </row>
    <row r="63" spans="2:5" s="226" customFormat="1">
      <c r="B63" s="227">
        <f t="shared" ca="1" si="0"/>
        <v>1</v>
      </c>
      <c r="C63" s="228" t="s">
        <v>483</v>
      </c>
      <c r="D63" s="229" t="s">
        <v>442</v>
      </c>
      <c r="E63" s="230" t="s">
        <v>370</v>
      </c>
    </row>
    <row r="64" spans="2:5" s="226" customFormat="1">
      <c r="B64" s="227">
        <f t="shared" ca="1" si="0"/>
        <v>2</v>
      </c>
      <c r="C64" s="228" t="s">
        <v>482</v>
      </c>
      <c r="D64" s="229" t="s">
        <v>444</v>
      </c>
      <c r="E64" s="230" t="s">
        <v>86</v>
      </c>
    </row>
    <row r="65" spans="2:5" s="226" customFormat="1">
      <c r="B65" s="227">
        <f t="shared" ca="1" si="0"/>
        <v>3</v>
      </c>
      <c r="C65" s="226" t="s">
        <v>485</v>
      </c>
      <c r="D65" s="226" t="s">
        <v>443</v>
      </c>
      <c r="E65" s="230" t="s">
        <v>370</v>
      </c>
    </row>
    <row r="66" spans="2:5" s="226" customFormat="1">
      <c r="B66" s="227">
        <f t="shared" ca="1" si="0"/>
        <v>4</v>
      </c>
      <c r="C66" s="228" t="s">
        <v>481</v>
      </c>
      <c r="D66" s="229" t="s">
        <v>445</v>
      </c>
      <c r="E66" s="230" t="s">
        <v>370</v>
      </c>
    </row>
    <row r="67" spans="2:5" s="226" customFormat="1">
      <c r="B67" s="227">
        <f t="shared" ca="1" si="0"/>
        <v>5</v>
      </c>
      <c r="C67" s="228" t="s">
        <v>480</v>
      </c>
      <c r="D67" s="229" t="s">
        <v>446</v>
      </c>
      <c r="E67" s="230" t="s">
        <v>371</v>
      </c>
    </row>
    <row r="68" spans="2:5" s="226" customFormat="1">
      <c r="B68" s="227">
        <f t="shared" ca="1" si="0"/>
        <v>6</v>
      </c>
      <c r="C68" s="228" t="s">
        <v>484</v>
      </c>
      <c r="D68" s="229" t="s">
        <v>448</v>
      </c>
      <c r="E68" s="230" t="s">
        <v>370</v>
      </c>
    </row>
    <row r="69" spans="2:5" s="226" customFormat="1">
      <c r="B69" s="227"/>
      <c r="C69" s="228"/>
      <c r="D69" s="229"/>
      <c r="E69" s="230"/>
    </row>
    <row r="70" spans="2:5" s="226" customFormat="1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  <pageSetUpPr fitToPage="1"/>
  </sheetPr>
  <dimension ref="A1:BJ78"/>
  <sheetViews>
    <sheetView showGridLines="0" tabSelected="1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 ca="1">"I.  S&amp;P Utility Credit Ratings Distribution -- " &amp; B6</f>
        <v>I.  S&amp;P Utility Credit Ratings Distribution -- 2020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 ca="1">G2</f>
        <v>Reg_Percent_2019</v>
      </c>
      <c r="G2" s="239" t="s">
        <v>589</v>
      </c>
      <c r="AJ2" s="240" t="str">
        <f ca="1">AJ4 &amp; AJ3</f>
        <v>'Credit_2020Q1'!d:d</v>
      </c>
      <c r="AK2" s="240" t="str">
        <f ca="1">AK4 &amp; AK3</f>
        <v>'Credit_2020Q1'!b1</v>
      </c>
      <c r="AL2" s="240" t="str">
        <f ca="1">AL4 &amp; AL3</f>
        <v>'Credit_2020Q1'!c1</v>
      </c>
      <c r="AQ2" s="236"/>
    </row>
    <row r="3" spans="1:61" ht="19" hidden="1" outlineLevel="1">
      <c r="A3" s="233"/>
      <c r="E3" s="241" t="str">
        <f ca="1">"'" &amp; E2 &amp; "'!"</f>
        <v>'Reg_Percent_2019'!</v>
      </c>
      <c r="G3" s="234" t="str">
        <f ca="1"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 ca="1">$AQ$5</f>
        <v>'Credit_2020Q1'!</v>
      </c>
      <c r="AK4" s="236" t="str">
        <f t="shared" ref="AK4:AL4" ca="1" si="0">$AQ$5</f>
        <v>'Credit_2020Q1'!</v>
      </c>
      <c r="AL4" s="236" t="str">
        <f t="shared" ca="1" si="0"/>
        <v>'Credit_2020Q1'!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 ca="1">"All Companies" &amp; CHAR( 10 ) &amp; "("&amp; L14 &amp; ")"</f>
        <v>All Companies
(45)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(10)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597</v>
      </c>
    </row>
    <row r="6" spans="1:61" ht="28.5" customHeight="1">
      <c r="A6" s="299" t="s">
        <v>0</v>
      </c>
      <c r="B6" s="300" t="s">
        <v>598</v>
      </c>
      <c r="C6" s="338" t="s">
        <v>470</v>
      </c>
      <c r="D6" s="301"/>
      <c r="E6" s="302">
        <f ca="1">INDIRECT( E3 &amp; G1 )</f>
        <v>43830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ca="1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38" ca="1" si="5">IF( LEN( AS7 ) = 0, 99, RANK( AS7, $AS$7:$AS$62 ) )</f>
        <v>30</v>
      </c>
      <c r="AW7" s="234">
        <f ca="1">COUNTIF( AV7:AV$7, AV7 )</f>
        <v>1</v>
      </c>
      <c r="AX7" s="287">
        <f ca="1">AV7 + AW7 / 10</f>
        <v>30.1</v>
      </c>
      <c r="AY7" s="234">
        <f t="shared" ref="AY7:AY38" ca="1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38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ca="1" si="10">COUNTIF($C$7:$C$67,$X8)</f>
        <v>2</v>
      </c>
      <c r="M8" s="294">
        <f t="shared" ref="M8:M13" ca="1" si="11">IF( L8 = 0, "", L8/L$14 )</f>
        <v>4.4444444444444446E-2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ca="1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ca="1" si="5"/>
        <v>2</v>
      </c>
      <c r="AW8" s="234">
        <f ca="1">COUNTIF( AV$7:AV8, AV8 )</f>
        <v>1</v>
      </c>
      <c r="AX8" s="287">
        <f t="shared" ref="AX8:AX63" ca="1" si="22">AV8 + AW8 / 10</f>
        <v>2.1</v>
      </c>
      <c r="AY8" s="234">
        <f t="shared" ca="1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F50" ca="1" si="23">OFFSET( AQ$6, $BD8, 0 )</f>
        <v>Alliant Energy Corporation</v>
      </c>
      <c r="BG8" s="240" t="str">
        <f t="shared" ref="BG8:BG50" ca="1" si="24">OFFSET( AR$6, $BD8, 0 )</f>
        <v>A-</v>
      </c>
      <c r="BH8" s="240">
        <f t="shared" ref="BH8:BH50" ca="1" si="25">OFFSET( AS$6, $BD8, 0 )</f>
        <v>20</v>
      </c>
      <c r="BI8" s="240" t="str">
        <f t="shared" ref="BI8:BI50" ca="1" si="26">OFFSET( AT$6, $BD8, 0 )</f>
        <v>LNT</v>
      </c>
    </row>
    <row r="9" spans="1:61" ht="14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ca="1" si="10"/>
        <v>12</v>
      </c>
      <c r="M9" s="296">
        <f t="shared" ca="1" si="11"/>
        <v>0.26666666666666666</v>
      </c>
      <c r="N9" s="318"/>
      <c r="O9" s="295">
        <f t="shared" ca="1" si="12"/>
        <v>11</v>
      </c>
      <c r="P9" s="296">
        <f t="shared" ca="1" si="13"/>
        <v>0.31428571428571428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ca="1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ca="1" si="5"/>
        <v>14</v>
      </c>
      <c r="AW9" s="234">
        <f ca="1">COUNTIF( AV$7:AV9, AV9 )</f>
        <v>1</v>
      </c>
      <c r="AX9" s="287">
        <f t="shared" ca="1" si="22"/>
        <v>14.1</v>
      </c>
      <c r="AY9" s="234">
        <f t="shared" ca="1" si="6"/>
        <v>14</v>
      </c>
      <c r="AZ9" s="236"/>
      <c r="BA9" s="236"/>
      <c r="BC9" s="234">
        <f t="shared" ref="BC9:BC63" ca="1" si="27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4"/>
        <v>A-</v>
      </c>
      <c r="BH9" s="240">
        <f t="shared" ca="1" si="25"/>
        <v>20</v>
      </c>
      <c r="BI9" s="240" t="str">
        <f t="shared" ca="1" si="26"/>
        <v>AEP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ca="1" si="10"/>
        <v>16</v>
      </c>
      <c r="M10" s="296">
        <f t="shared" ca="1" si="11"/>
        <v>0.35555555555555557</v>
      </c>
      <c r="N10" s="318"/>
      <c r="O10" s="295">
        <f t="shared" ca="1" si="12"/>
        <v>10</v>
      </c>
      <c r="P10" s="296">
        <f t="shared" ca="1" si="13"/>
        <v>0.2857142857142857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ca="1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ca="1" si="5"/>
        <v>2</v>
      </c>
      <c r="AW10" s="234">
        <f ca="1">COUNTIF( AV$7:AV10, AV10 )</f>
        <v>2</v>
      </c>
      <c r="AX10" s="287">
        <f t="shared" ca="1" si="22"/>
        <v>2.2000000000000002</v>
      </c>
      <c r="AY10" s="234">
        <f t="shared" ca="1" si="6"/>
        <v>3</v>
      </c>
      <c r="AZ10" s="236"/>
      <c r="BA10" s="236"/>
      <c r="BC10" s="234">
        <f t="shared" ca="1" si="27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4"/>
        <v>A-</v>
      </c>
      <c r="BH10" s="240">
        <f t="shared" ca="1" si="25"/>
        <v>20</v>
      </c>
      <c r="BI10" s="240" t="str">
        <f t="shared" ca="1" si="26"/>
        <v>ED</v>
      </c>
    </row>
    <row r="11" spans="1:61" ht="14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ca="1" si="10"/>
        <v>10</v>
      </c>
      <c r="M11" s="296">
        <f t="shared" ca="1" si="11"/>
        <v>0.22222222222222221</v>
      </c>
      <c r="N11" s="318"/>
      <c r="O11" s="295">
        <f t="shared" ca="1" si="12"/>
        <v>9</v>
      </c>
      <c r="P11" s="296">
        <f t="shared" ca="1" si="13"/>
        <v>0.25714285714285712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10</v>
      </c>
      <c r="AE11" s="254"/>
      <c r="AF11" s="236">
        <f t="shared" ca="1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ca="1" si="5"/>
        <v>14</v>
      </c>
      <c r="AW11" s="234">
        <f ca="1">COUNTIF( AV$7:AV11, AV11 )</f>
        <v>2</v>
      </c>
      <c r="AX11" s="287">
        <f t="shared" ca="1" si="22"/>
        <v>14.2</v>
      </c>
      <c r="AY11" s="234">
        <f t="shared" ca="1" si="6"/>
        <v>15</v>
      </c>
      <c r="AZ11" s="236"/>
      <c r="BA11" s="236"/>
      <c r="BC11" s="234">
        <f t="shared" ca="1" si="27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4"/>
        <v>A-</v>
      </c>
      <c r="BH11" s="240">
        <f t="shared" ca="1" si="25"/>
        <v>20</v>
      </c>
      <c r="BI11" s="240" t="str">
        <f t="shared" ca="1" si="26"/>
        <v>DUK</v>
      </c>
    </row>
    <row r="12" spans="1:61" ht="14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ca="1" si="10"/>
        <v>3</v>
      </c>
      <c r="M12" s="296">
        <f t="shared" ca="1" si="11"/>
        <v>6.6666666666666666E-2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ca="1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ca="1" si="5"/>
        <v>30</v>
      </c>
      <c r="AW12" s="234">
        <f ca="1">COUNTIF( AV$7:AV12, AV12 )</f>
        <v>2</v>
      </c>
      <c r="AX12" s="287">
        <f t="shared" ca="1" si="22"/>
        <v>30.2</v>
      </c>
      <c r="AY12" s="234">
        <f t="shared" ca="1" si="6"/>
        <v>31</v>
      </c>
      <c r="AZ12" s="236"/>
      <c r="BA12" s="236"/>
      <c r="BC12" s="234">
        <f t="shared" ca="1" si="27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4"/>
        <v>A-</v>
      </c>
      <c r="BH12" s="240">
        <f t="shared" ca="1" si="25"/>
        <v>20</v>
      </c>
      <c r="BI12" s="240" t="str">
        <f t="shared" ca="1" si="26"/>
        <v>EVRG</v>
      </c>
    </row>
    <row r="13" spans="1:61" ht="14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ca="1" si="10"/>
        <v>2</v>
      </c>
      <c r="M13" s="298">
        <f t="shared" ca="1" si="11"/>
        <v>4.4444444444444446E-2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ca="1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ca="1" si="5"/>
        <v>1</v>
      </c>
      <c r="AW13" s="234">
        <f ca="1">COUNTIF( AV$7:AV13, AV13 )</f>
        <v>1</v>
      </c>
      <c r="AX13" s="287">
        <f t="shared" ca="1" si="22"/>
        <v>1.1000000000000001</v>
      </c>
      <c r="AY13" s="234">
        <f t="shared" ca="1" si="6"/>
        <v>1</v>
      </c>
      <c r="AZ13" s="236"/>
      <c r="BA13" s="236"/>
      <c r="BC13" s="234">
        <f t="shared" ca="1" si="27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4"/>
        <v>A-</v>
      </c>
      <c r="BH13" s="240">
        <f t="shared" ca="1" si="25"/>
        <v>20</v>
      </c>
      <c r="BI13" s="240" t="str">
        <f t="shared" ca="1" si="26"/>
        <v>ES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 ca="1">SUM(L8:L13)</f>
        <v>45</v>
      </c>
      <c r="M14" s="292">
        <f ca="1"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 ca="1">SUMPRODUCT( L8:L13, Y8:Y13 ) / L14</f>
        <v>18.866666666666667</v>
      </c>
      <c r="Z14" s="261"/>
      <c r="AA14" s="491">
        <f ca="1">SUM(AA8:AA13)</f>
        <v>45</v>
      </c>
      <c r="AE14" s="254"/>
      <c r="AF14" s="236">
        <f t="shared" ca="1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ca="1" si="5"/>
        <v>14</v>
      </c>
      <c r="AW14" s="234">
        <f ca="1">COUNTIF( AV$7:AV14, AV14 )</f>
        <v>3</v>
      </c>
      <c r="AX14" s="287">
        <f t="shared" ca="1" si="22"/>
        <v>14.3</v>
      </c>
      <c r="AY14" s="234">
        <f t="shared" ca="1" si="6"/>
        <v>16</v>
      </c>
      <c r="AZ14" s="236"/>
      <c r="BA14" s="236"/>
      <c r="BC14" s="234">
        <f t="shared" ca="1" si="27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4"/>
        <v>A-</v>
      </c>
      <c r="BH14" s="240">
        <f t="shared" ca="1" si="25"/>
        <v>20</v>
      </c>
      <c r="BI14" s="240" t="str">
        <f t="shared" ca="1" si="26"/>
        <v>NEE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ca="1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ca="1" si="5"/>
        <v>14</v>
      </c>
      <c r="AW15" s="234">
        <f ca="1">COUNTIF( AV$7:AV15, AV15 )</f>
        <v>4</v>
      </c>
      <c r="AX15" s="287">
        <f t="shared" ca="1" si="22"/>
        <v>14.4</v>
      </c>
      <c r="AY15" s="234">
        <f t="shared" ca="1" si="6"/>
        <v>17</v>
      </c>
      <c r="AZ15" s="236"/>
      <c r="BA15" s="236"/>
      <c r="BC15" s="234">
        <f t="shared" ca="1" si="27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4"/>
        <v>A-</v>
      </c>
      <c r="BH15" s="240">
        <f t="shared" ca="1" si="25"/>
        <v>20</v>
      </c>
      <c r="BI15" s="240" t="str">
        <f t="shared" ca="1" si="26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aca="1" ref="L16" ca="1">SUM( IF( LEN( $C$7:$C$65 ) = 0, 0, $C$7:$C$65 ) ) / SUM( IF( LEN( $C$7:$C$65 ) = 0, 0, 1  ) )</f>
        <v>18.844444444444445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18.8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ca="1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ca="1" si="5"/>
        <v>40</v>
      </c>
      <c r="AW16" s="234">
        <f ca="1">COUNTIF( AV$7:AV16, AV16 )</f>
        <v>1</v>
      </c>
      <c r="AX16" s="287">
        <f t="shared" ca="1" si="22"/>
        <v>40.1</v>
      </c>
      <c r="AY16" s="234">
        <f t="shared" ca="1" si="6"/>
        <v>40</v>
      </c>
      <c r="AZ16" s="236"/>
      <c r="BA16" s="236"/>
      <c r="BC16" s="234">
        <f t="shared" ca="1" si="27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4"/>
        <v>A-</v>
      </c>
      <c r="BH16" s="240">
        <f t="shared" ca="1" si="25"/>
        <v>20</v>
      </c>
      <c r="BI16" s="240" t="str">
        <f t="shared" ca="1" si="26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ca="1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ca="1" si="5"/>
        <v>14</v>
      </c>
      <c r="AW17" s="234">
        <f ca="1">COUNTIF( AV$7:AV17, AV17 )</f>
        <v>5</v>
      </c>
      <c r="AX17" s="287">
        <f t="shared" ca="1" si="22"/>
        <v>14.5</v>
      </c>
      <c r="AY17" s="234">
        <f t="shared" ca="1" si="6"/>
        <v>18</v>
      </c>
      <c r="AZ17" s="236"/>
      <c r="BA17" s="236"/>
      <c r="BC17" s="234">
        <f t="shared" ca="1" si="27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4"/>
        <v>A-</v>
      </c>
      <c r="BH17" s="240">
        <f t="shared" ca="1" si="25"/>
        <v>20</v>
      </c>
      <c r="BI17" s="240" t="str">
        <f t="shared" ca="1" si="26"/>
        <v>SO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ca="1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ca="1" si="5"/>
        <v>2</v>
      </c>
      <c r="AW18" s="234">
        <f ca="1">COUNTIF( AV$7:AV18, AV18 )</f>
        <v>3</v>
      </c>
      <c r="AX18" s="287">
        <f t="shared" ca="1" si="22"/>
        <v>2.2999999999999998</v>
      </c>
      <c r="AY18" s="234">
        <f t="shared" ca="1" si="6"/>
        <v>4</v>
      </c>
      <c r="AZ18" s="236"/>
      <c r="BA18" s="236"/>
      <c r="BC18" s="234">
        <f t="shared" ca="1" si="27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4"/>
        <v>A-</v>
      </c>
      <c r="BH18" s="240">
        <f t="shared" ca="1" si="25"/>
        <v>20</v>
      </c>
      <c r="BI18" s="240" t="str">
        <f t="shared" ca="1" si="26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ca="1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ca="1" si="5"/>
        <v>14</v>
      </c>
      <c r="AW19" s="234">
        <f ca="1">COUNTIF( AV$7:AV19, AV19 )</f>
        <v>6</v>
      </c>
      <c r="AX19" s="287">
        <f t="shared" ca="1" si="22"/>
        <v>14.6</v>
      </c>
      <c r="AY19" s="234">
        <f t="shared" ca="1" si="6"/>
        <v>19</v>
      </c>
      <c r="AZ19" s="236"/>
      <c r="BA19" s="236"/>
      <c r="BC19" s="234">
        <f t="shared" ca="1" si="27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4"/>
        <v>A-</v>
      </c>
      <c r="BH19" s="240">
        <f t="shared" ca="1" si="25"/>
        <v>20</v>
      </c>
      <c r="BI19" s="240" t="str">
        <f t="shared" ca="1" si="26"/>
        <v>XEL</v>
      </c>
    </row>
    <row r="20" spans="1:61" ht="14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ca="1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21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ca="1" si="5"/>
        <v>43</v>
      </c>
      <c r="AW20" s="234">
        <f ca="1">COUNTIF( AV$7:AV20, AV20 )</f>
        <v>1</v>
      </c>
      <c r="AX20" s="287">
        <f t="shared" ca="1" si="22"/>
        <v>43.1</v>
      </c>
      <c r="AY20" s="234">
        <f t="shared" ca="1" si="6"/>
        <v>43</v>
      </c>
      <c r="AZ20" s="236"/>
      <c r="BA20" s="236"/>
      <c r="BC20" s="234">
        <f t="shared" ca="1" si="27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4"/>
        <v>BBB+</v>
      </c>
      <c r="BH20" s="240">
        <f t="shared" ca="1" si="25"/>
        <v>19</v>
      </c>
      <c r="BI20" s="240" t="str">
        <f t="shared" ca="1" si="26"/>
        <v>AEE</v>
      </c>
    </row>
    <row r="21" spans="1:61" ht="14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ca="1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22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ca="1" si="5"/>
        <v>14</v>
      </c>
      <c r="AW21" s="234">
        <f ca="1">COUNTIF( AV$7:AV21, AV21 )</f>
        <v>7</v>
      </c>
      <c r="AX21" s="287">
        <f t="shared" ca="1" si="22"/>
        <v>14.7</v>
      </c>
      <c r="AY21" s="234">
        <f t="shared" ca="1" si="6"/>
        <v>20</v>
      </c>
      <c r="AZ21" s="236"/>
      <c r="BA21" s="236"/>
      <c r="BC21" s="234">
        <f t="shared" ca="1" si="27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4"/>
        <v>BBB+</v>
      </c>
      <c r="BH21" s="240">
        <f t="shared" ca="1" si="25"/>
        <v>19</v>
      </c>
      <c r="BI21" s="240" t="str">
        <f t="shared" ca="1" si="26"/>
        <v>AGR</v>
      </c>
    </row>
    <row r="22" spans="1:61" ht="14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ca="1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23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ca="1" si="5"/>
        <v>2</v>
      </c>
      <c r="AW22" s="234">
        <f ca="1">COUNTIF( AV$7:AV22, AV22 )</f>
        <v>4</v>
      </c>
      <c r="AX22" s="287">
        <f t="shared" ca="1" si="22"/>
        <v>2.4</v>
      </c>
      <c r="AY22" s="234">
        <f t="shared" ca="1" si="6"/>
        <v>5</v>
      </c>
      <c r="AZ22" s="236"/>
      <c r="BA22" s="236"/>
      <c r="BC22" s="234">
        <f t="shared" ca="1" si="27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4"/>
        <v>BBB+</v>
      </c>
      <c r="BH22" s="240">
        <f t="shared" ca="1" si="25"/>
        <v>19</v>
      </c>
      <c r="BI22" s="240" t="str">
        <f t="shared" ca="1" si="26"/>
        <v>BKH</v>
      </c>
    </row>
    <row r="23" spans="1:61" ht="14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ca="1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24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ca="1" si="5"/>
        <v>30</v>
      </c>
      <c r="AW23" s="234">
        <f ca="1">COUNTIF( AV$7:AV23, AV23 )</f>
        <v>3</v>
      </c>
      <c r="AX23" s="287">
        <f t="shared" ca="1" si="22"/>
        <v>30.3</v>
      </c>
      <c r="AY23" s="234">
        <f t="shared" ca="1" si="6"/>
        <v>32</v>
      </c>
      <c r="AZ23" s="236"/>
      <c r="BA23" s="236"/>
      <c r="BC23" s="234">
        <f t="shared" ca="1" si="27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4"/>
        <v>BBB+</v>
      </c>
      <c r="BH23" s="240">
        <f t="shared" ca="1" si="25"/>
        <v>19</v>
      </c>
      <c r="BI23" s="240" t="str">
        <f t="shared" ca="1" si="26"/>
        <v>CNP</v>
      </c>
    </row>
    <row r="24" spans="1:61" ht="14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ca="1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25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ca="1" si="5"/>
        <v>30</v>
      </c>
      <c r="AW24" s="234">
        <f ca="1">COUNTIF( AV$7:AV24, AV24 )</f>
        <v>4</v>
      </c>
      <c r="AX24" s="287">
        <f t="shared" ca="1" si="22"/>
        <v>30.4</v>
      </c>
      <c r="AY24" s="234">
        <f t="shared" ca="1" si="6"/>
        <v>33</v>
      </c>
      <c r="AZ24" s="236"/>
      <c r="BA24" s="236"/>
      <c r="BC24" s="234">
        <f t="shared" ca="1" si="27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4"/>
        <v>BBB+</v>
      </c>
      <c r="BH24" s="240">
        <f t="shared" ca="1" si="25"/>
        <v>19</v>
      </c>
      <c r="BI24" s="240" t="str">
        <f t="shared" ca="1" si="26"/>
        <v>CMS</v>
      </c>
    </row>
    <row r="25" spans="1:61" ht="14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ca="1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26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ca="1" si="5"/>
        <v>14</v>
      </c>
      <c r="AW25" s="234">
        <f ca="1">COUNTIF( AV$7:AV25, AV25 )</f>
        <v>8</v>
      </c>
      <c r="AX25" s="287">
        <f t="shared" ca="1" si="22"/>
        <v>14.8</v>
      </c>
      <c r="AY25" s="234">
        <f t="shared" ca="1" si="6"/>
        <v>21</v>
      </c>
      <c r="AZ25" s="236"/>
      <c r="BA25" s="236"/>
      <c r="BC25" s="234">
        <f t="shared" ca="1" si="27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4"/>
        <v>BBB+</v>
      </c>
      <c r="BH25" s="240">
        <f t="shared" ca="1" si="25"/>
        <v>19</v>
      </c>
      <c r="BI25" s="240" t="str">
        <f t="shared" ca="1" si="26"/>
        <v>D</v>
      </c>
    </row>
    <row r="26" spans="1:61" ht="14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ca="1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27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ca="1" si="5"/>
        <v>2</v>
      </c>
      <c r="AW26" s="234">
        <f ca="1">COUNTIF( AV$7:AV26, AV26 )</f>
        <v>5</v>
      </c>
      <c r="AX26" s="287">
        <f t="shared" ca="1" si="22"/>
        <v>2.5</v>
      </c>
      <c r="AY26" s="234">
        <f t="shared" ca="1" si="6"/>
        <v>6</v>
      </c>
      <c r="AZ26" s="236"/>
      <c r="BA26" s="236"/>
      <c r="BC26" s="234">
        <f t="shared" ca="1" si="27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4"/>
        <v>BBB+</v>
      </c>
      <c r="BH26" s="240">
        <f t="shared" ca="1" si="25"/>
        <v>19</v>
      </c>
      <c r="BI26" s="240" t="str">
        <f t="shared" ca="1" si="26"/>
        <v>DTE</v>
      </c>
    </row>
    <row r="27" spans="1:61" ht="14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ca="1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28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ca="1" si="5"/>
        <v>2</v>
      </c>
      <c r="AW27" s="234">
        <f ca="1">COUNTIF( AV$7:AV27, AV27 )</f>
        <v>6</v>
      </c>
      <c r="AX27" s="287">
        <f t="shared" ca="1" si="22"/>
        <v>2.6</v>
      </c>
      <c r="AY27" s="234">
        <f t="shared" ca="1" si="6"/>
        <v>7</v>
      </c>
      <c r="AZ27" s="236"/>
      <c r="BA27" s="236"/>
      <c r="BC27" s="234">
        <f t="shared" ca="1" si="27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4"/>
        <v>BBB+</v>
      </c>
      <c r="BH27" s="240">
        <f t="shared" ca="1" si="25"/>
        <v>19</v>
      </c>
      <c r="BI27" s="240" t="str">
        <f t="shared" ca="1" si="26"/>
        <v>ETR</v>
      </c>
    </row>
    <row r="28" spans="1:61" ht="14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ca="1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29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ca="1" si="5"/>
        <v>14</v>
      </c>
      <c r="AW28" s="234">
        <f ca="1">COUNTIF( AV$7:AV28, AV28 )</f>
        <v>9</v>
      </c>
      <c r="AX28" s="287">
        <f t="shared" ca="1" si="22"/>
        <v>14.9</v>
      </c>
      <c r="AY28" s="234">
        <f t="shared" ca="1" si="6"/>
        <v>22</v>
      </c>
      <c r="AZ28" s="236"/>
      <c r="BA28" s="236"/>
      <c r="BC28" s="234">
        <f t="shared" ca="1" si="27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4"/>
        <v>BBB+</v>
      </c>
      <c r="BH28" s="240">
        <f t="shared" ca="1" si="25"/>
        <v>19</v>
      </c>
      <c r="BI28" s="240" t="str">
        <f t="shared" ca="1" si="26"/>
        <v>EXC</v>
      </c>
    </row>
    <row r="29" spans="1:61" ht="14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ca="1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30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ca="1" si="5"/>
        <v>30</v>
      </c>
      <c r="AW29" s="234">
        <f ca="1">COUNTIF( AV$7:AV29, AV29 )</f>
        <v>5</v>
      </c>
      <c r="AX29" s="287">
        <f t="shared" ca="1" si="22"/>
        <v>30.5</v>
      </c>
      <c r="AY29" s="234">
        <f t="shared" ca="1" si="6"/>
        <v>34</v>
      </c>
      <c r="AZ29" s="236"/>
      <c r="BA29" s="236"/>
      <c r="BC29" s="234">
        <f t="shared" ca="1" si="27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4"/>
        <v>BBB+</v>
      </c>
      <c r="BH29" s="240">
        <f t="shared" ca="1" si="25"/>
        <v>19</v>
      </c>
      <c r="BI29" s="240" t="str">
        <f t="shared" ca="1" si="26"/>
        <v>MDU</v>
      </c>
    </row>
    <row r="30" spans="1:61" ht="14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ca="1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31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ca="1" si="5"/>
        <v>40</v>
      </c>
      <c r="AW30" s="234">
        <f ca="1">COUNTIF( AV$7:AV30, AV30 )</f>
        <v>2</v>
      </c>
      <c r="AX30" s="287">
        <f t="shared" ca="1" si="22"/>
        <v>40.200000000000003</v>
      </c>
      <c r="AY30" s="234">
        <f t="shared" ca="1" si="6"/>
        <v>41</v>
      </c>
      <c r="AZ30" s="236"/>
      <c r="BA30" s="236"/>
      <c r="BC30" s="234">
        <f t="shared" ca="1" si="27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4"/>
        <v>BBB+</v>
      </c>
      <c r="BH30" s="240">
        <f t="shared" ca="1" si="25"/>
        <v>19</v>
      </c>
      <c r="BI30" s="240" t="str">
        <f t="shared" ca="1" si="26"/>
        <v>NI</v>
      </c>
    </row>
    <row r="31" spans="1:61" ht="14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ca="1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32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ca="1" si="5"/>
        <v>30</v>
      </c>
      <c r="AW31" s="234">
        <f ca="1">COUNTIF( AV$7:AV31, AV31 )</f>
        <v>6</v>
      </c>
      <c r="AX31" s="287">
        <f t="shared" ca="1" si="22"/>
        <v>30.6</v>
      </c>
      <c r="AY31" s="234">
        <f t="shared" ca="1" si="6"/>
        <v>35</v>
      </c>
      <c r="AZ31" s="236"/>
      <c r="BA31" s="236"/>
      <c r="BC31" s="234">
        <f t="shared" ca="1" si="27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4"/>
        <v>BBB+</v>
      </c>
      <c r="BH31" s="240">
        <f t="shared" ca="1" si="25"/>
        <v>19</v>
      </c>
      <c r="BI31" s="240" t="str">
        <f t="shared" ca="1" si="26"/>
        <v>OGE</v>
      </c>
    </row>
    <row r="32" spans="1:61" ht="14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ca="1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34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ca="1" si="5"/>
        <v>30</v>
      </c>
      <c r="AW32" s="234">
        <f ca="1">COUNTIF( AV$7:AV32, AV32 )</f>
        <v>7</v>
      </c>
      <c r="AX32" s="287">
        <f t="shared" ca="1" si="22"/>
        <v>30.7</v>
      </c>
      <c r="AY32" s="234">
        <f t="shared" ca="1" si="6"/>
        <v>36</v>
      </c>
      <c r="AZ32" s="236"/>
      <c r="BA32" s="236"/>
      <c r="BC32" s="234">
        <f t="shared" ca="1" si="27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4"/>
        <v>BBB+</v>
      </c>
      <c r="BH32" s="240">
        <f t="shared" ca="1" si="25"/>
        <v>19</v>
      </c>
      <c r="BI32" s="240" t="str">
        <f t="shared" ca="1" si="26"/>
        <v>POR</v>
      </c>
    </row>
    <row r="33" spans="1:61" ht="14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ca="1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35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ca="1" si="5"/>
        <v>14</v>
      </c>
      <c r="AW33" s="234">
        <f ca="1">COUNTIF( AV$7:AV33, AV33 )</f>
        <v>10</v>
      </c>
      <c r="AX33" s="287">
        <f t="shared" ca="1" si="22"/>
        <v>15</v>
      </c>
      <c r="AY33" s="234">
        <f t="shared" ca="1" si="6"/>
        <v>23</v>
      </c>
      <c r="AZ33" s="236"/>
      <c r="BA33" s="236"/>
      <c r="BC33" s="234">
        <f t="shared" ca="1" si="27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4"/>
        <v>BBB+</v>
      </c>
      <c r="BH33" s="240">
        <f t="shared" ca="1" si="25"/>
        <v>19</v>
      </c>
      <c r="BI33" s="240" t="str">
        <f t="shared" ca="1" si="26"/>
        <v>PEG</v>
      </c>
    </row>
    <row r="34" spans="1:61" ht="14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ca="1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36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ca="1" si="5"/>
        <v>2</v>
      </c>
      <c r="AW34" s="234">
        <f ca="1">COUNTIF( AV$7:AV34, AV34 )</f>
        <v>7</v>
      </c>
      <c r="AX34" s="287">
        <f t="shared" ca="1" si="22"/>
        <v>2.7</v>
      </c>
      <c r="AY34" s="234">
        <f t="shared" ca="1" si="6"/>
        <v>8</v>
      </c>
      <c r="AZ34" s="236"/>
      <c r="BA34" s="236"/>
      <c r="BC34" s="234">
        <f t="shared" ca="1" si="27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4"/>
        <v>BBB+</v>
      </c>
      <c r="BH34" s="240">
        <f t="shared" ca="1" si="25"/>
        <v>19</v>
      </c>
      <c r="BI34" s="240" t="str">
        <f t="shared" ca="1" si="26"/>
        <v>SRE</v>
      </c>
    </row>
    <row r="35" spans="1:61" ht="14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ca="1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37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ca="1" si="5"/>
        <v>14</v>
      </c>
      <c r="AW35" s="234">
        <f ca="1">COUNTIF( AV$7:AV35, AV35 )</f>
        <v>11</v>
      </c>
      <c r="AX35" s="287">
        <f t="shared" ca="1" si="22"/>
        <v>15.1</v>
      </c>
      <c r="AY35" s="234">
        <f t="shared" ca="1" si="6"/>
        <v>24</v>
      </c>
      <c r="AZ35" s="236"/>
      <c r="BA35" s="236"/>
      <c r="BC35" s="234">
        <f t="shared" ca="1" si="27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4"/>
        <v>BBB+</v>
      </c>
      <c r="BH35" s="240">
        <f t="shared" ca="1" si="25"/>
        <v>19</v>
      </c>
      <c r="BI35" s="240" t="str">
        <f t="shared" ca="1" si="26"/>
        <v>UTL</v>
      </c>
    </row>
    <row r="36" spans="1:61" ht="14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ca="1" si="2"/>
        <v>0</v>
      </c>
      <c r="AG36" s="236" t="str">
        <f t="shared" ca="1" si="3"/>
        <v/>
      </c>
      <c r="AH36" s="236">
        <f t="shared" ca="1" si="19"/>
        <v>1</v>
      </c>
      <c r="AJ36" s="236">
        <f t="shared" ca="1" si="20"/>
        <v>20</v>
      </c>
      <c r="AK36" s="236" t="str">
        <f t="shared" ca="1" si="21"/>
        <v>BBB+</v>
      </c>
      <c r="AL36" s="236">
        <f t="shared" ca="1" si="21"/>
        <v>19</v>
      </c>
      <c r="AM36" s="236" t="str">
        <f t="shared" ca="1" si="4"/>
        <v>Change</v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ca="1" si="5"/>
        <v>30</v>
      </c>
      <c r="AW36" s="234">
        <f ca="1">COUNTIF( AV$7:AV36, AV36 )</f>
        <v>8</v>
      </c>
      <c r="AX36" s="287">
        <f t="shared" ca="1" si="22"/>
        <v>30.8</v>
      </c>
      <c r="AY36" s="234">
        <f t="shared" ca="1" si="6"/>
        <v>37</v>
      </c>
      <c r="AZ36" s="236"/>
      <c r="BA36" s="236"/>
      <c r="BC36" s="234">
        <f t="shared" ca="1" si="27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4"/>
        <v>BBB</v>
      </c>
      <c r="BH36" s="240">
        <f t="shared" ca="1" si="25"/>
        <v>18</v>
      </c>
      <c r="BI36" s="240" t="str">
        <f t="shared" ca="1" si="26"/>
        <v>ALE</v>
      </c>
    </row>
    <row r="37" spans="1:61" ht="14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ca="1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38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ca="1" si="5"/>
        <v>14</v>
      </c>
      <c r="AW37" s="234">
        <f ca="1">COUNTIF( AV$7:AV37, AV37 )</f>
        <v>12</v>
      </c>
      <c r="AX37" s="287">
        <f t="shared" ca="1" si="22"/>
        <v>15.2</v>
      </c>
      <c r="AY37" s="234">
        <f t="shared" ca="1" si="6"/>
        <v>25</v>
      </c>
      <c r="AZ37" s="236"/>
      <c r="BA37" s="236"/>
      <c r="BC37" s="234">
        <f t="shared" ca="1" si="27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4"/>
        <v>BBB</v>
      </c>
      <c r="BH37" s="240">
        <f t="shared" ca="1" si="25"/>
        <v>18</v>
      </c>
      <c r="BI37" s="240" t="str">
        <f t="shared" ca="1" si="26"/>
        <v>AVA</v>
      </c>
    </row>
    <row r="38" spans="1:61" ht="14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ca="1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39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ca="1" si="5"/>
        <v>30</v>
      </c>
      <c r="AW38" s="234">
        <f ca="1">COUNTIF( AV$7:AV38, AV38 )</f>
        <v>9</v>
      </c>
      <c r="AX38" s="287">
        <f t="shared" ca="1" si="22"/>
        <v>30.9</v>
      </c>
      <c r="AY38" s="234">
        <f t="shared" ca="1" si="6"/>
        <v>38</v>
      </c>
      <c r="AZ38" s="236"/>
      <c r="BA38" s="236"/>
      <c r="BC38" s="234">
        <f t="shared" ca="1" si="27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4"/>
        <v>BBB</v>
      </c>
      <c r="BH38" s="240">
        <f t="shared" ca="1" si="25"/>
        <v>18</v>
      </c>
      <c r="BI38" s="240" t="str">
        <f t="shared" ca="1" si="26"/>
        <v>EIX</v>
      </c>
    </row>
    <row r="39" spans="1:61" ht="14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9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ca="1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ref="AV39:AV63" ca="1" si="28">IF( LEN( AS39 ) = 0, 99, RANK( AS39, $AS$7:$AS$62 ) )</f>
        <v>44</v>
      </c>
      <c r="AW39" s="234">
        <f ca="1">COUNTIF( AV$7:AV39, AV39 )</f>
        <v>1</v>
      </c>
      <c r="AX39" s="287">
        <f t="shared" ca="1" si="22"/>
        <v>44.1</v>
      </c>
      <c r="AY39" s="234">
        <f t="shared" ref="AY39:AY63" ca="1" si="29">RANK( AX39, $AX$7:$AX$63, 1 )</f>
        <v>44</v>
      </c>
      <c r="AZ39" s="236"/>
      <c r="BA39" s="236"/>
      <c r="BC39" s="234">
        <f t="shared" ca="1" si="27"/>
        <v>33</v>
      </c>
      <c r="BD39" s="288">
        <f t="shared" ref="BD39:BD63" ca="1" si="30">MATCH( BC39, $AY$7:$AY$63, 0 )</f>
        <v>18</v>
      </c>
      <c r="BF39" s="240" t="str">
        <f t="shared" ca="1" si="23"/>
        <v>El Paso Electric Company</v>
      </c>
      <c r="BG39" s="240" t="str">
        <f t="shared" ca="1" si="24"/>
        <v>BBB</v>
      </c>
      <c r="BH39" s="240">
        <f t="shared" ca="1" si="25"/>
        <v>18</v>
      </c>
      <c r="BI39" s="240" t="str">
        <f t="shared" ca="1" si="26"/>
        <v>EE</v>
      </c>
    </row>
    <row r="40" spans="1:61" ht="14">
      <c r="A40" s="303" t="s">
        <v>51</v>
      </c>
      <c r="B40" s="304" t="s">
        <v>28</v>
      </c>
      <c r="C40" s="304">
        <v>18</v>
      </c>
      <c r="D40" s="304" t="s">
        <v>298</v>
      </c>
      <c r="E40" s="305" t="str">
        <f t="shared" ca="1" si="9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ca="1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ca="1" si="28"/>
        <v>2</v>
      </c>
      <c r="AW40" s="234">
        <f ca="1">COUNTIF( AV$7:AV40, AV40 )</f>
        <v>8</v>
      </c>
      <c r="AX40" s="287">
        <f t="shared" ca="1" si="22"/>
        <v>2.8</v>
      </c>
      <c r="AY40" s="234">
        <f t="shared" ca="1" si="29"/>
        <v>9</v>
      </c>
      <c r="AZ40" s="236"/>
      <c r="BA40" s="236"/>
      <c r="BC40" s="234">
        <f t="shared" ca="1" si="27"/>
        <v>34</v>
      </c>
      <c r="BD40" s="288">
        <f t="shared" ca="1" si="30"/>
        <v>23</v>
      </c>
      <c r="BF40" s="240" t="str">
        <f t="shared" ca="1" si="23"/>
        <v>FirstEnergy Corp.</v>
      </c>
      <c r="BG40" s="240" t="str">
        <f t="shared" ca="1" si="24"/>
        <v>BBB</v>
      </c>
      <c r="BH40" s="240">
        <f t="shared" ca="1" si="25"/>
        <v>18</v>
      </c>
      <c r="BI40" s="240" t="str">
        <f t="shared" ca="1" si="26"/>
        <v>FE</v>
      </c>
    </row>
    <row r="41" spans="1:61" ht="14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9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ca="1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ca="1" si="28"/>
        <v>30</v>
      </c>
      <c r="AW41" s="234">
        <f ca="1">COUNTIF( AV$7:AV41, AV41 )</f>
        <v>10</v>
      </c>
      <c r="AX41" s="287">
        <f t="shared" ca="1" si="22"/>
        <v>31</v>
      </c>
      <c r="AY41" s="234">
        <f t="shared" ca="1" si="29"/>
        <v>39</v>
      </c>
      <c r="AZ41" s="236"/>
      <c r="BA41" s="236"/>
      <c r="BC41" s="234">
        <f t="shared" ca="1" si="27"/>
        <v>35</v>
      </c>
      <c r="BD41" s="288">
        <f t="shared" ca="1" si="30"/>
        <v>25</v>
      </c>
      <c r="BF41" s="240" t="str">
        <f t="shared" ca="1" si="23"/>
        <v>IDACORP, Inc.</v>
      </c>
      <c r="BG41" s="240" t="str">
        <f t="shared" ca="1" si="24"/>
        <v>BBB</v>
      </c>
      <c r="BH41" s="240">
        <f t="shared" ca="1" si="25"/>
        <v>18</v>
      </c>
      <c r="BI41" s="240" t="str">
        <f t="shared" ca="1" si="26"/>
        <v>IDA</v>
      </c>
    </row>
    <row r="42" spans="1:61" ht="14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9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ca="1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ca="1" si="28"/>
        <v>14</v>
      </c>
      <c r="AW42" s="234">
        <f ca="1">COUNTIF( AV$7:AV42, AV42 )</f>
        <v>13</v>
      </c>
      <c r="AX42" s="287">
        <f t="shared" ca="1" si="22"/>
        <v>15.3</v>
      </c>
      <c r="AY42" s="234">
        <f t="shared" ca="1" si="29"/>
        <v>26</v>
      </c>
      <c r="AZ42" s="236"/>
      <c r="BA42" s="236"/>
      <c r="BC42" s="234">
        <f t="shared" ca="1" si="27"/>
        <v>36</v>
      </c>
      <c r="BD42" s="288">
        <f t="shared" ca="1" si="30"/>
        <v>26</v>
      </c>
      <c r="BF42" s="240" t="str">
        <f t="shared" ca="1" si="23"/>
        <v>IPALCO Enterprises, Inc.</v>
      </c>
      <c r="BG42" s="240" t="str">
        <f t="shared" ca="1" si="24"/>
        <v>BBB</v>
      </c>
      <c r="BH42" s="240">
        <f t="shared" ca="1" si="25"/>
        <v>18</v>
      </c>
      <c r="BI42" s="240" t="str">
        <f t="shared" ca="1" si="26"/>
        <v>**IPALCO</v>
      </c>
    </row>
    <row r="43" spans="1:61" ht="14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9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ca="1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ca="1" si="28"/>
        <v>2</v>
      </c>
      <c r="AW43" s="234">
        <f ca="1">COUNTIF( AV$7:AV43, AV43 )</f>
        <v>9</v>
      </c>
      <c r="AX43" s="287">
        <f t="shared" ca="1" si="22"/>
        <v>2.9</v>
      </c>
      <c r="AY43" s="234">
        <f t="shared" ca="1" si="29"/>
        <v>10</v>
      </c>
      <c r="AZ43" s="236"/>
      <c r="BA43" s="236"/>
      <c r="BC43" s="234">
        <f t="shared" ca="1" si="27"/>
        <v>37</v>
      </c>
      <c r="BD43" s="288">
        <f t="shared" ca="1" si="30"/>
        <v>30</v>
      </c>
      <c r="BF43" s="240" t="str">
        <f t="shared" ca="1" si="23"/>
        <v>NorthWestern Corporation</v>
      </c>
      <c r="BG43" s="240" t="str">
        <f t="shared" ca="1" si="24"/>
        <v>BBB</v>
      </c>
      <c r="BH43" s="240">
        <f t="shared" ca="1" si="25"/>
        <v>18</v>
      </c>
      <c r="BI43" s="240" t="str">
        <f t="shared" ca="1" si="26"/>
        <v>NWE</v>
      </c>
    </row>
    <row r="44" spans="1:61" ht="14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9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ca="1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ca="1" si="28"/>
        <v>14</v>
      </c>
      <c r="AW44" s="234">
        <f ca="1">COUNTIF( AV$7:AV44, AV44 )</f>
        <v>14</v>
      </c>
      <c r="AX44" s="287">
        <f t="shared" ca="1" si="22"/>
        <v>15.4</v>
      </c>
      <c r="AY44" s="234">
        <f t="shared" ca="1" si="29"/>
        <v>27</v>
      </c>
      <c r="AZ44" s="236"/>
      <c r="BA44" s="236"/>
      <c r="BC44" s="234">
        <f t="shared" ca="1" si="27"/>
        <v>38</v>
      </c>
      <c r="BD44" s="288">
        <f t="shared" ca="1" si="30"/>
        <v>32</v>
      </c>
      <c r="BF44" s="240" t="str">
        <f t="shared" ca="1" si="23"/>
        <v>Otter Tail Corporation</v>
      </c>
      <c r="BG44" s="240" t="str">
        <f t="shared" ca="1" si="24"/>
        <v>BBB</v>
      </c>
      <c r="BH44" s="240">
        <f t="shared" ca="1" si="25"/>
        <v>18</v>
      </c>
      <c r="BI44" s="240" t="str">
        <f t="shared" ca="1" si="26"/>
        <v>OTTR</v>
      </c>
    </row>
    <row r="45" spans="1:61" ht="14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9"/>
        <v>R</v>
      </c>
      <c r="F45" s="306"/>
      <c r="G45" s="307">
        <f t="shared" ca="1" si="1"/>
        <v>38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ca="1" si="2"/>
        <v>0</v>
      </c>
      <c r="AG45" s="236" t="str">
        <f t="shared" ca="1" si="3"/>
        <v/>
      </c>
      <c r="AH45" s="236">
        <f t="shared" ca="1" si="19"/>
        <v>1</v>
      </c>
      <c r="AJ45" s="236">
        <f t="shared" ca="1" si="20"/>
        <v>33</v>
      </c>
      <c r="AK45" s="236" t="str">
        <f t="shared" ca="1" si="21"/>
        <v>BBB+</v>
      </c>
      <c r="AL45" s="236">
        <f t="shared" ca="1" si="21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ca="1" si="28"/>
        <v>40</v>
      </c>
      <c r="AW45" s="234">
        <f ca="1">COUNTIF( AV$7:AV45, AV45 )</f>
        <v>3</v>
      </c>
      <c r="AX45" s="287">
        <f t="shared" ca="1" si="22"/>
        <v>40.299999999999997</v>
      </c>
      <c r="AY45" s="234">
        <f t="shared" ca="1" si="29"/>
        <v>42</v>
      </c>
      <c r="AZ45" s="236"/>
      <c r="BA45" s="236"/>
      <c r="BC45" s="234">
        <f t="shared" ca="1" si="27"/>
        <v>39</v>
      </c>
      <c r="BD45" s="288">
        <f t="shared" ca="1" si="30"/>
        <v>35</v>
      </c>
      <c r="BF45" s="240" t="str">
        <f t="shared" ca="1" si="23"/>
        <v>PNM Resources, Inc.</v>
      </c>
      <c r="BG45" s="240" t="str">
        <f t="shared" ca="1" si="24"/>
        <v>BBB</v>
      </c>
      <c r="BH45" s="240">
        <f t="shared" ca="1" si="25"/>
        <v>18</v>
      </c>
      <c r="BI45" s="240" t="str">
        <f t="shared" ca="1" si="26"/>
        <v>PNM</v>
      </c>
    </row>
    <row r="46" spans="1:61" ht="14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9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ca="1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ca="1" si="28"/>
        <v>14</v>
      </c>
      <c r="AW46" s="234">
        <f ca="1">COUNTIF( AV$7:AV46, AV46 )</f>
        <v>15</v>
      </c>
      <c r="AX46" s="287">
        <f t="shared" ca="1" si="22"/>
        <v>15.5</v>
      </c>
      <c r="AY46" s="234">
        <f t="shared" ca="1" si="29"/>
        <v>28</v>
      </c>
      <c r="AZ46" s="236"/>
      <c r="BA46" s="236"/>
      <c r="BC46" s="234">
        <f t="shared" ca="1" si="27"/>
        <v>40</v>
      </c>
      <c r="BD46" s="288">
        <f t="shared" ca="1" si="30"/>
        <v>10</v>
      </c>
      <c r="BF46" s="240" t="str">
        <f t="shared" ca="1" si="23"/>
        <v>Cleco Corporation</v>
      </c>
      <c r="BG46" s="240" t="str">
        <f t="shared" ca="1" si="24"/>
        <v>BBB-</v>
      </c>
      <c r="BH46" s="240">
        <f t="shared" ca="1" si="25"/>
        <v>17</v>
      </c>
      <c r="BI46" s="240" t="str">
        <f t="shared" ca="1" si="26"/>
        <v>**CNL</v>
      </c>
    </row>
    <row r="47" spans="1:61" ht="14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9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ca="1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ca="1" si="28"/>
        <v>2</v>
      </c>
      <c r="AW47" s="234">
        <f ca="1">COUNTIF( AV$7:AV47, AV47 )</f>
        <v>10</v>
      </c>
      <c r="AX47" s="287">
        <f t="shared" ca="1" si="22"/>
        <v>3</v>
      </c>
      <c r="AY47" s="234">
        <f t="shared" ca="1" si="29"/>
        <v>11</v>
      </c>
      <c r="AZ47" s="236"/>
      <c r="BA47" s="236"/>
      <c r="BC47" s="234">
        <f t="shared" ca="1" si="27"/>
        <v>41</v>
      </c>
      <c r="BD47" s="288">
        <f t="shared" ca="1" si="30"/>
        <v>24</v>
      </c>
      <c r="BF47" s="240" t="str">
        <f t="shared" ca="1" si="23"/>
        <v>Hawaiian Electric Industries, Inc.</v>
      </c>
      <c r="BG47" s="240" t="str">
        <f t="shared" ca="1" si="24"/>
        <v>BBB-</v>
      </c>
      <c r="BH47" s="240">
        <f t="shared" ca="1" si="25"/>
        <v>17</v>
      </c>
      <c r="BI47" s="240" t="str">
        <f t="shared" ca="1" si="26"/>
        <v>HE</v>
      </c>
    </row>
    <row r="48" spans="1:61" ht="14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9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ca="1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BBB-</v>
      </c>
      <c r="AL48" s="236">
        <f t="shared" ca="1" si="21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ca="1" si="28"/>
        <v>14</v>
      </c>
      <c r="AW48" s="234">
        <f ca="1">COUNTIF( AV$7:AV48, AV48 )</f>
        <v>16</v>
      </c>
      <c r="AX48" s="287">
        <f t="shared" ca="1" si="22"/>
        <v>15.6</v>
      </c>
      <c r="AY48" s="234">
        <f t="shared" ca="1" si="29"/>
        <v>29</v>
      </c>
      <c r="AZ48" s="236"/>
      <c r="BA48" s="236"/>
      <c r="BC48" s="234">
        <f t="shared" ca="1" si="27"/>
        <v>42</v>
      </c>
      <c r="BD48" s="288">
        <f t="shared" ca="1" si="30"/>
        <v>39</v>
      </c>
      <c r="BF48" s="240" t="str">
        <f t="shared" ca="1" si="23"/>
        <v>Puget Energy, Inc.</v>
      </c>
      <c r="BG48" s="240" t="str">
        <f t="shared" ca="1" si="24"/>
        <v>BBB-</v>
      </c>
      <c r="BH48" s="240">
        <f t="shared" ca="1" si="25"/>
        <v>17</v>
      </c>
      <c r="BI48" s="240" t="str">
        <f t="shared" ca="1" si="26"/>
        <v>**PSD</v>
      </c>
    </row>
    <row r="49" spans="1:61" ht="14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9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ca="1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</v>
      </c>
      <c r="AL49" s="236">
        <f t="shared" ca="1" si="21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ca="1" si="28"/>
        <v>2</v>
      </c>
      <c r="AW49" s="234">
        <f ca="1">COUNTIF( AV$7:AV49, AV49 )</f>
        <v>11</v>
      </c>
      <c r="AX49" s="287">
        <f t="shared" ca="1" si="22"/>
        <v>3.1</v>
      </c>
      <c r="AY49" s="234">
        <f t="shared" ca="1" si="29"/>
        <v>12</v>
      </c>
      <c r="AZ49" s="236"/>
      <c r="BA49" s="236"/>
      <c r="BC49" s="234">
        <f t="shared" ca="1" si="27"/>
        <v>43</v>
      </c>
      <c r="BD49" s="288">
        <f t="shared" ca="1" si="30"/>
        <v>14</v>
      </c>
      <c r="BF49" s="240" t="str">
        <f t="shared" ca="1" si="23"/>
        <v>DPL Inc.</v>
      </c>
      <c r="BG49" s="240" t="str">
        <f t="shared" ca="1" si="24"/>
        <v>BB</v>
      </c>
      <c r="BH49" s="240">
        <f t="shared" ca="1" si="25"/>
        <v>15</v>
      </c>
      <c r="BI49" s="240" t="str">
        <f t="shared" ca="1" si="26"/>
        <v>**DPL</v>
      </c>
    </row>
    <row r="50" spans="1:61" ht="14">
      <c r="A50" s="303" t="s">
        <v>53</v>
      </c>
      <c r="B50" s="304" t="s">
        <v>65</v>
      </c>
      <c r="C50" s="304">
        <v>14</v>
      </c>
      <c r="D50" s="304" t="s">
        <v>317</v>
      </c>
      <c r="E50" s="305" t="str">
        <f t="shared" ca="1" si="9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ca="1" si="2"/>
        <v>1</v>
      </c>
      <c r="AG50" s="236" t="str">
        <f t="shared" ca="1" si="3"/>
        <v/>
      </c>
      <c r="AH50" s="236">
        <f t="shared" ca="1" si="19"/>
        <v>1</v>
      </c>
      <c r="AJ50" s="236">
        <f t="shared" ca="1" si="20"/>
        <v>50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9" t="s">
        <v>337</v>
      </c>
      <c r="AV50" s="234">
        <f t="shared" ca="1" si="28"/>
        <v>2</v>
      </c>
      <c r="AW50" s="234">
        <f ca="1">COUNTIF( AV$7:AV50, AV50 )</f>
        <v>12</v>
      </c>
      <c r="AX50" s="287">
        <f t="shared" ca="1" si="22"/>
        <v>3.2</v>
      </c>
      <c r="AY50" s="234">
        <f t="shared" ca="1" si="29"/>
        <v>13</v>
      </c>
      <c r="AZ50" s="236"/>
      <c r="BA50" s="236"/>
      <c r="BC50" s="234">
        <f t="shared" ca="1" si="27"/>
        <v>44</v>
      </c>
      <c r="BD50" s="288">
        <f t="shared" ca="1" si="30"/>
        <v>33</v>
      </c>
      <c r="BF50" s="240" t="str">
        <f t="shared" ca="1" si="23"/>
        <v>PG&amp;E Corporation</v>
      </c>
      <c r="BG50" s="240" t="str">
        <f t="shared" ca="1" si="24"/>
        <v>BB-</v>
      </c>
      <c r="BH50" s="240">
        <f t="shared" ca="1" si="25"/>
        <v>14</v>
      </c>
      <c r="BI50" s="240" t="str">
        <f t="shared" ca="1" si="26"/>
        <v>PCG</v>
      </c>
    </row>
    <row r="51" spans="1:61" ht="14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ca="1" si="2"/>
        <v>0</v>
      </c>
      <c r="AG51" s="236" t="str">
        <f t="shared" ca="1" si="3"/>
        <v/>
      </c>
      <c r="AH51" s="236" t="str">
        <f t="shared" ca="1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V51" s="234">
        <f t="shared" ca="1" si="28"/>
        <v>99</v>
      </c>
      <c r="AW51" s="234">
        <f ca="1">COUNTIF( AV$7:AV51, AV51 )</f>
        <v>1</v>
      </c>
      <c r="AX51" s="287">
        <f t="shared" ca="1" si="22"/>
        <v>99.1</v>
      </c>
      <c r="AY51" s="234">
        <f t="shared" ca="1" si="29"/>
        <v>45</v>
      </c>
      <c r="AZ51" s="236"/>
      <c r="BA51" s="236"/>
      <c r="BC51" s="234">
        <f t="shared" ca="1" si="27"/>
        <v>45</v>
      </c>
      <c r="BD51" s="288">
        <f t="shared" ca="1" si="30"/>
        <v>45</v>
      </c>
      <c r="BF51" s="240">
        <f t="shared" ref="BF51:BI63" ca="1" si="31">OFFSET( AQ$6, $BD52, 0 )</f>
        <v>0</v>
      </c>
      <c r="BG51" s="240">
        <f t="shared" ca="1" si="31"/>
        <v>0</v>
      </c>
      <c r="BH51" s="240">
        <f t="shared" ca="1" si="31"/>
        <v>0</v>
      </c>
      <c r="BI51" s="240">
        <f t="shared" ca="1" si="31"/>
        <v>0</v>
      </c>
    </row>
    <row r="52" spans="1:61" ht="14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ca="1" si="2"/>
        <v>0</v>
      </c>
      <c r="AG52" s="236" t="str">
        <f t="shared" ca="1" si="3"/>
        <v/>
      </c>
      <c r="AH52" s="236" t="str">
        <f t="shared" ca="1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ca="1" si="28"/>
        <v>99</v>
      </c>
      <c r="AW52" s="234">
        <f ca="1">COUNTIF( AV$7:AV52, AV52 )</f>
        <v>2</v>
      </c>
      <c r="AX52" s="287">
        <f t="shared" ca="1" si="22"/>
        <v>99.2</v>
      </c>
      <c r="AY52" s="234">
        <f t="shared" ca="1" si="29"/>
        <v>46</v>
      </c>
      <c r="AZ52" s="236"/>
      <c r="BA52" s="236"/>
      <c r="BC52" s="234">
        <f t="shared" ca="1" si="27"/>
        <v>46</v>
      </c>
      <c r="BD52" s="288">
        <f t="shared" ca="1" si="30"/>
        <v>46</v>
      </c>
      <c r="BF52" s="240">
        <f t="shared" ca="1" si="31"/>
        <v>0</v>
      </c>
      <c r="BG52" s="240">
        <f t="shared" ca="1" si="31"/>
        <v>0</v>
      </c>
      <c r="BH52" s="240">
        <f t="shared" ca="1" si="31"/>
        <v>0</v>
      </c>
      <c r="BI52" s="240">
        <f t="shared" ca="1" si="31"/>
        <v>0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ca="1" si="2"/>
        <v>0</v>
      </c>
      <c r="AG53" s="236" t="str">
        <f t="shared" ca="1" si="3"/>
        <v/>
      </c>
      <c r="AH53" s="236" t="str">
        <f t="shared" ca="1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ca="1" si="28"/>
        <v>99</v>
      </c>
      <c r="AW53" s="234">
        <f ca="1">COUNTIF( AV$7:AV53, AV53 )</f>
        <v>3</v>
      </c>
      <c r="AX53" s="287">
        <f t="shared" ca="1" si="22"/>
        <v>99.3</v>
      </c>
      <c r="AY53" s="234">
        <f t="shared" ca="1" si="29"/>
        <v>47</v>
      </c>
      <c r="AZ53" s="236"/>
      <c r="BA53" s="236"/>
      <c r="BC53" s="234">
        <f t="shared" ca="1" si="27"/>
        <v>47</v>
      </c>
      <c r="BD53" s="288">
        <f t="shared" ca="1" si="30"/>
        <v>47</v>
      </c>
      <c r="BF53" s="240">
        <f t="shared" ca="1" si="31"/>
        <v>0</v>
      </c>
      <c r="BG53" s="240">
        <f t="shared" ca="1" si="31"/>
        <v>0</v>
      </c>
      <c r="BH53" s="240">
        <f t="shared" ca="1" si="31"/>
        <v>0</v>
      </c>
      <c r="BI53" s="240">
        <f t="shared" ca="1" si="31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ca="1" si="2"/>
        <v>0</v>
      </c>
      <c r="AG54" s="236" t="str">
        <f t="shared" ca="1" si="3"/>
        <v/>
      </c>
      <c r="AH54" s="236" t="str">
        <f t="shared" ca="1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ca="1" si="28"/>
        <v>99</v>
      </c>
      <c r="AW54" s="234">
        <f ca="1">COUNTIF( AV$7:AV54, AV54 )</f>
        <v>4</v>
      </c>
      <c r="AX54" s="287">
        <f t="shared" ca="1" si="22"/>
        <v>99.4</v>
      </c>
      <c r="AY54" s="234">
        <f t="shared" ca="1" si="29"/>
        <v>48</v>
      </c>
      <c r="AZ54" s="236"/>
      <c r="BA54" s="236"/>
      <c r="BC54" s="234">
        <f t="shared" ca="1" si="27"/>
        <v>48</v>
      </c>
      <c r="BD54" s="288">
        <f t="shared" ca="1" si="30"/>
        <v>48</v>
      </c>
      <c r="BF54" s="240">
        <f t="shared" ca="1" si="31"/>
        <v>0</v>
      </c>
      <c r="BG54" s="240">
        <f t="shared" ca="1" si="31"/>
        <v>0</v>
      </c>
      <c r="BH54" s="240">
        <f t="shared" ca="1" si="31"/>
        <v>0</v>
      </c>
      <c r="BI54" s="240">
        <f t="shared" ca="1" si="31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ca="1" si="2"/>
        <v>0</v>
      </c>
      <c r="AG55" s="236" t="str">
        <f t="shared" ca="1" si="3"/>
        <v/>
      </c>
      <c r="AH55" s="236" t="str">
        <f t="shared" ca="1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ca="1" si="28"/>
        <v>99</v>
      </c>
      <c r="AW55" s="234">
        <f ca="1">COUNTIF( AV$7:AV55, AV55 )</f>
        <v>5</v>
      </c>
      <c r="AX55" s="287">
        <f t="shared" ca="1" si="22"/>
        <v>99.5</v>
      </c>
      <c r="AY55" s="234">
        <f t="shared" ca="1" si="29"/>
        <v>49</v>
      </c>
      <c r="AZ55" s="236"/>
      <c r="BA55" s="236"/>
      <c r="BC55" s="234">
        <f t="shared" ca="1" si="27"/>
        <v>49</v>
      </c>
      <c r="BD55" s="288">
        <f t="shared" ca="1" si="30"/>
        <v>49</v>
      </c>
      <c r="BF55" s="240">
        <f t="shared" ca="1" si="31"/>
        <v>0</v>
      </c>
      <c r="BG55" s="240">
        <f t="shared" ca="1" si="31"/>
        <v>0</v>
      </c>
      <c r="BH55" s="240">
        <f t="shared" ca="1" si="31"/>
        <v>0</v>
      </c>
      <c r="BI55" s="240">
        <f t="shared" ca="1" si="31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ca="1" si="2"/>
        <v>0</v>
      </c>
      <c r="AG56" s="236" t="str">
        <f t="shared" ca="1" si="3"/>
        <v/>
      </c>
      <c r="AH56" s="236" t="str">
        <f t="shared" ca="1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ca="1" si="28"/>
        <v>99</v>
      </c>
      <c r="AW56" s="234">
        <f ca="1">COUNTIF( AV$7:AV56, AV56 )</f>
        <v>6</v>
      </c>
      <c r="AX56" s="287">
        <f t="shared" ca="1" si="22"/>
        <v>99.6</v>
      </c>
      <c r="AY56" s="234">
        <f t="shared" ca="1" si="29"/>
        <v>50</v>
      </c>
      <c r="AZ56" s="236"/>
      <c r="BA56" s="236"/>
      <c r="BC56" s="234">
        <f t="shared" ca="1" si="27"/>
        <v>50</v>
      </c>
      <c r="BD56" s="288">
        <f t="shared" ca="1" si="30"/>
        <v>50</v>
      </c>
      <c r="BF56" s="240">
        <f t="shared" ca="1" si="31"/>
        <v>0</v>
      </c>
      <c r="BG56" s="240">
        <f t="shared" ca="1" si="31"/>
        <v>0</v>
      </c>
      <c r="BH56" s="240">
        <f t="shared" ca="1" si="31"/>
        <v>0</v>
      </c>
      <c r="BI56" s="240">
        <f t="shared" ca="1" si="31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ca="1" si="2"/>
        <v>0</v>
      </c>
      <c r="AG57" s="236" t="str">
        <f t="shared" ca="1" si="3"/>
        <v/>
      </c>
      <c r="AH57" s="236" t="str">
        <f t="shared" ca="1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ca="1" si="28"/>
        <v>99</v>
      </c>
      <c r="AW57" s="234">
        <f ca="1">COUNTIF( AV$7:AV57, AV57 )</f>
        <v>7</v>
      </c>
      <c r="AX57" s="287">
        <f t="shared" ca="1" si="22"/>
        <v>99.7</v>
      </c>
      <c r="AY57" s="234">
        <f t="shared" ca="1" si="29"/>
        <v>51</v>
      </c>
      <c r="AZ57" s="236"/>
      <c r="BA57" s="236"/>
      <c r="BC57" s="234">
        <f t="shared" ca="1" si="27"/>
        <v>51</v>
      </c>
      <c r="BD57" s="288">
        <f t="shared" ca="1" si="30"/>
        <v>51</v>
      </c>
      <c r="BF57" s="240">
        <f t="shared" ca="1" si="31"/>
        <v>0</v>
      </c>
      <c r="BG57" s="240">
        <f t="shared" ca="1" si="31"/>
        <v>0</v>
      </c>
      <c r="BH57" s="240">
        <f t="shared" ca="1" si="31"/>
        <v>0</v>
      </c>
      <c r="BI57" s="240">
        <f t="shared" ca="1" si="31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ca="1" si="2"/>
        <v>0</v>
      </c>
      <c r="AG58" s="236" t="str">
        <f t="shared" ca="1" si="3"/>
        <v/>
      </c>
      <c r="AH58" s="236" t="str">
        <f t="shared" ca="1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ca="1" si="28"/>
        <v>99</v>
      </c>
      <c r="AW58" s="234">
        <f ca="1">COUNTIF( AV$7:AV58, AV58 )</f>
        <v>8</v>
      </c>
      <c r="AX58" s="287">
        <f t="shared" ca="1" si="22"/>
        <v>99.8</v>
      </c>
      <c r="AY58" s="234">
        <f t="shared" ca="1" si="29"/>
        <v>52</v>
      </c>
      <c r="AZ58" s="236"/>
      <c r="BA58" s="236"/>
      <c r="BC58" s="234">
        <f t="shared" ca="1" si="27"/>
        <v>52</v>
      </c>
      <c r="BD58" s="288">
        <f t="shared" ca="1" si="30"/>
        <v>52</v>
      </c>
      <c r="BF58" s="240">
        <f t="shared" ca="1" si="31"/>
        <v>0</v>
      </c>
      <c r="BG58" s="240">
        <f t="shared" ca="1" si="31"/>
        <v>0</v>
      </c>
      <c r="BH58" s="240">
        <f t="shared" ca="1" si="31"/>
        <v>0</v>
      </c>
      <c r="BI58" s="240">
        <f t="shared" ca="1" si="31"/>
        <v>0</v>
      </c>
    </row>
    <row r="59" spans="1:61" ht="14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ca="1" si="2"/>
        <v>0</v>
      </c>
      <c r="AG59" s="236" t="str">
        <f t="shared" ca="1" si="3"/>
        <v/>
      </c>
      <c r="AH59" s="236" t="str">
        <f t="shared" ca="1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ca="1" si="28"/>
        <v>99</v>
      </c>
      <c r="AW59" s="234">
        <f ca="1">COUNTIF( AV$7:AV59, AV59 )</f>
        <v>9</v>
      </c>
      <c r="AX59" s="287">
        <f t="shared" ca="1" si="22"/>
        <v>99.9</v>
      </c>
      <c r="AY59" s="234">
        <f t="shared" ca="1" si="29"/>
        <v>53</v>
      </c>
      <c r="AZ59" s="236"/>
      <c r="BA59" s="236"/>
      <c r="BC59" s="234">
        <f t="shared" ca="1" si="27"/>
        <v>53</v>
      </c>
      <c r="BD59" s="288">
        <f t="shared" ca="1" si="30"/>
        <v>53</v>
      </c>
      <c r="BF59" s="240">
        <f t="shared" ca="1" si="31"/>
        <v>0</v>
      </c>
      <c r="BG59" s="240">
        <f t="shared" ca="1" si="31"/>
        <v>0</v>
      </c>
      <c r="BH59" s="240">
        <f t="shared" ca="1" si="31"/>
        <v>0</v>
      </c>
      <c r="BI59" s="240">
        <f t="shared" ca="1" si="31"/>
        <v>0</v>
      </c>
    </row>
    <row r="60" spans="1:61" ht="15" thickBot="1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ca="1" si="2"/>
        <v>0</v>
      </c>
      <c r="AG60" s="236" t="str">
        <f t="shared" ca="1" si="3"/>
        <v/>
      </c>
      <c r="AH60" s="236" t="str">
        <f t="shared" ca="1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ca="1" si="28"/>
        <v>99</v>
      </c>
      <c r="AW60" s="234">
        <f ca="1">COUNTIF( AV$7:AV60, AV60 )</f>
        <v>10</v>
      </c>
      <c r="AX60" s="287">
        <f t="shared" ca="1" si="22"/>
        <v>100</v>
      </c>
      <c r="AY60" s="234">
        <f t="shared" ca="1" si="29"/>
        <v>54</v>
      </c>
      <c r="AZ60" s="236"/>
      <c r="BA60" s="236"/>
      <c r="BC60" s="234">
        <f t="shared" ca="1" si="27"/>
        <v>54</v>
      </c>
      <c r="BD60" s="288">
        <f t="shared" ca="1" si="30"/>
        <v>54</v>
      </c>
      <c r="BF60" s="240">
        <f t="shared" ca="1" si="31"/>
        <v>0</v>
      </c>
      <c r="BG60" s="240">
        <f t="shared" ca="1" si="31"/>
        <v>0</v>
      </c>
      <c r="BH60" s="240">
        <f t="shared" ca="1" si="31"/>
        <v>0</v>
      </c>
      <c r="BI60" s="240">
        <f t="shared" ca="1" si="31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ca="1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ca="1" si="28"/>
        <v>99</v>
      </c>
      <c r="AW61" s="234">
        <f ca="1">COUNTIF( AV$7:AV61, AV61 )</f>
        <v>11</v>
      </c>
      <c r="AX61" s="287">
        <f t="shared" ca="1" si="22"/>
        <v>100.1</v>
      </c>
      <c r="AY61" s="234">
        <f t="shared" ca="1" si="29"/>
        <v>55</v>
      </c>
      <c r="AZ61" s="236"/>
      <c r="BA61" s="236"/>
      <c r="BC61" s="234">
        <f t="shared" ca="1" si="27"/>
        <v>55</v>
      </c>
      <c r="BD61" s="288">
        <f t="shared" ca="1" si="30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ca="1">IF( LEN( C62 ) = 0, 0, IF( C62 = C61, AF61, IF( AF61 = 1, 0, 1 ) ) )</f>
        <v>0</v>
      </c>
      <c r="AG62" s="236" t="str">
        <f t="shared" ca="1" si="3"/>
        <v/>
      </c>
      <c r="AH62" s="236" t="str">
        <f t="shared" ca="1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ca="1" si="28"/>
        <v>99</v>
      </c>
      <c r="AW62" s="234">
        <f ca="1">COUNTIF( AV$7:AV62, AV62 )</f>
        <v>12</v>
      </c>
      <c r="AX62" s="287">
        <f t="shared" ca="1" si="22"/>
        <v>100.2</v>
      </c>
      <c r="AY62" s="234">
        <f t="shared" ca="1" si="29"/>
        <v>56</v>
      </c>
      <c r="AZ62" s="236"/>
      <c r="BA62" s="236"/>
      <c r="BC62" s="234">
        <f t="shared" ca="1" si="27"/>
        <v>56</v>
      </c>
      <c r="BD62" s="288">
        <f t="shared" ca="1" si="30"/>
        <v>56</v>
      </c>
      <c r="BF62" s="240">
        <f t="shared" ca="1" si="31"/>
        <v>0</v>
      </c>
      <c r="BG62" s="240">
        <f t="shared" ca="1" si="31"/>
        <v>0</v>
      </c>
      <c r="BH62" s="240">
        <f t="shared" ca="1" si="31"/>
        <v>0</v>
      </c>
      <c r="BI62" s="240">
        <f t="shared" ca="1" si="31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ca="1" si="2"/>
        <v>0</v>
      </c>
      <c r="AG63" s="236" t="str">
        <f t="shared" ca="1" si="3"/>
        <v/>
      </c>
      <c r="AH63" s="236" t="str">
        <f t="shared" ca="1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ca="1" si="28"/>
        <v>99</v>
      </c>
      <c r="AW63" s="234">
        <f ca="1">COUNTIF( AV$7:AV63, AV63 )</f>
        <v>13</v>
      </c>
      <c r="AX63" s="287">
        <f t="shared" ca="1" si="22"/>
        <v>100.3</v>
      </c>
      <c r="AY63" s="234">
        <f t="shared" ca="1" si="29"/>
        <v>57</v>
      </c>
      <c r="AZ63" s="236"/>
      <c r="BA63" s="236"/>
      <c r="BC63" s="234">
        <f t="shared" ca="1" si="27"/>
        <v>57</v>
      </c>
      <c r="BD63" s="288">
        <f t="shared" ca="1" si="30"/>
        <v>57</v>
      </c>
      <c r="BF63" s="240">
        <f t="shared" ca="1" si="31"/>
        <v>0</v>
      </c>
      <c r="BG63" s="240">
        <f t="shared" ca="1" si="31"/>
        <v>0</v>
      </c>
      <c r="BH63" s="240">
        <f t="shared" ca="1" si="31"/>
        <v>0</v>
      </c>
      <c r="BI63" s="240">
        <f t="shared" ca="1" si="31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ca="1" si="2"/>
        <v>0</v>
      </c>
      <c r="AG64" s="236" t="str">
        <f t="shared" ca="1" si="3"/>
        <v/>
      </c>
      <c r="AH64" s="236" t="str">
        <f t="shared" ca="1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ca="1" si="2"/>
        <v>0</v>
      </c>
      <c r="AG65" s="236" t="str">
        <f ca="1">IF( LEN( $C65 ) = 0, "", IF( $C65 &gt; $AL65, 1, "" ) )</f>
        <v/>
      </c>
      <c r="AH65" s="236" t="str">
        <f t="shared" ca="1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4">
      <c r="A66" s="268"/>
      <c r="B66" s="269"/>
      <c r="C66" s="270"/>
      <c r="D66" s="270"/>
      <c r="E66" s="249"/>
      <c r="F66" s="250"/>
      <c r="H66" s="250"/>
      <c r="I66" s="250"/>
      <c r="AF66" s="236">
        <f t="shared" ca="1" si="2"/>
        <v>0</v>
      </c>
      <c r="AG66" s="236" t="str">
        <f t="shared" ref="AG66:AG67" ca="1" si="32">IF( LEN( $C66 ) = 0, "", IF( $C66 &gt; $AL66, 1, "" ) )</f>
        <v/>
      </c>
      <c r="AH66" s="236" t="str">
        <f t="shared" ca="1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ca="1" si="2"/>
        <v>0</v>
      </c>
      <c r="AG67" s="236" t="str">
        <f t="shared" ca="1" si="32"/>
        <v/>
      </c>
      <c r="AH67" s="236" t="str">
        <f t="shared" ca="1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4">
      <c r="A68" s="274" t="s">
        <v>135</v>
      </c>
      <c r="B68" s="275" t="str">
        <f ca="1">OFFSET( Scale!$H$5, ROUND( C68, 0 ) - 1, 1 )</f>
        <v>BBB+</v>
      </c>
      <c r="C68" s="276">
        <f ca="1">AVERAGE(C7:C65)</f>
        <v>18.844444444444445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>
      <c r="A70" s="277"/>
      <c r="B70" s="278"/>
      <c r="F70" s="240"/>
      <c r="H70" s="240"/>
      <c r="I70" s="240"/>
      <c r="J70" s="253"/>
      <c r="K70" s="253"/>
    </row>
    <row r="71" spans="1:61">
      <c r="A71" s="279" t="s">
        <v>266</v>
      </c>
      <c r="F71" s="240"/>
      <c r="H71" s="240"/>
      <c r="I71" s="240"/>
    </row>
    <row r="72" spans="1:61">
      <c r="A72" s="279" t="s">
        <v>365</v>
      </c>
      <c r="B72" s="240"/>
      <c r="D72" s="264"/>
      <c r="E72" s="264"/>
      <c r="F72" s="280"/>
      <c r="H72" s="280"/>
      <c r="I72" s="280"/>
    </row>
    <row r="73" spans="1:61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>
      <c r="A76" s="279"/>
      <c r="AQ76" s="286"/>
      <c r="AR76" s="286"/>
      <c r="AS76" s="286"/>
    </row>
    <row r="77" spans="1:61">
      <c r="C77" s="339">
        <f ca="1">SUMPRODUCT( L8:L13, Y8:Y13 ) / L14</f>
        <v>18.866666666666667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xmlns:xlrd2="http://schemas.microsoft.com/office/spreadsheetml/2017/richdata2"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</sheetPr>
  <dimension ref="C3:N30"/>
  <sheetViews>
    <sheetView zoomScale="85" zoomScaleNormal="85" workbookViewId="0"/>
  </sheetViews>
  <sheetFormatPr baseColWidth="10" defaultColWidth="9.1640625" defaultRowHeight="13"/>
  <cols>
    <col min="1" max="2" width="9.1640625" style="324"/>
    <col min="3" max="3" width="5.83203125" style="326" customWidth="1"/>
    <col min="4" max="4" width="9.1640625" style="326"/>
    <col min="5" max="5" width="25.5" style="326" customWidth="1"/>
    <col min="6" max="6" width="9.1640625" style="324"/>
    <col min="7" max="8" width="5.83203125" style="326" customWidth="1"/>
    <col min="9" max="9" width="9.1640625" style="326"/>
    <col min="10" max="10" width="25.5" style="326" customWidth="1"/>
    <col min="11" max="11" width="9.1640625" style="324"/>
    <col min="12" max="12" width="5.83203125" style="326" customWidth="1"/>
    <col min="13" max="13" width="9.1640625" style="326"/>
    <col min="14" max="14" width="25.5" style="324" customWidth="1"/>
    <col min="15" max="16384" width="9.1640625" style="324"/>
  </cols>
  <sheetData>
    <row r="3" spans="3:14">
      <c r="C3" s="509" t="s">
        <v>453</v>
      </c>
      <c r="D3" s="510"/>
      <c r="E3" s="510"/>
      <c r="G3" s="509" t="s">
        <v>90</v>
      </c>
      <c r="H3" s="510"/>
      <c r="I3" s="510"/>
      <c r="J3" s="510"/>
      <c r="L3" s="509" t="s">
        <v>89</v>
      </c>
      <c r="M3" s="510"/>
      <c r="N3" s="510"/>
    </row>
    <row r="5" spans="3:14">
      <c r="C5" s="334"/>
      <c r="G5" s="334"/>
      <c r="H5" s="335">
        <v>1</v>
      </c>
      <c r="I5" s="327" t="s">
        <v>370</v>
      </c>
      <c r="J5" s="336" t="s">
        <v>455</v>
      </c>
      <c r="L5" s="335">
        <v>1</v>
      </c>
      <c r="M5" s="327" t="s">
        <v>457</v>
      </c>
      <c r="N5" s="336" t="s">
        <v>456</v>
      </c>
    </row>
    <row r="6" spans="3:14">
      <c r="C6" s="335"/>
      <c r="G6" s="335"/>
      <c r="H6" s="335">
        <v>2</v>
      </c>
      <c r="I6" s="330" t="s">
        <v>422</v>
      </c>
      <c r="J6" s="331"/>
      <c r="L6" s="335">
        <v>2</v>
      </c>
      <c r="M6" s="330" t="s">
        <v>86</v>
      </c>
    </row>
    <row r="7" spans="3:14">
      <c r="C7" s="335"/>
      <c r="G7" s="335"/>
      <c r="H7" s="335">
        <v>3</v>
      </c>
      <c r="I7" s="330" t="s">
        <v>86</v>
      </c>
      <c r="J7" s="331"/>
      <c r="L7" s="335">
        <v>3</v>
      </c>
      <c r="M7" s="330" t="s">
        <v>460</v>
      </c>
    </row>
    <row r="8" spans="3:14">
      <c r="C8" s="335"/>
      <c r="G8" s="335"/>
      <c r="H8" s="335">
        <v>4</v>
      </c>
      <c r="I8" s="333" t="s">
        <v>458</v>
      </c>
      <c r="J8" s="328"/>
      <c r="L8" s="335">
        <v>4</v>
      </c>
      <c r="M8" s="330" t="s">
        <v>462</v>
      </c>
    </row>
    <row r="9" spans="3:14">
      <c r="C9" s="335">
        <v>1</v>
      </c>
      <c r="D9" s="325" t="s">
        <v>130</v>
      </c>
      <c r="E9" s="336" t="s">
        <v>454</v>
      </c>
      <c r="G9" s="335">
        <v>1</v>
      </c>
      <c r="H9" s="335">
        <v>5</v>
      </c>
      <c r="I9" s="330" t="s">
        <v>130</v>
      </c>
      <c r="J9" s="336" t="s">
        <v>459</v>
      </c>
      <c r="L9" s="335">
        <v>5</v>
      </c>
      <c r="M9" s="330" t="s">
        <v>129</v>
      </c>
    </row>
    <row r="10" spans="3:14">
      <c r="C10" s="335">
        <v>2</v>
      </c>
      <c r="D10" s="329" t="s">
        <v>128</v>
      </c>
      <c r="G10" s="335">
        <v>2</v>
      </c>
      <c r="H10" s="335">
        <v>6</v>
      </c>
      <c r="I10" s="330" t="s">
        <v>461</v>
      </c>
      <c r="J10" s="331"/>
      <c r="L10" s="335">
        <v>6</v>
      </c>
      <c r="M10" s="330" t="s">
        <v>127</v>
      </c>
    </row>
    <row r="11" spans="3:14">
      <c r="C11" s="335">
        <v>3</v>
      </c>
      <c r="D11" s="329" t="s">
        <v>126</v>
      </c>
      <c r="G11" s="335">
        <v>3</v>
      </c>
      <c r="H11" s="335">
        <v>7</v>
      </c>
      <c r="I11" s="330" t="s">
        <v>129</v>
      </c>
      <c r="J11" s="331"/>
      <c r="L11" s="335">
        <v>7</v>
      </c>
      <c r="M11" s="330" t="s">
        <v>125</v>
      </c>
    </row>
    <row r="12" spans="3:14">
      <c r="C12" s="335">
        <v>4</v>
      </c>
      <c r="D12" s="329" t="s">
        <v>124</v>
      </c>
      <c r="G12" s="335">
        <v>4</v>
      </c>
      <c r="H12" s="335">
        <v>8</v>
      </c>
      <c r="I12" s="330" t="s">
        <v>127</v>
      </c>
      <c r="J12" s="331"/>
      <c r="L12" s="335">
        <v>8</v>
      </c>
      <c r="M12" s="330" t="s">
        <v>123</v>
      </c>
    </row>
    <row r="13" spans="3:14">
      <c r="C13" s="335">
        <v>5</v>
      </c>
      <c r="D13" s="329" t="s">
        <v>122</v>
      </c>
      <c r="G13" s="335">
        <v>5</v>
      </c>
      <c r="H13" s="335">
        <v>9</v>
      </c>
      <c r="I13" s="330" t="s">
        <v>125</v>
      </c>
      <c r="J13" s="331"/>
      <c r="L13" s="335">
        <v>9</v>
      </c>
      <c r="M13" s="330" t="s">
        <v>71</v>
      </c>
    </row>
    <row r="14" spans="3:14">
      <c r="C14" s="335">
        <v>6</v>
      </c>
      <c r="D14" s="329" t="s">
        <v>121</v>
      </c>
      <c r="G14" s="335">
        <v>6</v>
      </c>
      <c r="H14" s="335">
        <v>10</v>
      </c>
      <c r="I14" s="330" t="s">
        <v>123</v>
      </c>
      <c r="J14" s="331"/>
      <c r="L14" s="335">
        <v>10</v>
      </c>
      <c r="M14" s="330" t="s">
        <v>78</v>
      </c>
    </row>
    <row r="15" spans="3:14">
      <c r="C15" s="335">
        <v>7</v>
      </c>
      <c r="D15" s="329" t="s">
        <v>120</v>
      </c>
      <c r="G15" s="335">
        <v>7</v>
      </c>
      <c r="H15" s="335">
        <v>11</v>
      </c>
      <c r="I15" s="330" t="s">
        <v>71</v>
      </c>
      <c r="J15" s="331"/>
      <c r="L15" s="335">
        <v>11</v>
      </c>
      <c r="M15" s="330" t="s">
        <v>68</v>
      </c>
    </row>
    <row r="16" spans="3:14">
      <c r="C16" s="335">
        <v>8</v>
      </c>
      <c r="D16" s="329" t="s">
        <v>119</v>
      </c>
      <c r="G16" s="335">
        <v>8</v>
      </c>
      <c r="H16" s="335">
        <v>12</v>
      </c>
      <c r="I16" s="330" t="s">
        <v>78</v>
      </c>
      <c r="J16" s="331"/>
      <c r="L16" s="335">
        <v>12</v>
      </c>
      <c r="M16" s="330" t="s">
        <v>65</v>
      </c>
    </row>
    <row r="17" spans="3:13">
      <c r="C17" s="335">
        <v>9</v>
      </c>
      <c r="D17" s="329" t="s">
        <v>118</v>
      </c>
      <c r="G17" s="335">
        <v>9</v>
      </c>
      <c r="H17" s="335">
        <v>13</v>
      </c>
      <c r="I17" s="330" t="s">
        <v>68</v>
      </c>
      <c r="J17" s="331"/>
      <c r="L17" s="335">
        <v>13</v>
      </c>
      <c r="M17" s="330" t="s">
        <v>61</v>
      </c>
    </row>
    <row r="18" spans="3:13">
      <c r="C18" s="335">
        <v>10</v>
      </c>
      <c r="D18" s="329" t="s">
        <v>117</v>
      </c>
      <c r="G18" s="335">
        <v>10</v>
      </c>
      <c r="H18" s="335">
        <v>14</v>
      </c>
      <c r="I18" s="330" t="s">
        <v>65</v>
      </c>
      <c r="J18" s="331"/>
      <c r="L18" s="335">
        <v>14</v>
      </c>
      <c r="M18" s="330" t="s">
        <v>56</v>
      </c>
    </row>
    <row r="19" spans="3:13">
      <c r="C19" s="335">
        <v>11</v>
      </c>
      <c r="D19" s="329" t="s">
        <v>116</v>
      </c>
      <c r="G19" s="335">
        <v>11</v>
      </c>
      <c r="H19" s="335">
        <v>15</v>
      </c>
      <c r="I19" s="330" t="s">
        <v>61</v>
      </c>
      <c r="J19" s="331"/>
      <c r="L19" s="335">
        <v>15</v>
      </c>
      <c r="M19" s="330" t="s">
        <v>49</v>
      </c>
    </row>
    <row r="20" spans="3:13">
      <c r="C20" s="335">
        <v>12</v>
      </c>
      <c r="D20" s="329" t="s">
        <v>115</v>
      </c>
      <c r="G20" s="335">
        <v>12</v>
      </c>
      <c r="H20" s="335">
        <v>16</v>
      </c>
      <c r="I20" s="330" t="s">
        <v>56</v>
      </c>
      <c r="J20" s="331"/>
      <c r="L20" s="335">
        <v>16</v>
      </c>
      <c r="M20" s="330" t="s">
        <v>28</v>
      </c>
    </row>
    <row r="21" spans="3:13">
      <c r="C21" s="335">
        <v>13</v>
      </c>
      <c r="D21" s="329" t="s">
        <v>114</v>
      </c>
      <c r="G21" s="335">
        <v>13</v>
      </c>
      <c r="H21" s="335">
        <v>17</v>
      </c>
      <c r="I21" s="330" t="s">
        <v>49</v>
      </c>
      <c r="J21" s="331"/>
      <c r="L21" s="335">
        <v>17</v>
      </c>
      <c r="M21" s="330" t="s">
        <v>16</v>
      </c>
    </row>
    <row r="22" spans="3:13">
      <c r="C22" s="335">
        <v>14</v>
      </c>
      <c r="D22" s="329" t="s">
        <v>113</v>
      </c>
      <c r="G22" s="335">
        <v>14</v>
      </c>
      <c r="H22" s="335">
        <v>18</v>
      </c>
      <c r="I22" s="330" t="s">
        <v>28</v>
      </c>
      <c r="J22" s="331"/>
      <c r="L22" s="335">
        <v>18</v>
      </c>
      <c r="M22" s="330" t="s">
        <v>10</v>
      </c>
    </row>
    <row r="23" spans="3:13">
      <c r="C23" s="335">
        <v>15</v>
      </c>
      <c r="D23" s="329" t="s">
        <v>112</v>
      </c>
      <c r="G23" s="335">
        <v>15</v>
      </c>
      <c r="H23" s="335">
        <v>19</v>
      </c>
      <c r="I23" s="330" t="s">
        <v>16</v>
      </c>
      <c r="J23" s="331"/>
      <c r="L23" s="335">
        <v>19</v>
      </c>
      <c r="M23" s="330" t="s">
        <v>2</v>
      </c>
    </row>
    <row r="24" spans="3:13">
      <c r="C24" s="335">
        <v>16</v>
      </c>
      <c r="D24" s="329" t="s">
        <v>111</v>
      </c>
      <c r="G24" s="335">
        <v>16</v>
      </c>
      <c r="H24" s="335">
        <v>20</v>
      </c>
      <c r="I24" s="330" t="s">
        <v>10</v>
      </c>
      <c r="J24" s="331"/>
      <c r="L24" s="335">
        <v>20</v>
      </c>
      <c r="M24" s="330" t="s">
        <v>110</v>
      </c>
    </row>
    <row r="25" spans="3:13">
      <c r="C25" s="335">
        <v>17</v>
      </c>
      <c r="D25" s="329" t="s">
        <v>109</v>
      </c>
      <c r="G25" s="335">
        <v>17</v>
      </c>
      <c r="H25" s="335">
        <v>21</v>
      </c>
      <c r="I25" s="330" t="s">
        <v>2</v>
      </c>
      <c r="J25" s="331"/>
      <c r="L25" s="335">
        <v>21</v>
      </c>
      <c r="M25" s="330" t="s">
        <v>108</v>
      </c>
    </row>
    <row r="26" spans="3:13">
      <c r="C26" s="335">
        <v>18</v>
      </c>
      <c r="D26" s="329" t="s">
        <v>107</v>
      </c>
      <c r="G26" s="335">
        <v>18</v>
      </c>
      <c r="H26" s="335">
        <v>22</v>
      </c>
      <c r="I26" s="330" t="s">
        <v>110</v>
      </c>
      <c r="J26" s="331"/>
      <c r="L26" s="335">
        <v>22</v>
      </c>
      <c r="M26" s="330" t="s">
        <v>106</v>
      </c>
    </row>
    <row r="27" spans="3:13">
      <c r="C27" s="335">
        <v>19</v>
      </c>
      <c r="D27" s="329" t="s">
        <v>105</v>
      </c>
      <c r="G27" s="335">
        <v>19</v>
      </c>
      <c r="H27" s="335">
        <v>23</v>
      </c>
      <c r="I27" s="330" t="s">
        <v>108</v>
      </c>
      <c r="J27" s="331"/>
      <c r="L27" s="335">
        <v>23</v>
      </c>
      <c r="M27" s="330" t="s">
        <v>104</v>
      </c>
    </row>
    <row r="28" spans="3:13">
      <c r="C28" s="335">
        <v>20</v>
      </c>
      <c r="D28" s="329" t="s">
        <v>103</v>
      </c>
      <c r="G28" s="335">
        <v>20</v>
      </c>
      <c r="H28" s="335">
        <v>24</v>
      </c>
      <c r="I28" s="330" t="s">
        <v>106</v>
      </c>
      <c r="J28" s="331"/>
      <c r="L28" s="335">
        <v>24</v>
      </c>
      <c r="M28" s="330" t="s">
        <v>102</v>
      </c>
    </row>
    <row r="29" spans="3:13">
      <c r="C29" s="335">
        <v>21</v>
      </c>
      <c r="D29" s="332" t="s">
        <v>101</v>
      </c>
      <c r="G29" s="335">
        <v>21</v>
      </c>
      <c r="H29" s="335">
        <v>25</v>
      </c>
      <c r="I29" s="330" t="s">
        <v>104</v>
      </c>
      <c r="J29" s="331"/>
      <c r="L29" s="335"/>
      <c r="M29" s="330"/>
    </row>
    <row r="30" spans="3:13">
      <c r="C30" s="335"/>
      <c r="G30" s="335">
        <v>22</v>
      </c>
      <c r="H30" s="335">
        <v>26</v>
      </c>
      <c r="I30" s="333" t="s">
        <v>102</v>
      </c>
      <c r="J30" s="331"/>
      <c r="L30" s="335"/>
      <c r="M30" s="333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-- 2020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 ca="1">G2</f>
        <v>Reg_Percent_2019</v>
      </c>
      <c r="G2" s="239" t="s">
        <v>589</v>
      </c>
      <c r="AJ2" s="240" t="str">
        <f ca="1">AJ4 &amp; AJ3</f>
        <v>'Credit_2019Q4'!d:d</v>
      </c>
      <c r="AK2" s="240" t="str">
        <f ca="1">AK4 &amp; AK3</f>
        <v>'Credit_2019Q4'!b1</v>
      </c>
      <c r="AL2" s="240" t="str">
        <f ca="1">AL4 &amp; AL3</f>
        <v>'Credit_2019Q4'!c1</v>
      </c>
      <c r="AQ2" s="236"/>
    </row>
    <row r="3" spans="1:61" ht="19" hidden="1" outlineLevel="1">
      <c r="A3" s="233"/>
      <c r="E3" s="241" t="str">
        <f ca="1">"'" &amp; E2 &amp; "'!"</f>
        <v>'Reg_Percent_2019'!</v>
      </c>
      <c r="G3" s="234" t="str">
        <f ca="1"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'Credit_2019Q4'!</v>
      </c>
      <c r="AK4" s="236" t="str">
        <f t="shared" ref="AK4:AL4" si="0">$AQ$5</f>
        <v>'Credit_2019Q4'!</v>
      </c>
      <c r="AL4" s="236" t="str">
        <f t="shared" si="0"/>
        <v>'Credit_2019Q4'!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(44)</v>
      </c>
      <c r="M5" s="506"/>
      <c r="N5" s="314"/>
      <c r="O5" s="504" t="str">
        <f ca="1">"Regulated" &amp; CHAR( 10 ) &amp; "(" &amp; O14 &amp; ")"</f>
        <v>Regulated
(34)</v>
      </c>
      <c r="P5" s="508"/>
      <c r="Q5" s="314"/>
      <c r="R5" s="504" t="str">
        <f ca="1">"Mostly Regulated" &amp; CHAR( 10 ) &amp; "(" &amp; R14 &amp; ")"</f>
        <v>Mostly Regulated
(10)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590</v>
      </c>
    </row>
    <row r="6" spans="1:61" ht="28.5" customHeight="1">
      <c r="A6" s="299" t="s">
        <v>0</v>
      </c>
      <c r="B6" s="300" t="s">
        <v>591</v>
      </c>
      <c r="C6" s="338" t="s">
        <v>470</v>
      </c>
      <c r="D6" s="301"/>
      <c r="E6" s="302">
        <f ca="1">INDIRECT( E3 &amp; G1 )</f>
        <v>43830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4.5454545454545456E-2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0.27272727272727271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0.40909090909090912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0.18181818181818182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4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6.8181818181818177E-2</v>
      </c>
      <c r="N12" s="318"/>
      <c r="O12" s="295">
        <f t="shared" ca="1" si="11"/>
        <v>2</v>
      </c>
      <c r="P12" s="296">
        <f t="shared" ca="1" si="12"/>
        <v>5.8823529411764705E-2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4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2.2727272727272728E-2</v>
      </c>
      <c r="N13" s="319"/>
      <c r="O13" s="297">
        <f t="shared" ca="1" si="11"/>
        <v>1</v>
      </c>
      <c r="P13" s="298">
        <f t="shared" ca="1" si="12"/>
        <v>2.9411764705882353E-2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18.977272727272727</v>
      </c>
      <c r="Z14" s="261"/>
      <c r="AA14" s="489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19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18.970588235294116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19.100000000000001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4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4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4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73</v>
      </c>
      <c r="AS39" s="286" t="s">
        <v>73</v>
      </c>
      <c r="AT39" s="286" t="s">
        <v>317</v>
      </c>
      <c r="AV39" s="234">
        <f t="shared" si="21"/>
        <v>99</v>
      </c>
      <c r="AW39" s="234">
        <f>COUNTIF( AV$7:AV39, AV39 )</f>
        <v>1</v>
      </c>
      <c r="AX39" s="287">
        <f t="shared" si="22"/>
        <v>99.1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4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4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4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9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4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4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4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</v>
      </c>
      <c r="AL49" s="236">
        <f t="shared" ca="1" si="20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9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4">
      <c r="A50" s="303" t="s">
        <v>53</v>
      </c>
      <c r="B50" s="304" t="s">
        <v>73</v>
      </c>
      <c r="C50" s="304" t="s">
        <v>73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/>
      </c>
      <c r="BH50" s="240" t="str">
        <f t="shared" ca="1" si="25"/>
        <v/>
      </c>
      <c r="BI50" s="240" t="str">
        <f t="shared" ca="1" si="25"/>
        <v>PCG</v>
      </c>
    </row>
    <row r="51" spans="1:61" ht="14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2</v>
      </c>
      <c r="AX51" s="287">
        <f t="shared" si="22"/>
        <v>99.2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4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3</v>
      </c>
      <c r="AX52" s="287">
        <f t="shared" si="22"/>
        <v>99.3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4</v>
      </c>
      <c r="AX53" s="287">
        <f t="shared" si="22"/>
        <v>99.4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5</v>
      </c>
      <c r="AX54" s="287">
        <f t="shared" si="22"/>
        <v>99.5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6</v>
      </c>
      <c r="AX55" s="287">
        <f t="shared" si="22"/>
        <v>99.6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7</v>
      </c>
      <c r="AX56" s="287">
        <f t="shared" si="22"/>
        <v>99.7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8</v>
      </c>
      <c r="AX57" s="287">
        <f t="shared" si="22"/>
        <v>99.8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9</v>
      </c>
      <c r="AX58" s="287">
        <f t="shared" si="22"/>
        <v>99.9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10</v>
      </c>
      <c r="AX59" s="287">
        <f t="shared" si="22"/>
        <v>100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11</v>
      </c>
      <c r="AX60" s="287">
        <f t="shared" si="22"/>
        <v>100.1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12</v>
      </c>
      <c r="AX61" s="287">
        <f t="shared" si="22"/>
        <v>100.2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13</v>
      </c>
      <c r="AX62" s="287">
        <f t="shared" si="22"/>
        <v>100.3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14</v>
      </c>
      <c r="AX63" s="287">
        <f t="shared" si="22"/>
        <v>100.4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18.977272727272727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-- 2019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Reg_Percent_2018</v>
      </c>
      <c r="G2" s="239" t="s">
        <v>577</v>
      </c>
      <c r="AJ2" s="240" t="str">
        <f>AJ4 &amp; AJ3</f>
        <v>'Credit_2019Q3'!d:d</v>
      </c>
      <c r="AK2" s="240" t="str">
        <f>AK4 &amp; AK3</f>
        <v>'Credit_2019Q3'!b1</v>
      </c>
      <c r="AL2" s="240" t="str">
        <f>AL4 &amp; AL3</f>
        <v>'Credit_2019Q3'!c1</v>
      </c>
      <c r="AQ2" s="236"/>
    </row>
    <row r="3" spans="1:61" ht="19" hidden="1" outlineLevel="1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'Credit_2019Q3'!</v>
      </c>
      <c r="AK4" s="236" t="str">
        <f t="shared" ref="AK4:AL4" si="0">$AQ$5</f>
        <v>'Credit_2019Q3'!</v>
      </c>
      <c r="AL4" s="236" t="str">
        <f t="shared" si="0"/>
        <v>'Credit_2019Q3'!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(45)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(10)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587</v>
      </c>
    </row>
    <row r="6" spans="1:61" ht="28.5" customHeight="1">
      <c r="A6" s="299" t="s">
        <v>0</v>
      </c>
      <c r="B6" s="300" t="s">
        <v>588</v>
      </c>
      <c r="C6" s="338" t="s">
        <v>470</v>
      </c>
      <c r="D6" s="301"/>
      <c r="E6" s="302">
        <f ca="1">INDIRECT( E3 &amp; G1 )</f>
        <v>43465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4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6.6666666666666666E-2</v>
      </c>
      <c r="N12" s="318"/>
      <c r="O12" s="295">
        <f t="shared" ca="1" si="11"/>
        <v>2</v>
      </c>
      <c r="P12" s="296">
        <f t="shared" ca="1" si="12"/>
        <v>5.7142857142857141E-2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4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4.4444444444444446E-2</v>
      </c>
      <c r="N13" s="319"/>
      <c r="O13" s="297">
        <f t="shared" ca="1" si="11"/>
        <v>2</v>
      </c>
      <c r="P13" s="298">
        <f t="shared" ca="1" si="12"/>
        <v>5.7142857142857141E-2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18.911111111111111</v>
      </c>
      <c r="Z14" s="261"/>
      <c r="AA14" s="488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18.644444444444446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18.514285714285716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19.100000000000001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4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4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4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9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4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4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9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4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4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4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4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>
        <f t="shared" ca="1" si="18"/>
        <v>1</v>
      </c>
      <c r="AJ49" s="236">
        <f t="shared" ca="1" si="19"/>
        <v>47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>Change</v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4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4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4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18.644444444444446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18.911111111111111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9.1640625" defaultRowHeight="13" outlineLevelRow="1" outlineLevelCol="2"/>
  <cols>
    <col min="1" max="1" width="35.1640625" style="234" customWidth="1"/>
    <col min="2" max="2" width="9.1640625" style="234"/>
    <col min="3" max="3" width="9.5" style="263" customWidth="1"/>
    <col min="4" max="4" width="9.1640625" style="235" customWidth="1" outlineLevel="1"/>
    <col min="5" max="5" width="12.5" style="235" customWidth="1" outlineLevel="1"/>
    <col min="6" max="6" width="3.5" style="234" customWidth="1" outlineLevel="1"/>
    <col min="7" max="7" width="17.6640625" style="236" hidden="1" customWidth="1" outlineLevel="2"/>
    <col min="8" max="8" width="3.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5" style="234" customWidth="1"/>
    <col min="14" max="14" width="2" style="234" customWidth="1"/>
    <col min="15" max="16" width="10.5" style="234" customWidth="1"/>
    <col min="17" max="17" width="2" style="234" customWidth="1"/>
    <col min="18" max="19" width="10.5" style="234" customWidth="1"/>
    <col min="20" max="20" width="2" style="236" customWidth="1"/>
    <col min="21" max="22" width="10.5" style="236" hidden="1" customWidth="1" outlineLevel="1"/>
    <col min="23" max="23" width="2" style="234" hidden="1" customWidth="1" outlineLevel="1"/>
    <col min="24" max="24" width="4.1640625" style="234" customWidth="1" collapsed="1"/>
    <col min="25" max="25" width="5.5" style="234" customWidth="1"/>
    <col min="26" max="26" width="2.5" style="234" customWidth="1"/>
    <col min="27" max="27" width="4.33203125" style="234" customWidth="1"/>
    <col min="28" max="30" width="2.5" style="234" hidden="1" customWidth="1" outlineLevel="1"/>
    <col min="31" max="31" width="4.5" style="234" hidden="1" customWidth="1" outlineLevel="1"/>
    <col min="32" max="32" width="6.5" style="236" hidden="1" customWidth="1" outlineLevel="1" collapsed="1"/>
    <col min="33" max="34" width="6.5" style="236" hidden="1" customWidth="1" outlineLevel="1"/>
    <col min="35" max="35" width="3.1640625" style="234" hidden="1" customWidth="1" outlineLevel="1"/>
    <col min="36" max="36" width="15.83203125" style="236" hidden="1" customWidth="1" outlineLevel="1" collapsed="1"/>
    <col min="37" max="38" width="15.83203125" style="236" hidden="1" customWidth="1" outlineLevel="1"/>
    <col min="39" max="39" width="8.5" style="236" hidden="1" customWidth="1" outlineLevel="1"/>
    <col min="40" max="40" width="11.83203125" style="236" hidden="1" customWidth="1" outlineLevel="1"/>
    <col min="41" max="41" width="3.5" style="234" customWidth="1" collapsed="1"/>
    <col min="42" max="42" width="3.5" style="234" customWidth="1"/>
    <col min="43" max="43" width="29.6640625" style="234" hidden="1" customWidth="1" outlineLevel="1"/>
    <col min="44" max="44" width="6.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640625" style="234" hidden="1" customWidth="1" outlineLevel="1"/>
    <col min="48" max="56" width="9.1640625" style="234" hidden="1" customWidth="1" outlineLevel="2"/>
    <col min="57" max="57" width="5.5" style="234" hidden="1" customWidth="1" outlineLevel="1" collapsed="1"/>
    <col min="58" max="58" width="36.83203125" style="234" hidden="1" customWidth="1" outlineLevel="1"/>
    <col min="59" max="59" width="6.5" style="234" hidden="1" customWidth="1" outlineLevel="1"/>
    <col min="60" max="60" width="3.5" style="234" hidden="1" customWidth="1" outlineLevel="1"/>
    <col min="61" max="61" width="9.1640625" style="234" hidden="1" customWidth="1" outlineLevel="1"/>
    <col min="62" max="62" width="9.1640625" collapsed="1"/>
    <col min="63" max="16384" width="9.1640625" style="234"/>
  </cols>
  <sheetData>
    <row r="1" spans="1:61" ht="19">
      <c r="A1" s="323" t="str">
        <f>"I.  S&amp;P Utility Credit Ratings Distribution -- " &amp; B6</f>
        <v>I.  S&amp;P Utility Credit Ratings Distribution -- 2019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9" hidden="1" outlineLevel="1">
      <c r="A2" s="233"/>
      <c r="E2" s="238" t="str">
        <f>G2</f>
        <v>Reg_Percent_2018</v>
      </c>
      <c r="G2" s="239" t="s">
        <v>577</v>
      </c>
      <c r="AJ2" s="240" t="str">
        <f>AJ4 &amp; AJ3</f>
        <v>'Credit_2019Q2'!d:d</v>
      </c>
      <c r="AK2" s="240" t="str">
        <f>AK4 &amp; AK3</f>
        <v>'Credit_2019Q2'!b1</v>
      </c>
      <c r="AL2" s="240" t="str">
        <f>AL4 &amp; AL3</f>
        <v>'Credit_2019Q2'!c1</v>
      </c>
      <c r="AQ2" s="236"/>
    </row>
    <row r="3" spans="1:61" ht="19" hidden="1" outlineLevel="1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9" hidden="1" outlineLevel="1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'Credit_2019Q2'!</v>
      </c>
      <c r="AK4" s="236" t="str">
        <f t="shared" ref="AK4:AL4" si="0">$AQ$5</f>
        <v>'Credit_2019Q2'!</v>
      </c>
      <c r="AL4" s="236" t="str">
        <f t="shared" si="0"/>
        <v>'Credit_2019Q2'!</v>
      </c>
      <c r="AQ4" s="236"/>
    </row>
    <row r="5" spans="1:61" ht="14" collapsed="1">
      <c r="E5" s="243" t="s">
        <v>435</v>
      </c>
      <c r="G5" s="237" t="s">
        <v>423</v>
      </c>
      <c r="I5" s="314"/>
      <c r="J5" s="504" t="s">
        <v>77</v>
      </c>
      <c r="K5" s="314"/>
      <c r="L5" s="506" t="str">
        <f>"All Companies" &amp; CHAR( 10 ) &amp; "("&amp; L14 &amp; ")"</f>
        <v>All Companies
(45)</v>
      </c>
      <c r="M5" s="506"/>
      <c r="N5" s="314"/>
      <c r="O5" s="504" t="str">
        <f ca="1">"Regulated" &amp; CHAR( 10 ) &amp; "(" &amp; O14 &amp; ")"</f>
        <v>Regulated
(35)</v>
      </c>
      <c r="P5" s="508"/>
      <c r="Q5" s="314"/>
      <c r="R5" s="504" t="str">
        <f ca="1">"Mostly Regulated" &amp; CHAR( 10 ) &amp; "(" &amp; R14 &amp; ")"</f>
        <v>Mostly Regulated
(10)</v>
      </c>
      <c r="S5" s="508"/>
      <c r="T5" s="314"/>
      <c r="U5" s="504" t="str">
        <f ca="1">"Diversified" &amp; CHAR( 10 ) &amp; "(" &amp; U14 &amp; ")"</f>
        <v>Diversified
(0)</v>
      </c>
      <c r="V5" s="508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585</v>
      </c>
    </row>
    <row r="6" spans="1:61" ht="28.5" customHeight="1">
      <c r="A6" s="299" t="s">
        <v>0</v>
      </c>
      <c r="B6" s="300" t="s">
        <v>586</v>
      </c>
      <c r="C6" s="338" t="s">
        <v>470</v>
      </c>
      <c r="D6" s="301"/>
      <c r="E6" s="302">
        <f ca="1">INDIRECT( E3 &amp; G1 )</f>
        <v>43465</v>
      </c>
      <c r="I6" s="315"/>
      <c r="J6" s="505"/>
      <c r="K6" s="315"/>
      <c r="L6" s="507"/>
      <c r="M6" s="507"/>
      <c r="N6" s="315"/>
      <c r="O6" s="505"/>
      <c r="P6" s="505"/>
      <c r="Q6" s="315"/>
      <c r="R6" s="505" t="s">
        <v>137</v>
      </c>
      <c r="S6" s="505"/>
      <c r="T6" s="315"/>
      <c r="U6" s="505"/>
      <c r="V6" s="505"/>
      <c r="W6" s="315"/>
      <c r="AE6" s="245"/>
      <c r="AJ6" s="246"/>
    </row>
    <row r="7" spans="1:61" ht="14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4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4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4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4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4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4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>
        <f t="shared" ca="1" si="18"/>
        <v>1</v>
      </c>
      <c r="AJ13" s="236">
        <f t="shared" ca="1" si="19"/>
        <v>7</v>
      </c>
      <c r="AK13" s="236" t="str">
        <f t="shared" ca="1" si="20"/>
        <v>A+</v>
      </c>
      <c r="AL13" s="236">
        <f t="shared" ca="1" si="20"/>
        <v>22</v>
      </c>
      <c r="AM13" s="236" t="str">
        <f t="shared" ca="1" si="4"/>
        <v>Change</v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4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18.933333333333334</v>
      </c>
      <c r="Z14" s="261"/>
      <c r="AA14" s="487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4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4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1">
        <f t="array" ref="L16">SUM( IF( LEN( $C$7:$C$65 ) = 0, 0, $C$7:$C$65 ) ) / SUM( IF( LEN( $C$7:$C$65 ) = 0, 0, 1  ) )</f>
        <v>18.68888888888889</v>
      </c>
      <c r="M16" s="502"/>
      <c r="N16" s="316"/>
      <c r="O16" s="501">
        <f t="array" aca="1" ref="O16" ca="1">SUM( IF( LEN( $C$7:$C$65 ) = 0, 0, IF( $E$7:$E$65 = O3, $C$7:$C$65, 0 ) ) ) / SUM( IF( LEN( $C$7:$C$65 ) = 0, 0, IF( $E$7:$E$65 = O3, 1, 0 ) ) )</f>
        <v>18.571428571428573</v>
      </c>
      <c r="P16" s="502"/>
      <c r="Q16" s="316"/>
      <c r="R16" s="501">
        <f t="array" aca="1" ref="R16" ca="1">SUM( IF( LEN( $C$7:$C$65 ) = 0, 0, IF( $E$7:$E$65 = R3, $C$7:$C$65, 0 ) ) ) / SUM( IF( LEN( $C$7:$C$65 ) = 0, 0, IF( $E$7:$E$65 = R3, 1, 0 ) ) )</f>
        <v>19.100000000000001</v>
      </c>
      <c r="S16" s="502"/>
      <c r="T16" s="316"/>
      <c r="U16" s="501" t="e">
        <f t="array" aca="1" ref="U16" ca="1">SUM( IF( LEN( $C$7:$C$65 ) = 0, 0, IF( $E$7:$E$65 = U3, $C$7:$C$65, 0 ) ) ) / SUM( IF( LEN( $C$7:$C$65 ) = 0, 0, IF( $E$7:$E$65 = U3, 1, 0 ) ) )</f>
        <v>#DIV/0!</v>
      </c>
      <c r="V16" s="503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4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4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4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4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4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4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4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4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4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4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4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4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4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4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4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4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4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4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4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4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4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4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4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9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4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4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4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4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4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4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4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4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4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4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4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4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4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9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4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4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4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4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4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4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4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5" thickBot="1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4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4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4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4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4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5" thickBot="1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4">
      <c r="A68" s="274" t="s">
        <v>135</v>
      </c>
      <c r="B68" s="275" t="str">
        <f ca="1">OFFSET( Scale!$H$5, ROUND( C68, 0 ) - 1, 1 )</f>
        <v>BBB+</v>
      </c>
      <c r="C68" s="276">
        <f>AVERAGE(C7:C65)</f>
        <v>18.68888888888889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>
      <c r="A70" s="277"/>
      <c r="B70" s="278"/>
      <c r="F70" s="240"/>
      <c r="H70" s="240"/>
      <c r="I70" s="240"/>
      <c r="J70" s="253"/>
      <c r="K70" s="253"/>
    </row>
    <row r="71" spans="1:58">
      <c r="A71" s="279" t="s">
        <v>266</v>
      </c>
      <c r="F71" s="240"/>
      <c r="H71" s="240"/>
      <c r="I71" s="240"/>
    </row>
    <row r="72" spans="1:58">
      <c r="A72" s="279" t="s">
        <v>365</v>
      </c>
      <c r="B72" s="240"/>
      <c r="D72" s="264"/>
      <c r="E72" s="264"/>
      <c r="F72" s="280"/>
      <c r="H72" s="280"/>
      <c r="I72" s="280"/>
    </row>
    <row r="73" spans="1:58">
      <c r="A73" s="281" t="s">
        <v>356</v>
      </c>
      <c r="B73" s="240"/>
      <c r="D73" s="264"/>
      <c r="E73" s="264"/>
      <c r="F73" s="280"/>
      <c r="H73" s="280"/>
      <c r="I73" s="280"/>
    </row>
    <row r="74" spans="1:58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>
      <c r="A76" s="279"/>
      <c r="AQ76" s="286"/>
      <c r="AR76" s="286"/>
      <c r="AS76" s="286"/>
    </row>
    <row r="77" spans="1:58">
      <c r="C77" s="339">
        <f>SUMPRODUCT( L8:L13, Y8:Y13 ) / L14</f>
        <v>18.933333333333334</v>
      </c>
      <c r="E77" s="283"/>
      <c r="G77" s="251"/>
      <c r="J77" s="240"/>
      <c r="K77" s="240"/>
      <c r="AQ77" s="286"/>
      <c r="AR77" s="286"/>
      <c r="AS77" s="286"/>
    </row>
    <row r="78" spans="1:58" s="240" customFormat="1" ht="14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6C76E5-BF75-48CE-A6B5-1CCAC67E65E7}">
  <ds:schemaRefs>
    <ds:schemaRef ds:uri="http://schemas.microsoft.com/office/2006/metadata/properties"/>
    <ds:schemaRef ds:uri="http://schemas.microsoft.com/office/infopath/2007/PartnerControls"/>
    <ds:schemaRef ds:uri="066e5197-e0d9-4d82-87ff-9454abe15744"/>
  </ds:schemaRefs>
</ds:datastoreItem>
</file>

<file path=customXml/itemProps2.xml><?xml version="1.0" encoding="utf-8"?>
<ds:datastoreItem xmlns:ds="http://schemas.openxmlformats.org/officeDocument/2006/customXml" ds:itemID="{953BF984-F330-44BB-A178-6A6E46E551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6e5197-e0d9-4d82-87ff-9454abe157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0C69A9-BAE6-498F-BDDE-3FE106CF61B1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AD208671-E534-4270-ADA2-92DC490220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4</vt:i4>
      </vt:variant>
    </vt:vector>
  </HeadingPairs>
  <TitlesOfParts>
    <vt:vector size="64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Tax/QFU_Credit/2020_Q2_Credit_Ratings.xlsx</dc:title>
  <dc:creator>Mathew Martin</dc:creator>
  <cp:lastModifiedBy>Richard Baudino</cp:lastModifiedBy>
  <cp:lastPrinted>2019-11-25T16:41:41Z</cp:lastPrinted>
  <dcterms:created xsi:type="dcterms:W3CDTF">2005-10-18T14:13:46Z</dcterms:created>
  <dcterms:modified xsi:type="dcterms:W3CDTF">2020-09-20T14:07:00Z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0x010100044AF8C67ABECC458B2F393D29E4E3E7</vt:lpwstr>
  </property>
  <property fmtid="{D5CDD505-2E9C-101B-9397-08002B2CF9AE}" pid="5" name="WorkflowChangePath">
    <vt:lpwstr>d25fe73d-fcec-4a07-bd5f-0dc3409157cc,11;</vt:lpwstr>
  </property>
  <property fmtid="{D5CDD505-2E9C-101B-9397-08002B2CF9AE}" pid="6" name="Tags">
    <vt:lpwstr/>
  </property>
</Properties>
</file>