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2005 Active\1-2011 Active\2020 Kentucky Power Rate Case\Baron Testimony\Workpapers\Net Metering\"/>
    </mc:Choice>
  </mc:AlternateContent>
  <xr:revisionPtr revIDLastSave="0" documentId="8_{63BB1F14-910A-4676-9136-47FC219BC1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MS Avoided Capacity Cost" sheetId="8" r:id="rId1"/>
    <sheet name="Peak Reduction" sheetId="5" r:id="rId2"/>
    <sheet name="LSE OATT Savings" sheetId="4" r:id="rId3"/>
  </sheets>
  <definedNames>
    <definedName name="_xlnm.Print_Area" localSheetId="1">'Peak Reduction'!$A$1:$N$56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5" l="1"/>
  <c r="B15" i="8" l="1"/>
  <c r="B18" i="8" s="1"/>
  <c r="I39" i="5"/>
  <c r="J36" i="5" l="1"/>
  <c r="J35" i="5"/>
  <c r="L17" i="5" s="1"/>
  <c r="L14" i="5" s="1"/>
  <c r="L15" i="5" s="1"/>
  <c r="J38" i="5"/>
  <c r="J37" i="5"/>
  <c r="B5" i="8" s="1"/>
  <c r="D5" i="8" s="1"/>
  <c r="E5" i="8" s="1"/>
  <c r="E9" i="8" s="1"/>
  <c r="B19" i="8" s="1"/>
  <c r="J39" i="5" l="1"/>
  <c r="G46" i="5" l="1"/>
  <c r="C54" i="5" l="1"/>
  <c r="C53" i="5"/>
  <c r="E53" i="5"/>
  <c r="G51" i="5"/>
  <c r="E51" i="5"/>
  <c r="C51" i="5"/>
  <c r="C46" i="5"/>
  <c r="C45" i="5"/>
  <c r="C50" i="5"/>
  <c r="C49" i="5"/>
  <c r="C48" i="5"/>
  <c r="C47" i="5"/>
  <c r="C44" i="5"/>
  <c r="C43" i="5"/>
  <c r="L18" i="5" l="1"/>
  <c r="C31" i="4" s="1"/>
  <c r="C55" i="5"/>
  <c r="H8" i="4" l="1"/>
  <c r="G54" i="5"/>
  <c r="G53" i="5"/>
  <c r="G52" i="5"/>
  <c r="G50" i="5"/>
  <c r="G49" i="5"/>
  <c r="G48" i="5"/>
  <c r="G47" i="5"/>
  <c r="G45" i="5"/>
  <c r="G44" i="5"/>
  <c r="G43" i="5"/>
  <c r="E54" i="5"/>
  <c r="E52" i="5"/>
  <c r="E50" i="5"/>
  <c r="E49" i="5"/>
  <c r="E48" i="5"/>
  <c r="E47" i="5"/>
  <c r="E46" i="5"/>
  <c r="E45" i="5"/>
  <c r="E44" i="5"/>
  <c r="E43" i="5"/>
  <c r="G66" i="5" l="1"/>
  <c r="G59" i="5"/>
  <c r="G63" i="5"/>
  <c r="G58" i="5"/>
  <c r="G62" i="5"/>
  <c r="G61" i="5"/>
  <c r="G65" i="5"/>
  <c r="G64" i="5"/>
  <c r="G60" i="5"/>
  <c r="G67" i="5"/>
  <c r="D19" i="4"/>
  <c r="C19" i="4"/>
  <c r="D18" i="4"/>
  <c r="C18" i="4"/>
  <c r="C17" i="4"/>
  <c r="D16" i="4"/>
  <c r="C16" i="4"/>
  <c r="D15" i="4"/>
  <c r="C15" i="4"/>
  <c r="D14" i="4"/>
  <c r="C14" i="4"/>
  <c r="B8" i="4"/>
  <c r="C6" i="4" s="1"/>
  <c r="H10" i="4" s="1"/>
  <c r="H11" i="4" s="1"/>
  <c r="D7" i="4"/>
  <c r="G55" i="5"/>
  <c r="G68" i="5" l="1"/>
  <c r="H67" i="5" s="1"/>
  <c r="H59" i="5"/>
  <c r="E55" i="5"/>
  <c r="L19" i="5" s="1"/>
  <c r="B6" i="8" s="1"/>
  <c r="H17" i="4"/>
  <c r="H15" i="4"/>
  <c r="H18" i="4"/>
  <c r="H16" i="4"/>
  <c r="H14" i="4"/>
  <c r="H19" i="4"/>
  <c r="C7" i="4"/>
  <c r="H66" i="5" l="1"/>
  <c r="H63" i="5"/>
  <c r="H58" i="5"/>
  <c r="H62" i="5"/>
  <c r="H65" i="5"/>
  <c r="H64" i="5"/>
  <c r="H60" i="5"/>
  <c r="H61" i="5"/>
  <c r="C33" i="4"/>
  <c r="D6" i="4" s="1"/>
  <c r="D8" i="4" s="1"/>
  <c r="E6" i="4" s="1"/>
  <c r="I10" i="4" s="1"/>
  <c r="I11" i="4" s="1"/>
  <c r="D31" i="4"/>
  <c r="D33" i="4" s="1"/>
  <c r="D17" i="4" l="1"/>
  <c r="D20" i="4" s="1"/>
  <c r="D22" i="4" s="1"/>
  <c r="J10" i="4"/>
  <c r="D10" i="4"/>
  <c r="E7" i="4"/>
  <c r="J11" i="4"/>
  <c r="E14" i="4" l="1"/>
  <c r="I14" i="4" s="1"/>
  <c r="J14" i="4" s="1"/>
  <c r="E18" i="4"/>
  <c r="I18" i="4" s="1"/>
  <c r="J18" i="4" s="1"/>
  <c r="E19" i="4"/>
  <c r="I19" i="4" s="1"/>
  <c r="J19" i="4" s="1"/>
  <c r="E15" i="4"/>
  <c r="I15" i="4" s="1"/>
  <c r="J15" i="4" s="1"/>
  <c r="E17" i="4"/>
  <c r="I17" i="4" s="1"/>
  <c r="J17" i="4" s="1"/>
  <c r="C35" i="4" s="1"/>
  <c r="E16" i="4"/>
  <c r="I16" i="4" s="1"/>
  <c r="J16" i="4" s="1"/>
  <c r="C6" i="8" l="1"/>
  <c r="D6" i="8" s="1"/>
  <c r="B21" i="8" l="1"/>
  <c r="E6" i="8"/>
  <c r="E10" i="8" s="1"/>
  <c r="B20" i="8" s="1"/>
</calcChain>
</file>

<file path=xl/sharedStrings.xml><?xml version="1.0" encoding="utf-8"?>
<sst xmlns="http://schemas.openxmlformats.org/spreadsheetml/2006/main" count="155" uniqueCount="114">
  <si>
    <t>NSPL</t>
  </si>
  <si>
    <t>AEP (Including CRES)</t>
  </si>
  <si>
    <t>Non-Affiliate</t>
  </si>
  <si>
    <t>Existing</t>
  </si>
  <si>
    <t>%</t>
  </si>
  <si>
    <t>MW</t>
  </si>
  <si>
    <t>AP - 12CP</t>
  </si>
  <si>
    <t>OP - 12CP</t>
  </si>
  <si>
    <t>IM - 12CP</t>
  </si>
  <si>
    <t>KP - 12CP</t>
  </si>
  <si>
    <t>WPC - 12CP</t>
  </si>
  <si>
    <t>KGP - 12CP</t>
  </si>
  <si>
    <t>Operating Company Sum</t>
  </si>
  <si>
    <t>% Increase</t>
  </si>
  <si>
    <t>12CP</t>
  </si>
  <si>
    <t>OpCo ATRR</t>
  </si>
  <si>
    <t>Transco ATRR</t>
  </si>
  <si>
    <t>Total Zonal ATRR</t>
  </si>
  <si>
    <t>NITS Expense</t>
  </si>
  <si>
    <t>Allocated to AEP %</t>
  </si>
  <si>
    <t>Allocated to AEP $</t>
  </si>
  <si>
    <t>WPCo</t>
  </si>
  <si>
    <t>Schedule 12 Expense (RTEP)</t>
  </si>
  <si>
    <t>G Capacity</t>
  </si>
  <si>
    <t>$/MW-Year</t>
  </si>
  <si>
    <t>Month</t>
  </si>
  <si>
    <t>midnight</t>
  </si>
  <si>
    <t>AM</t>
  </si>
  <si>
    <t xml:space="preserve">Winter Peak Avg </t>
  </si>
  <si>
    <t>Summer</t>
  </si>
  <si>
    <t>Weighted</t>
  </si>
  <si>
    <t>Average 5CP reduction</t>
  </si>
  <si>
    <t>Average NSPL Reduction</t>
  </si>
  <si>
    <t>Average 12 CP reduction</t>
  </si>
  <si>
    <t>PM</t>
  </si>
  <si>
    <t>Grand Total</t>
  </si>
  <si>
    <t>AEP Zone 12CP Hour Analysis</t>
  </si>
  <si>
    <t>Year 2017</t>
  </si>
  <si>
    <t>Peak Reduction</t>
  </si>
  <si>
    <t>Year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</si>
  <si>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</si>
  <si>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</si>
  <si>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</si>
  <si>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</si>
  <si>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</si>
  <si>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</si>
  <si>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</si>
  <si>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</si>
  <si>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</si>
  <si>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</si>
  <si>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</si>
  <si>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</si>
  <si>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</si>
  <si>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>Hour End</t>
  </si>
  <si>
    <t>50/50 Historic split of NSPL in AEP Zone</t>
  </si>
  <si>
    <t xml:space="preserve">AEP LSE OATT PJM Incremental Cost Estimate </t>
  </si>
  <si>
    <t>Used to estimate incremental cost from loads and decremental costs from peak shaving</t>
  </si>
  <si>
    <t>Add Project MW</t>
  </si>
  <si>
    <t>Increase/(Decrease)</t>
  </si>
  <si>
    <t>Allocated to APCo</t>
  </si>
  <si>
    <t>Allocated to OPCo</t>
  </si>
  <si>
    <t>Allocated to I&amp;M</t>
  </si>
  <si>
    <t xml:space="preserve">Allocated to KPCo </t>
  </si>
  <si>
    <t xml:space="preserve">Allocated to WPCo </t>
  </si>
  <si>
    <t xml:space="preserve">Allocated to KGPCo </t>
  </si>
  <si>
    <t>Load Changes Input in this section</t>
  </si>
  <si>
    <t xml:space="preserve">NSPL </t>
  </si>
  <si>
    <t>APCo</t>
  </si>
  <si>
    <t>OPCo</t>
  </si>
  <si>
    <t>I&amp;M</t>
  </si>
  <si>
    <t>KP</t>
  </si>
  <si>
    <t>Total East Change</t>
  </si>
  <si>
    <t>2020 PTRR</t>
  </si>
  <si>
    <t>Jun/July/Aug</t>
  </si>
  <si>
    <t>5CP</t>
  </si>
  <si>
    <t>AM/PM</t>
  </si>
  <si>
    <t>Jan/Feb</t>
  </si>
  <si>
    <t>Winter NSPL</t>
  </si>
  <si>
    <t>Bal of Year</t>
  </si>
  <si>
    <t>12CPs</t>
  </si>
  <si>
    <t>Begins</t>
  </si>
  <si>
    <t>Ends</t>
  </si>
  <si>
    <t>AEP Zone T Loss Factor</t>
  </si>
  <si>
    <t>September</t>
  </si>
  <si>
    <t>5&amp;12 CP</t>
  </si>
  <si>
    <t>PJM Summer 5CPs Hour Ending</t>
  </si>
  <si>
    <t>Year 2016</t>
  </si>
  <si>
    <t>2020 Filed Rate</t>
  </si>
  <si>
    <t>Solar</t>
  </si>
  <si>
    <t>T Avoided Cost</t>
  </si>
  <si>
    <t>Price</t>
  </si>
  <si>
    <t>Solar Pk Reduction MW</t>
  </si>
  <si>
    <t>$ Value</t>
  </si>
  <si>
    <t>NMS $/kWh Price</t>
  </si>
  <si>
    <t>HE</t>
  </si>
  <si>
    <t>Count</t>
  </si>
  <si>
    <t>Weight</t>
  </si>
  <si>
    <t>5CP Reduction Weighting</t>
  </si>
  <si>
    <t>Cogen SPP Energy</t>
  </si>
  <si>
    <t>On Pk</t>
  </si>
  <si>
    <t>Off Pk</t>
  </si>
  <si>
    <t>$/kWh</t>
  </si>
  <si>
    <t>5/7 on-pk 2/7 off-pk</t>
  </si>
  <si>
    <t>Energy</t>
  </si>
  <si>
    <t>NMS Price for Excess Gen</t>
  </si>
  <si>
    <t>Total annual MWh from solar plant</t>
  </si>
  <si>
    <t>Net Metering Shape Discount</t>
  </si>
  <si>
    <t>Full Solar Output Shape Value</t>
  </si>
  <si>
    <t>Gen Capacity</t>
  </si>
  <si>
    <t>T Fixed Cost</t>
  </si>
  <si>
    <t>input from cogen spp rate design</t>
  </si>
  <si>
    <t>2019 Historic</t>
  </si>
  <si>
    <t>Utility Scale Solar Project Summary Information - Used in NMS II Pricing Development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</si>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</sst>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0.00000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10" fontId="0" fillId="0" borderId="0" xfId="3" applyNumberFormat="1" applyFont="1"/>
    <xf numFmtId="164" fontId="0" fillId="0" borderId="0" xfId="1" applyNumberFormat="1" applyFont="1" applyBorder="1"/>
    <xf numFmtId="0" fontId="0" fillId="0" borderId="0" xfId="0" applyBorder="1"/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43" fontId="0" fillId="0" borderId="5" xfId="0" applyNumberFormat="1" applyBorder="1"/>
    <xf numFmtId="0" fontId="6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0" xfId="0" applyNumberFormat="1"/>
    <xf numFmtId="0" fontId="0" fillId="0" borderId="13" xfId="0" applyBorder="1"/>
    <xf numFmtId="0" fontId="0" fillId="0" borderId="14" xfId="0" applyBorder="1"/>
    <xf numFmtId="43" fontId="0" fillId="0" borderId="0" xfId="0" applyNumberFormat="1" applyBorder="1"/>
    <xf numFmtId="165" fontId="0" fillId="0" borderId="0" xfId="2" applyNumberFormat="1" applyFont="1" applyBorder="1"/>
    <xf numFmtId="166" fontId="0" fillId="0" borderId="0" xfId="0" applyNumberFormat="1" applyBorder="1"/>
    <xf numFmtId="166" fontId="0" fillId="0" borderId="5" xfId="0" applyNumberFormat="1" applyBorder="1"/>
    <xf numFmtId="167" fontId="0" fillId="0" borderId="0" xfId="0" applyNumberFormat="1"/>
    <xf numFmtId="165" fontId="0" fillId="0" borderId="5" xfId="2" applyNumberFormat="1" applyFont="1" applyBorder="1"/>
    <xf numFmtId="10" fontId="4" fillId="0" borderId="0" xfId="3" applyNumberFormat="1" applyFont="1"/>
    <xf numFmtId="0" fontId="4" fillId="0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Alignment="1">
      <alignment horizontal="center"/>
    </xf>
    <xf numFmtId="165" fontId="0" fillId="0" borderId="0" xfId="2" applyNumberFormat="1" applyFont="1" applyFill="1" applyBorder="1"/>
    <xf numFmtId="164" fontId="0" fillId="0" borderId="0" xfId="1" applyNumberFormat="1" applyFont="1" applyFill="1"/>
    <xf numFmtId="10" fontId="0" fillId="0" borderId="0" xfId="3" applyNumberFormat="1" applyFont="1" applyFill="1"/>
    <xf numFmtId="165" fontId="0" fillId="0" borderId="1" xfId="2" applyNumberFormat="1" applyFon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Alignment="1"/>
    <xf numFmtId="164" fontId="0" fillId="0" borderId="0" xfId="0" applyNumberFormat="1" applyFill="1"/>
    <xf numFmtId="164" fontId="2" fillId="0" borderId="0" xfId="1" applyNumberFormat="1" applyFont="1" applyFill="1" applyBorder="1"/>
    <xf numFmtId="0" fontId="3" fillId="0" borderId="0" xfId="0" applyFont="1" applyFill="1"/>
    <xf numFmtId="0" fontId="0" fillId="0" borderId="1" xfId="0" applyFill="1" applyBorder="1"/>
    <xf numFmtId="0" fontId="0" fillId="0" borderId="0" xfId="0" applyFont="1" applyFill="1"/>
    <xf numFmtId="0" fontId="0" fillId="0" borderId="0" xfId="0" applyFill="1" applyAlignment="1">
      <alignment horizontal="right"/>
    </xf>
    <xf numFmtId="164" fontId="0" fillId="0" borderId="0" xfId="1" applyNumberFormat="1" applyFont="1" applyFill="1" applyAlignment="1"/>
    <xf numFmtId="43" fontId="0" fillId="0" borderId="0" xfId="1" applyFont="1" applyFill="1"/>
    <xf numFmtId="0" fontId="0" fillId="0" borderId="1" xfId="0" applyFont="1" applyFill="1" applyBorder="1"/>
    <xf numFmtId="164" fontId="0" fillId="0" borderId="1" xfId="1" applyNumberFormat="1" applyFont="1" applyFill="1" applyBorder="1"/>
    <xf numFmtId="165" fontId="0" fillId="0" borderId="0" xfId="2" applyNumberFormat="1" applyFont="1" applyFill="1"/>
    <xf numFmtId="0" fontId="0" fillId="0" borderId="0" xfId="0" quotePrefix="1" applyFill="1"/>
    <xf numFmtId="10" fontId="0" fillId="0" borderId="0" xfId="0" applyNumberFormat="1" applyFill="1"/>
    <xf numFmtId="9" fontId="0" fillId="0" borderId="0" xfId="3" applyFont="1" applyFill="1"/>
    <xf numFmtId="167" fontId="0" fillId="0" borderId="1" xfId="0" applyNumberFormat="1" applyFill="1" applyBorder="1"/>
    <xf numFmtId="0" fontId="2" fillId="0" borderId="0" xfId="0" applyFont="1" applyFill="1"/>
    <xf numFmtId="167" fontId="2" fillId="0" borderId="0" xfId="0" applyNumberFormat="1" applyFont="1" applyFill="1"/>
    <xf numFmtId="43" fontId="0" fillId="0" borderId="0" xfId="1" applyFont="1" applyFill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3" fontId="0" fillId="0" borderId="0" xfId="1" applyFont="1" applyFill="1" applyBorder="1"/>
    <xf numFmtId="0" fontId="0" fillId="0" borderId="1" xfId="0" applyFill="1" applyBorder="1" applyAlignment="1">
      <alignment horizontal="left"/>
    </xf>
    <xf numFmtId="43" fontId="0" fillId="0" borderId="1" xfId="1" applyFont="1" applyFill="1" applyBorder="1"/>
    <xf numFmtId="168" fontId="0" fillId="0" borderId="0" xfId="3" applyNumberFormat="1" applyFont="1" applyFill="1"/>
    <xf numFmtId="0" fontId="0" fillId="0" borderId="6" xfId="0" applyFill="1" applyBorder="1"/>
    <xf numFmtId="0" fontId="0" fillId="0" borderId="7" xfId="0" applyFill="1" applyBorder="1"/>
    <xf numFmtId="168" fontId="0" fillId="0" borderId="1" xfId="3" applyNumberFormat="1" applyFont="1" applyFill="1" applyBorder="1"/>
    <xf numFmtId="0" fontId="0" fillId="0" borderId="8" xfId="0" applyFill="1" applyBorder="1"/>
    <xf numFmtId="43" fontId="0" fillId="0" borderId="5" xfId="1" applyFont="1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3" fontId="0" fillId="0" borderId="7" xfId="1" applyFont="1" applyFill="1" applyBorder="1"/>
    <xf numFmtId="43" fontId="0" fillId="0" borderId="0" xfId="0" applyNumberFormat="1" applyFill="1"/>
    <xf numFmtId="0" fontId="0" fillId="0" borderId="10" xfId="0" applyFill="1" applyBorder="1"/>
    <xf numFmtId="43" fontId="0" fillId="0" borderId="11" xfId="1" applyFont="1" applyFill="1" applyBorder="1"/>
    <xf numFmtId="43" fontId="0" fillId="0" borderId="5" xfId="0" applyNumberFormat="1" applyFill="1" applyBorder="1"/>
    <xf numFmtId="43" fontId="0" fillId="0" borderId="9" xfId="0" applyNumberFormat="1" applyFill="1" applyBorder="1"/>
    <xf numFmtId="43" fontId="0" fillId="0" borderId="0" xfId="0" applyNumberFormat="1" applyFill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D25" sqref="D25"/>
    </sheetView>
  </sheetViews>
  <sheetFormatPr defaultRowHeight="14.4" x14ac:dyDescent="0.3"/>
  <cols>
    <col min="1" max="1" width="23.88671875" customWidth="1"/>
    <col min="2" max="2" width="21.88671875" bestFit="1" customWidth="1"/>
    <col min="3" max="3" width="11.5546875" customWidth="1"/>
    <col min="4" max="4" width="17" customWidth="1"/>
    <col min="5" max="5" width="17.33203125" customWidth="1"/>
  </cols>
  <sheetData>
    <row r="1" spans="1:9" ht="15" thickBot="1" x14ac:dyDescent="0.35"/>
    <row r="2" spans="1:9" x14ac:dyDescent="0.3">
      <c r="A2" s="81" t="s">
        <v>107</v>
      </c>
      <c r="B2" s="82"/>
      <c r="C2" s="82"/>
      <c r="D2" s="82"/>
      <c r="E2" s="82"/>
      <c r="F2" s="19"/>
      <c r="G2" s="19"/>
      <c r="H2" s="19"/>
      <c r="I2" s="20"/>
    </row>
    <row r="3" spans="1:9" x14ac:dyDescent="0.3">
      <c r="A3" s="6"/>
      <c r="B3" s="3"/>
      <c r="C3" s="3"/>
      <c r="D3" s="3"/>
      <c r="E3" s="2">
        <v>38460</v>
      </c>
      <c r="F3" s="3" t="s">
        <v>105</v>
      </c>
      <c r="G3" s="3"/>
      <c r="H3" s="3"/>
      <c r="I3" s="7"/>
    </row>
    <row r="4" spans="1:9" x14ac:dyDescent="0.3">
      <c r="A4" s="6"/>
      <c r="B4" s="16" t="s">
        <v>91</v>
      </c>
      <c r="C4" s="16" t="s">
        <v>90</v>
      </c>
      <c r="D4" s="16" t="s">
        <v>92</v>
      </c>
      <c r="E4" s="16" t="s">
        <v>93</v>
      </c>
      <c r="F4" s="16"/>
      <c r="G4" s="3"/>
      <c r="H4" s="3"/>
      <c r="I4" s="7"/>
    </row>
    <row r="5" spans="1:9" x14ac:dyDescent="0.3">
      <c r="A5" s="6" t="s">
        <v>23</v>
      </c>
      <c r="B5" s="21">
        <f>'Peak Reduction'!L17</f>
        <v>9.5504839783917213</v>
      </c>
      <c r="C5" s="22">
        <v>100</v>
      </c>
      <c r="D5" s="22">
        <f>C5*B5*365</f>
        <v>348592.6652112978</v>
      </c>
      <c r="E5" s="23">
        <f>D5/$E$3/1000</f>
        <v>9.0637718463675975E-3</v>
      </c>
      <c r="F5" s="3"/>
      <c r="G5" s="3"/>
      <c r="H5" s="3"/>
      <c r="I5" s="7"/>
    </row>
    <row r="6" spans="1:9" ht="15" thickBot="1" x14ac:dyDescent="0.35">
      <c r="A6" s="8" t="s">
        <v>89</v>
      </c>
      <c r="B6" s="11">
        <f>'Peak Reduction'!L19</f>
        <v>5.5067209856527342</v>
      </c>
      <c r="C6" s="26">
        <f>'LSE OATT Savings'!C35</f>
        <v>93054.368398101869</v>
      </c>
      <c r="D6" s="26">
        <f>C6*B6</f>
        <v>512424.44326448819</v>
      </c>
      <c r="E6" s="24">
        <f>D6/$E$3/1000</f>
        <v>1.3323568467615397E-2</v>
      </c>
      <c r="F6" s="9"/>
      <c r="G6" s="9"/>
      <c r="H6" s="9"/>
      <c r="I6" s="10"/>
    </row>
    <row r="8" spans="1:9" x14ac:dyDescent="0.3">
      <c r="A8" s="4" t="s">
        <v>106</v>
      </c>
      <c r="B8" s="4"/>
      <c r="C8" s="4"/>
    </row>
    <row r="9" spans="1:9" x14ac:dyDescent="0.3">
      <c r="A9" t="s">
        <v>108</v>
      </c>
      <c r="D9" s="27">
        <v>0.51390000000000002</v>
      </c>
      <c r="E9" s="25">
        <f>D9*E5</f>
        <v>4.6578723518483087E-3</v>
      </c>
    </row>
    <row r="10" spans="1:9" x14ac:dyDescent="0.3">
      <c r="A10" t="s">
        <v>89</v>
      </c>
      <c r="D10" s="1">
        <v>0.26719999999999999</v>
      </c>
      <c r="E10" s="25">
        <f>D10*E6</f>
        <v>3.5600574945468342E-3</v>
      </c>
    </row>
    <row r="12" spans="1:9" x14ac:dyDescent="0.3">
      <c r="A12" t="s">
        <v>98</v>
      </c>
      <c r="B12" s="15" t="s">
        <v>101</v>
      </c>
    </row>
    <row r="13" spans="1:9" x14ac:dyDescent="0.3">
      <c r="A13" t="s">
        <v>99</v>
      </c>
      <c r="B13">
        <v>3.0599999999999999E-2</v>
      </c>
      <c r="C13" t="s">
        <v>110</v>
      </c>
    </row>
    <row r="14" spans="1:9" x14ac:dyDescent="0.3">
      <c r="A14" t="s">
        <v>100</v>
      </c>
      <c r="B14">
        <v>2.2800000000000001E-2</v>
      </c>
      <c r="C14" t="s">
        <v>110</v>
      </c>
    </row>
    <row r="15" spans="1:9" x14ac:dyDescent="0.3">
      <c r="A15" t="s">
        <v>88</v>
      </c>
      <c r="B15" s="25">
        <f>(B13*(5/7))+(B14*(2/7))</f>
        <v>2.8371428571428568E-2</v>
      </c>
      <c r="C15" s="18" t="s">
        <v>102</v>
      </c>
    </row>
    <row r="18" spans="1:2" x14ac:dyDescent="0.3">
      <c r="A18" t="s">
        <v>103</v>
      </c>
      <c r="B18" s="25">
        <f>B15</f>
        <v>2.8371428571428568E-2</v>
      </c>
    </row>
    <row r="19" spans="1:2" x14ac:dyDescent="0.3">
      <c r="A19" t="s">
        <v>23</v>
      </c>
      <c r="B19" s="25">
        <f>E9</f>
        <v>4.6578723518483087E-3</v>
      </c>
    </row>
    <row r="20" spans="1:2" x14ac:dyDescent="0.3">
      <c r="A20" s="43" t="s">
        <v>109</v>
      </c>
      <c r="B20" s="54">
        <f>E10</f>
        <v>3.5600574945468342E-3</v>
      </c>
    </row>
    <row r="21" spans="1:2" x14ac:dyDescent="0.3">
      <c r="A21" s="55" t="s">
        <v>104</v>
      </c>
      <c r="B21" s="56">
        <f>ROUND(SUM(B18:B20),5)</f>
        <v>3.6589999999999998E-2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68"/>
  <sheetViews>
    <sheetView workbookViewId="0">
      <selection activeCell="L5" sqref="L5"/>
    </sheetView>
  </sheetViews>
  <sheetFormatPr defaultColWidth="9.109375" defaultRowHeight="14.4" x14ac:dyDescent="0.3"/>
  <cols>
    <col min="1" max="1" width="9.109375" style="13"/>
    <col min="2" max="2" width="10.88671875" style="13" customWidth="1"/>
    <col min="3" max="3" width="13.44140625" style="13" customWidth="1"/>
    <col min="4" max="4" width="9.33203125" style="13" bestFit="1" customWidth="1"/>
    <col min="5" max="5" width="14.88671875" style="13" bestFit="1" customWidth="1"/>
    <col min="6" max="6" width="12" style="13" bestFit="1" customWidth="1"/>
    <col min="7" max="7" width="14.5546875" style="13" customWidth="1"/>
    <col min="8" max="8" width="10.5546875" style="13" customWidth="1"/>
    <col min="9" max="10" width="9.109375" style="13"/>
    <col min="11" max="11" width="16.109375" style="13" bestFit="1" customWidth="1"/>
    <col min="12" max="17" width="9.109375" style="13"/>
    <col min="18" max="18" width="12.5546875" style="47" bestFit="1" customWidth="1"/>
    <col min="19" max="19" width="12" style="13" bestFit="1" customWidth="1"/>
    <col min="20" max="20" width="11.6640625" style="13" customWidth="1"/>
    <col min="21" max="16384" width="9.109375" style="13"/>
  </cols>
  <sheetData>
    <row r="2" spans="1:20" x14ac:dyDescent="0.3">
      <c r="A2" s="13" t="s">
        <v>112</v>
      </c>
    </row>
    <row r="5" spans="1:20" x14ac:dyDescent="0.3">
      <c r="E5" s="57" t="s">
        <v>73</v>
      </c>
      <c r="F5" s="31" t="s">
        <v>76</v>
      </c>
      <c r="G5" s="31" t="s">
        <v>83</v>
      </c>
      <c r="H5" s="31" t="s">
        <v>78</v>
      </c>
      <c r="R5" s="57"/>
      <c r="S5" s="31"/>
      <c r="T5" s="31"/>
    </row>
    <row r="6" spans="1:20" x14ac:dyDescent="0.3">
      <c r="A6" s="43" t="s">
        <v>53</v>
      </c>
      <c r="B6" s="17" t="s">
        <v>80</v>
      </c>
      <c r="C6" s="17" t="s">
        <v>81</v>
      </c>
      <c r="D6" s="43" t="s">
        <v>75</v>
      </c>
      <c r="E6" s="58" t="s">
        <v>74</v>
      </c>
      <c r="F6" s="17" t="s">
        <v>77</v>
      </c>
      <c r="G6" s="17" t="s">
        <v>84</v>
      </c>
      <c r="H6" s="17" t="s">
        <v>79</v>
      </c>
      <c r="O6" s="31"/>
      <c r="P6" s="31"/>
      <c r="R6" s="57"/>
      <c r="S6" s="31"/>
      <c r="T6" s="31"/>
    </row>
    <row r="7" spans="1:20" ht="17.850000000000001" x14ac:dyDescent="0.35">
      <c r="A7" s="59">
        <v>0</v>
      </c>
      <c r="B7" s="13">
        <v>11</v>
      </c>
      <c r="C7" s="13" t="s">
        <v>26</v>
      </c>
      <c r="E7" s="47">
        <v>-4.980100000000004E-2</v>
      </c>
      <c r="F7" s="47">
        <v>-4.9800999999999991E-2</v>
      </c>
      <c r="G7" s="47">
        <v>-4.9800999999999991E-2</v>
      </c>
      <c r="H7" s="47">
        <v>-4.9801000000000262E-2</v>
      </c>
      <c r="L7" s="12"/>
      <c r="N7" s="59"/>
      <c r="S7" s="47"/>
      <c r="T7" s="47"/>
    </row>
    <row r="8" spans="1:20" x14ac:dyDescent="0.3">
      <c r="A8" s="59">
        <v>1</v>
      </c>
      <c r="B8" s="13" t="s">
        <v>26</v>
      </c>
      <c r="C8" s="13">
        <v>1</v>
      </c>
      <c r="D8" s="13" t="s">
        <v>27</v>
      </c>
      <c r="E8" s="47">
        <v>-4.980100000000004E-2</v>
      </c>
      <c r="F8" s="47">
        <v>-4.9800999999999991E-2</v>
      </c>
      <c r="G8" s="47">
        <v>-4.9800999999999991E-2</v>
      </c>
      <c r="H8" s="47">
        <v>-4.9801000000000262E-2</v>
      </c>
      <c r="N8" s="59"/>
      <c r="S8" s="47"/>
      <c r="T8" s="47"/>
    </row>
    <row r="9" spans="1:20" x14ac:dyDescent="0.3">
      <c r="A9" s="59">
        <v>2</v>
      </c>
      <c r="B9" s="51">
        <v>1</v>
      </c>
      <c r="C9" s="13">
        <v>2</v>
      </c>
      <c r="D9" s="13" t="s">
        <v>27</v>
      </c>
      <c r="E9" s="47">
        <v>-4.980100000000004E-2</v>
      </c>
      <c r="F9" s="47">
        <v>-4.9800999999999991E-2</v>
      </c>
      <c r="G9" s="47">
        <v>-4.9800999999999991E-2</v>
      </c>
      <c r="H9" s="47">
        <v>-4.9801000000000262E-2</v>
      </c>
      <c r="N9" s="59"/>
      <c r="O9" s="51"/>
      <c r="S9" s="47"/>
      <c r="T9" s="47"/>
    </row>
    <row r="10" spans="1:20" x14ac:dyDescent="0.3">
      <c r="A10" s="59">
        <v>3</v>
      </c>
      <c r="B10" s="51">
        <v>2</v>
      </c>
      <c r="C10" s="13">
        <v>3</v>
      </c>
      <c r="D10" s="13" t="s">
        <v>27</v>
      </c>
      <c r="E10" s="47">
        <v>-4.980100000000004E-2</v>
      </c>
      <c r="F10" s="47">
        <v>-4.9800999999999991E-2</v>
      </c>
      <c r="G10" s="47">
        <v>-4.9800999999999991E-2</v>
      </c>
      <c r="H10" s="47">
        <v>-4.9801000000000262E-2</v>
      </c>
      <c r="N10" s="59"/>
      <c r="O10" s="51"/>
      <c r="S10" s="47"/>
      <c r="T10" s="47"/>
    </row>
    <row r="11" spans="1:20" x14ac:dyDescent="0.3">
      <c r="A11" s="59">
        <v>4</v>
      </c>
      <c r="B11" s="51">
        <v>3</v>
      </c>
      <c r="C11" s="13">
        <v>4</v>
      </c>
      <c r="D11" s="13" t="s">
        <v>27</v>
      </c>
      <c r="E11" s="47">
        <v>-4.980100000000004E-2</v>
      </c>
      <c r="F11" s="47">
        <v>-4.9800999999999991E-2</v>
      </c>
      <c r="G11" s="47">
        <v>-4.9800999999999991E-2</v>
      </c>
      <c r="H11" s="47">
        <v>-4.9801000000000262E-2</v>
      </c>
      <c r="N11" s="59"/>
      <c r="O11" s="51"/>
      <c r="S11" s="47"/>
      <c r="T11" s="47"/>
    </row>
    <row r="12" spans="1:20" x14ac:dyDescent="0.3">
      <c r="A12" s="59">
        <v>5</v>
      </c>
      <c r="B12" s="51">
        <v>4</v>
      </c>
      <c r="C12" s="13">
        <v>5</v>
      </c>
      <c r="D12" s="13" t="s">
        <v>27</v>
      </c>
      <c r="E12" s="47">
        <v>-4.980100000000004E-2</v>
      </c>
      <c r="F12" s="47">
        <v>-4.9800999999999991E-2</v>
      </c>
      <c r="G12" s="47">
        <v>-4.9800999999999991E-2</v>
      </c>
      <c r="H12" s="47">
        <v>-4.9801000000000262E-2</v>
      </c>
      <c r="N12" s="59"/>
      <c r="O12" s="51"/>
      <c r="S12" s="47"/>
      <c r="T12" s="47"/>
    </row>
    <row r="13" spans="1:20" x14ac:dyDescent="0.3">
      <c r="A13" s="59">
        <v>6</v>
      </c>
      <c r="B13" s="51">
        <v>5</v>
      </c>
      <c r="C13" s="13">
        <v>6</v>
      </c>
      <c r="D13" s="13" t="s">
        <v>27</v>
      </c>
      <c r="E13" s="47">
        <v>3.3829625129561232E-2</v>
      </c>
      <c r="F13" s="47">
        <v>-4.9800999999999991E-2</v>
      </c>
      <c r="G13" s="47">
        <v>-4.9800999999999991E-2</v>
      </c>
      <c r="H13" s="47">
        <v>-4.4768068230819753E-2</v>
      </c>
      <c r="K13" s="13" t="s">
        <v>28</v>
      </c>
      <c r="L13" s="47">
        <f>AVERAGE(F15:F16)</f>
        <v>1.5010795189804982</v>
      </c>
      <c r="N13" s="59"/>
      <c r="O13" s="51"/>
      <c r="S13" s="47"/>
      <c r="T13" s="47"/>
    </row>
    <row r="14" spans="1:20" x14ac:dyDescent="0.3">
      <c r="A14" s="59">
        <v>7</v>
      </c>
      <c r="B14" s="51">
        <v>6</v>
      </c>
      <c r="C14" s="13">
        <v>7</v>
      </c>
      <c r="D14" s="13" t="s">
        <v>27</v>
      </c>
      <c r="E14" s="47">
        <v>1.2485601281932313</v>
      </c>
      <c r="F14" s="47">
        <v>-4.9800999999999991E-2</v>
      </c>
      <c r="G14" s="47">
        <v>0.2812055088885197</v>
      </c>
      <c r="H14" s="47">
        <v>0.31272445031502177</v>
      </c>
      <c r="K14" s="13" t="s">
        <v>29</v>
      </c>
      <c r="L14" s="47">
        <f>L17</f>
        <v>9.5504839783917213</v>
      </c>
      <c r="N14" s="59"/>
      <c r="O14" s="51"/>
      <c r="S14" s="47"/>
      <c r="T14" s="47"/>
    </row>
    <row r="15" spans="1:20" x14ac:dyDescent="0.3">
      <c r="A15" s="59">
        <v>8</v>
      </c>
      <c r="B15" s="51">
        <v>7</v>
      </c>
      <c r="C15" s="13">
        <v>8</v>
      </c>
      <c r="D15" s="13" t="s">
        <v>27</v>
      </c>
      <c r="E15" s="47">
        <v>4.4584925595878593</v>
      </c>
      <c r="F15" s="47">
        <v>9.5403628295604434E-2</v>
      </c>
      <c r="G15" s="47">
        <v>3.3290465149350439</v>
      </c>
      <c r="H15" s="47">
        <v>2.3621212953236523</v>
      </c>
      <c r="K15" s="13" t="s">
        <v>30</v>
      </c>
      <c r="L15" s="47">
        <f>(L14+L13)/2</f>
        <v>5.5257817486861098</v>
      </c>
      <c r="M15" s="13" t="s">
        <v>54</v>
      </c>
      <c r="N15" s="59"/>
      <c r="O15" s="51"/>
      <c r="S15" s="47"/>
      <c r="T15" s="47"/>
    </row>
    <row r="16" spans="1:20" x14ac:dyDescent="0.3">
      <c r="A16" s="59">
        <v>9</v>
      </c>
      <c r="B16" s="51">
        <v>8</v>
      </c>
      <c r="C16" s="13">
        <v>9</v>
      </c>
      <c r="D16" s="13" t="s">
        <v>27</v>
      </c>
      <c r="E16" s="47">
        <v>8.7074558759787806</v>
      </c>
      <c r="F16" s="47">
        <v>2.9067554096653918</v>
      </c>
      <c r="G16" s="47">
        <v>7.5410156117496303</v>
      </c>
      <c r="H16" s="47">
        <v>6.3096562989769449</v>
      </c>
      <c r="N16" s="59"/>
      <c r="O16" s="51"/>
      <c r="S16" s="47"/>
      <c r="T16" s="47"/>
    </row>
    <row r="17" spans="1:21" x14ac:dyDescent="0.3">
      <c r="A17" s="59">
        <v>10</v>
      </c>
      <c r="B17" s="51">
        <v>9</v>
      </c>
      <c r="C17" s="13">
        <v>10</v>
      </c>
      <c r="D17" s="13" t="s">
        <v>27</v>
      </c>
      <c r="E17" s="47">
        <v>12.415777651870643</v>
      </c>
      <c r="F17" s="47">
        <v>6.580667368654133</v>
      </c>
      <c r="G17" s="47">
        <v>10.969210996983685</v>
      </c>
      <c r="H17" s="47">
        <v>10.001506977593321</v>
      </c>
      <c r="J17" s="28" t="s">
        <v>31</v>
      </c>
      <c r="L17" s="47">
        <f>(E22*J35)+(E23*J36)+(E24*J37)+(E25*J38)</f>
        <v>9.5504839783917213</v>
      </c>
      <c r="N17" s="59"/>
      <c r="O17" s="51"/>
      <c r="S17" s="47"/>
      <c r="T17" s="47"/>
    </row>
    <row r="18" spans="1:21" x14ac:dyDescent="0.3">
      <c r="A18" s="59">
        <v>11</v>
      </c>
      <c r="B18" s="51">
        <v>10</v>
      </c>
      <c r="C18" s="13">
        <v>11</v>
      </c>
      <c r="D18" s="13" t="s">
        <v>27</v>
      </c>
      <c r="E18" s="47">
        <v>14.459982845269257</v>
      </c>
      <c r="F18" s="47">
        <v>9.2739769773628922</v>
      </c>
      <c r="G18" s="47">
        <v>13.888048525092611</v>
      </c>
      <c r="H18" s="47">
        <v>12.762200171160124</v>
      </c>
      <c r="J18" s="28" t="s">
        <v>32</v>
      </c>
      <c r="L18" s="47">
        <f>L15*L21</f>
        <v>5.7143545766417727</v>
      </c>
      <c r="N18" s="59"/>
      <c r="O18" s="51"/>
      <c r="S18" s="47"/>
      <c r="T18" s="47"/>
    </row>
    <row r="19" spans="1:21" x14ac:dyDescent="0.3">
      <c r="A19" s="59">
        <v>12</v>
      </c>
      <c r="B19" s="51">
        <v>11</v>
      </c>
      <c r="C19" s="13">
        <v>12</v>
      </c>
      <c r="D19" s="13" t="s">
        <v>27</v>
      </c>
      <c r="E19" s="47">
        <v>15.951523582052124</v>
      </c>
      <c r="F19" s="47">
        <v>10.579305193281201</v>
      </c>
      <c r="G19" s="47">
        <v>15.276094748267727</v>
      </c>
      <c r="H19" s="47">
        <v>13.664543100924332</v>
      </c>
      <c r="J19" s="28" t="s">
        <v>33</v>
      </c>
      <c r="L19" s="47">
        <f>((E55+G55+C55)/3)</f>
        <v>5.5067209856527342</v>
      </c>
      <c r="N19" s="59"/>
      <c r="O19" s="51"/>
      <c r="S19" s="47"/>
      <c r="T19" s="47"/>
    </row>
    <row r="20" spans="1:21" x14ac:dyDescent="0.3">
      <c r="A20" s="59">
        <v>13</v>
      </c>
      <c r="B20" s="13">
        <v>12</v>
      </c>
      <c r="C20" s="13">
        <v>1</v>
      </c>
      <c r="D20" s="13" t="s">
        <v>34</v>
      </c>
      <c r="E20" s="47">
        <v>16.342431686025716</v>
      </c>
      <c r="F20" s="47">
        <v>11.22005026579229</v>
      </c>
      <c r="G20" s="47">
        <v>14.740954356471132</v>
      </c>
      <c r="H20" s="47">
        <v>13.785648038552175</v>
      </c>
      <c r="N20" s="59"/>
      <c r="S20" s="47"/>
      <c r="T20" s="47"/>
    </row>
    <row r="21" spans="1:21" x14ac:dyDescent="0.3">
      <c r="A21" s="59">
        <v>14</v>
      </c>
      <c r="B21" s="13">
        <v>1</v>
      </c>
      <c r="C21" s="13">
        <v>2</v>
      </c>
      <c r="D21" s="13" t="s">
        <v>34</v>
      </c>
      <c r="E21" s="47">
        <v>15.986710369828359</v>
      </c>
      <c r="F21" s="47">
        <v>11.519968845090061</v>
      </c>
      <c r="G21" s="47">
        <v>15.178393652527598</v>
      </c>
      <c r="H21" s="47">
        <v>13.590572316903742</v>
      </c>
      <c r="J21" s="28" t="s">
        <v>82</v>
      </c>
      <c r="L21" s="13">
        <v>1.0341260000000001</v>
      </c>
      <c r="N21" s="59"/>
      <c r="S21" s="47"/>
      <c r="T21" s="47"/>
    </row>
    <row r="22" spans="1:21" x14ac:dyDescent="0.3">
      <c r="A22" s="59">
        <v>15</v>
      </c>
      <c r="B22" s="13">
        <v>2</v>
      </c>
      <c r="C22" s="13">
        <v>3</v>
      </c>
      <c r="D22" s="13" t="s">
        <v>34</v>
      </c>
      <c r="E22" s="47">
        <v>14.717058971722919</v>
      </c>
      <c r="F22" s="47">
        <v>10.639109218676063</v>
      </c>
      <c r="G22" s="47">
        <v>14.32177667713295</v>
      </c>
      <c r="H22" s="47">
        <v>12.209274813409253</v>
      </c>
      <c r="J22" s="28"/>
      <c r="L22" s="53"/>
      <c r="N22" s="59"/>
      <c r="S22" s="47"/>
      <c r="T22" s="47"/>
    </row>
    <row r="23" spans="1:21" x14ac:dyDescent="0.3">
      <c r="A23" s="59">
        <v>16</v>
      </c>
      <c r="B23" s="13">
        <v>3</v>
      </c>
      <c r="C23" s="13">
        <v>4</v>
      </c>
      <c r="D23" s="13" t="s">
        <v>34</v>
      </c>
      <c r="E23" s="47">
        <v>12.481253125564322</v>
      </c>
      <c r="F23" s="47">
        <v>8.3489781948434221</v>
      </c>
      <c r="G23" s="47">
        <v>11.155712997541018</v>
      </c>
      <c r="H23" s="47">
        <v>9.3586699514739458</v>
      </c>
      <c r="N23" s="59"/>
      <c r="S23" s="47"/>
      <c r="T23" s="47"/>
    </row>
    <row r="24" spans="1:21" x14ac:dyDescent="0.3">
      <c r="A24" s="59">
        <v>17</v>
      </c>
      <c r="B24" s="13">
        <v>4</v>
      </c>
      <c r="C24" s="13">
        <v>5</v>
      </c>
      <c r="D24" s="13" t="s">
        <v>34</v>
      </c>
      <c r="E24" s="47">
        <v>9.2075330328958938</v>
      </c>
      <c r="F24" s="47">
        <v>4.7713220095320912</v>
      </c>
      <c r="G24" s="47">
        <v>7.4417296352108089</v>
      </c>
      <c r="H24" s="47">
        <v>5.6255595901208224</v>
      </c>
      <c r="J24" s="28"/>
      <c r="L24" s="47"/>
      <c r="N24" s="59"/>
      <c r="S24" s="47"/>
      <c r="T24" s="47"/>
    </row>
    <row r="25" spans="1:21" x14ac:dyDescent="0.3">
      <c r="A25" s="59">
        <v>18</v>
      </c>
      <c r="B25" s="13">
        <v>5</v>
      </c>
      <c r="C25" s="13">
        <v>6</v>
      </c>
      <c r="D25" s="13" t="s">
        <v>34</v>
      </c>
      <c r="E25" s="47">
        <v>4.971699379438026</v>
      </c>
      <c r="F25" s="47">
        <v>0.93656756545120023</v>
      </c>
      <c r="G25" s="47">
        <v>2.7497999286845265</v>
      </c>
      <c r="H25" s="47">
        <v>2.1499785922339374</v>
      </c>
      <c r="N25" s="59"/>
      <c r="S25" s="47"/>
      <c r="T25" s="47"/>
    </row>
    <row r="26" spans="1:21" x14ac:dyDescent="0.3">
      <c r="A26" s="59">
        <v>19</v>
      </c>
      <c r="B26" s="13">
        <v>6</v>
      </c>
      <c r="C26" s="13">
        <v>7</v>
      </c>
      <c r="D26" s="13" t="s">
        <v>34</v>
      </c>
      <c r="E26" s="47">
        <v>1.486827731260431</v>
      </c>
      <c r="F26" s="47">
        <v>-4.9800999999999991E-2</v>
      </c>
      <c r="G26" s="47">
        <v>0.1623042910947432</v>
      </c>
      <c r="H26" s="47">
        <v>0.30461940735756132</v>
      </c>
      <c r="N26" s="59"/>
      <c r="S26" s="47"/>
      <c r="T26" s="47"/>
    </row>
    <row r="27" spans="1:21" ht="15" x14ac:dyDescent="0.25">
      <c r="A27" s="59">
        <v>20</v>
      </c>
      <c r="B27" s="13">
        <v>7</v>
      </c>
      <c r="C27" s="13">
        <v>8</v>
      </c>
      <c r="D27" s="13" t="s">
        <v>34</v>
      </c>
      <c r="E27" s="47">
        <v>0.11635895445269699</v>
      </c>
      <c r="F27" s="47">
        <v>-4.9800999999999991E-2</v>
      </c>
      <c r="G27" s="47">
        <v>-4.9800999999999991E-2</v>
      </c>
      <c r="H27" s="47">
        <v>-4.6374425332076863E-2</v>
      </c>
      <c r="M27" s="29"/>
      <c r="N27" s="60"/>
      <c r="O27" s="29"/>
      <c r="P27" s="29"/>
      <c r="Q27" s="29"/>
      <c r="R27" s="61"/>
      <c r="S27" s="61"/>
      <c r="T27" s="61"/>
      <c r="U27" s="29"/>
    </row>
    <row r="28" spans="1:21" x14ac:dyDescent="0.3">
      <c r="A28" s="59">
        <v>21</v>
      </c>
      <c r="B28" s="13">
        <v>8</v>
      </c>
      <c r="C28" s="13">
        <v>9</v>
      </c>
      <c r="D28" s="13" t="s">
        <v>34</v>
      </c>
      <c r="E28" s="47">
        <v>-4.980100000000004E-2</v>
      </c>
      <c r="F28" s="47">
        <v>-4.9800999999999991E-2</v>
      </c>
      <c r="G28" s="47">
        <v>-4.9800999999999991E-2</v>
      </c>
      <c r="H28" s="47">
        <v>-4.9801000000000262E-2</v>
      </c>
      <c r="M28" s="29"/>
      <c r="N28" s="60"/>
      <c r="O28" s="29"/>
      <c r="P28" s="29"/>
      <c r="Q28" s="29"/>
      <c r="R28" s="61"/>
      <c r="S28" s="61"/>
      <c r="T28" s="61"/>
      <c r="U28" s="29"/>
    </row>
    <row r="29" spans="1:21" x14ac:dyDescent="0.3">
      <c r="A29" s="59">
        <v>22</v>
      </c>
      <c r="B29" s="13">
        <v>9</v>
      </c>
      <c r="C29" s="13">
        <v>10</v>
      </c>
      <c r="D29" s="13" t="s">
        <v>34</v>
      </c>
      <c r="E29" s="47">
        <v>-4.980100000000004E-2</v>
      </c>
      <c r="F29" s="47">
        <v>-4.9800999999999991E-2</v>
      </c>
      <c r="G29" s="47">
        <v>-4.9800999999999991E-2</v>
      </c>
      <c r="H29" s="47">
        <v>-4.9801000000000262E-2</v>
      </c>
      <c r="M29" s="29"/>
      <c r="N29" s="60"/>
      <c r="O29" s="29"/>
      <c r="P29" s="29"/>
      <c r="Q29" s="29"/>
      <c r="R29" s="61"/>
      <c r="S29" s="61"/>
      <c r="T29" s="61"/>
      <c r="U29" s="29"/>
    </row>
    <row r="30" spans="1:21" x14ac:dyDescent="0.3">
      <c r="A30" s="62">
        <v>23</v>
      </c>
      <c r="B30" s="43">
        <v>10</v>
      </c>
      <c r="C30" s="43">
        <v>11</v>
      </c>
      <c r="D30" s="43" t="s">
        <v>34</v>
      </c>
      <c r="E30" s="63">
        <v>-4.980100000000004E-2</v>
      </c>
      <c r="F30" s="63">
        <v>-4.9800999999999991E-2</v>
      </c>
      <c r="G30" s="63">
        <v>-4.9800999999999991E-2</v>
      </c>
      <c r="H30" s="63">
        <v>-4.9801000000000262E-2</v>
      </c>
      <c r="M30" s="29"/>
      <c r="N30" s="60"/>
      <c r="O30" s="29"/>
      <c r="P30" s="29"/>
      <c r="Q30" s="29"/>
      <c r="R30" s="61"/>
      <c r="S30" s="61"/>
      <c r="T30" s="61"/>
      <c r="U30" s="29"/>
    </row>
    <row r="31" spans="1:21" x14ac:dyDescent="0.3">
      <c r="A31" s="59" t="s">
        <v>35</v>
      </c>
      <c r="E31" s="47">
        <v>5.5057202716363651</v>
      </c>
      <c r="F31" s="47">
        <v>3.176028819860155</v>
      </c>
      <c r="G31" s="47">
        <v>4.8536451018574791</v>
      </c>
      <c r="H31" s="47">
        <v>4.2457384796157021</v>
      </c>
      <c r="M31" s="29"/>
      <c r="N31" s="60"/>
      <c r="O31" s="29"/>
      <c r="P31" s="29"/>
      <c r="Q31" s="29"/>
      <c r="R31" s="61"/>
      <c r="S31" s="61"/>
      <c r="T31" s="61"/>
      <c r="U31" s="29"/>
    </row>
    <row r="32" spans="1:21" x14ac:dyDescent="0.3">
      <c r="B32" s="47"/>
      <c r="M32" s="29"/>
      <c r="N32" s="29"/>
      <c r="O32" s="29"/>
      <c r="P32" s="29"/>
      <c r="Q32" s="29"/>
      <c r="R32" s="61"/>
      <c r="S32" s="29"/>
      <c r="T32" s="29"/>
      <c r="U32" s="29"/>
    </row>
    <row r="33" spans="1:21" x14ac:dyDescent="0.3">
      <c r="B33" s="47"/>
      <c r="H33" s="86" t="s">
        <v>97</v>
      </c>
      <c r="I33" s="86"/>
      <c r="J33" s="86"/>
      <c r="M33" s="29"/>
      <c r="N33" s="29"/>
      <c r="O33" s="29"/>
      <c r="P33" s="29"/>
      <c r="Q33" s="29"/>
      <c r="R33" s="61"/>
      <c r="S33" s="29"/>
      <c r="T33" s="29"/>
      <c r="U33" s="29"/>
    </row>
    <row r="34" spans="1:21" ht="15" thickBot="1" x14ac:dyDescent="0.35">
      <c r="B34" s="47"/>
      <c r="H34" s="31" t="s">
        <v>94</v>
      </c>
      <c r="I34" s="31" t="s">
        <v>95</v>
      </c>
      <c r="J34" s="31" t="s">
        <v>96</v>
      </c>
    </row>
    <row r="35" spans="1:21" ht="15" thickBot="1" x14ac:dyDescent="0.35">
      <c r="A35" s="83" t="s">
        <v>85</v>
      </c>
      <c r="B35" s="84"/>
      <c r="C35" s="84"/>
      <c r="D35" s="84"/>
      <c r="E35" s="84"/>
      <c r="F35" s="85"/>
      <c r="G35" s="5"/>
      <c r="H35" s="5">
        <v>15</v>
      </c>
      <c r="I35" s="5">
        <v>1</v>
      </c>
      <c r="J35" s="64">
        <f>I35/$I$39</f>
        <v>0.05</v>
      </c>
    </row>
    <row r="36" spans="1:21" x14ac:dyDescent="0.3">
      <c r="A36" s="65">
        <v>2018</v>
      </c>
      <c r="B36" s="61">
        <v>17</v>
      </c>
      <c r="C36" s="29">
        <v>17</v>
      </c>
      <c r="D36" s="29">
        <v>17</v>
      </c>
      <c r="E36" s="29">
        <v>17</v>
      </c>
      <c r="F36" s="66">
        <v>17</v>
      </c>
      <c r="G36" s="29"/>
      <c r="H36" s="5">
        <v>16</v>
      </c>
      <c r="I36" s="5">
        <v>3</v>
      </c>
      <c r="J36" s="64">
        <f t="shared" ref="J36:J38" si="0">I36/$I$39</f>
        <v>0.15</v>
      </c>
    </row>
    <row r="37" spans="1:21" x14ac:dyDescent="0.3">
      <c r="A37" s="65">
        <v>2017</v>
      </c>
      <c r="B37" s="61">
        <v>18</v>
      </c>
      <c r="C37" s="29">
        <v>17</v>
      </c>
      <c r="D37" s="29">
        <v>17</v>
      </c>
      <c r="E37" s="29">
        <v>17</v>
      </c>
      <c r="F37" s="66">
        <v>18</v>
      </c>
      <c r="G37" s="29"/>
      <c r="H37" s="5">
        <v>17</v>
      </c>
      <c r="I37" s="5">
        <v>14</v>
      </c>
      <c r="J37" s="64">
        <f t="shared" si="0"/>
        <v>0.7</v>
      </c>
    </row>
    <row r="38" spans="1:21" x14ac:dyDescent="0.3">
      <c r="A38" s="65">
        <v>2016</v>
      </c>
      <c r="B38" s="61">
        <v>16</v>
      </c>
      <c r="C38" s="29">
        <v>16</v>
      </c>
      <c r="D38" s="29">
        <v>16</v>
      </c>
      <c r="E38" s="29">
        <v>17</v>
      </c>
      <c r="F38" s="66">
        <v>17</v>
      </c>
      <c r="G38" s="29"/>
      <c r="H38" s="5">
        <v>18</v>
      </c>
      <c r="I38" s="17">
        <v>2</v>
      </c>
      <c r="J38" s="67">
        <f t="shared" si="0"/>
        <v>0.1</v>
      </c>
    </row>
    <row r="39" spans="1:21" ht="15" thickBot="1" x14ac:dyDescent="0.35">
      <c r="A39" s="68">
        <v>2015</v>
      </c>
      <c r="B39" s="69">
        <v>17</v>
      </c>
      <c r="C39" s="70">
        <v>17</v>
      </c>
      <c r="D39" s="70">
        <v>17</v>
      </c>
      <c r="E39" s="70">
        <v>17</v>
      </c>
      <c r="F39" s="71">
        <v>15</v>
      </c>
      <c r="G39" s="29"/>
      <c r="H39" s="29"/>
      <c r="I39" s="29">
        <f>SUM(I35:I38)</f>
        <v>20</v>
      </c>
      <c r="J39" s="29">
        <f>SUM(J35:J38)</f>
        <v>0.99999999999999989</v>
      </c>
    </row>
    <row r="40" spans="1:21" ht="15" thickBot="1" x14ac:dyDescent="0.35">
      <c r="B40" s="47"/>
    </row>
    <row r="41" spans="1:21" ht="15" thickBot="1" x14ac:dyDescent="0.35">
      <c r="A41" s="83" t="s">
        <v>36</v>
      </c>
      <c r="B41" s="84"/>
      <c r="C41" s="84"/>
      <c r="D41" s="84"/>
      <c r="E41" s="84"/>
      <c r="F41" s="84"/>
      <c r="G41" s="85"/>
    </row>
    <row r="42" spans="1:21" ht="15" thickBot="1" x14ac:dyDescent="0.35">
      <c r="A42" s="68" t="s">
        <v>25</v>
      </c>
      <c r="B42" s="70" t="s">
        <v>86</v>
      </c>
      <c r="C42" s="70" t="s">
        <v>38</v>
      </c>
      <c r="D42" s="72" t="s">
        <v>37</v>
      </c>
      <c r="E42" s="72" t="s">
        <v>38</v>
      </c>
      <c r="F42" s="72" t="s">
        <v>39</v>
      </c>
      <c r="G42" s="73" t="s">
        <v>38</v>
      </c>
    </row>
    <row r="43" spans="1:21" x14ac:dyDescent="0.3">
      <c r="A43" s="65" t="s">
        <v>40</v>
      </c>
      <c r="B43" s="38">
        <v>8</v>
      </c>
      <c r="C43" s="61">
        <f>F15</f>
        <v>9.5403628295604434E-2</v>
      </c>
      <c r="D43" s="38">
        <v>8</v>
      </c>
      <c r="E43" s="61">
        <f>F15</f>
        <v>9.5403628295604434E-2</v>
      </c>
      <c r="F43" s="5">
        <v>8</v>
      </c>
      <c r="G43" s="74">
        <f>F15</f>
        <v>9.5403628295604434E-2</v>
      </c>
      <c r="I43" s="75"/>
    </row>
    <row r="44" spans="1:21" x14ac:dyDescent="0.3">
      <c r="A44" s="65" t="s">
        <v>41</v>
      </c>
      <c r="B44" s="38">
        <v>8</v>
      </c>
      <c r="C44" s="61">
        <f>F15</f>
        <v>9.5403628295604434E-2</v>
      </c>
      <c r="D44" s="38">
        <v>8</v>
      </c>
      <c r="E44" s="61">
        <f>F15</f>
        <v>9.5403628295604434E-2</v>
      </c>
      <c r="F44" s="5">
        <v>9</v>
      </c>
      <c r="G44" s="74">
        <f>F16</f>
        <v>2.9067554096653918</v>
      </c>
      <c r="I44" s="75"/>
    </row>
    <row r="45" spans="1:21" x14ac:dyDescent="0.3">
      <c r="A45" s="65" t="s">
        <v>42</v>
      </c>
      <c r="B45" s="38">
        <v>8</v>
      </c>
      <c r="C45" s="61">
        <f>H15</f>
        <v>2.3621212953236523</v>
      </c>
      <c r="D45" s="38">
        <v>8</v>
      </c>
      <c r="E45" s="61">
        <f>H15</f>
        <v>2.3621212953236523</v>
      </c>
      <c r="F45" s="5">
        <v>8</v>
      </c>
      <c r="G45" s="74">
        <f>H15</f>
        <v>2.3621212953236523</v>
      </c>
      <c r="I45" s="75"/>
    </row>
    <row r="46" spans="1:21" x14ac:dyDescent="0.3">
      <c r="A46" s="65" t="s">
        <v>43</v>
      </c>
      <c r="B46" s="38">
        <v>8</v>
      </c>
      <c r="C46" s="61">
        <f>H15</f>
        <v>2.3621212953236523</v>
      </c>
      <c r="D46" s="38">
        <v>9</v>
      </c>
      <c r="E46" s="61">
        <f>H16</f>
        <v>6.3096562989769449</v>
      </c>
      <c r="F46" s="5">
        <v>10</v>
      </c>
      <c r="G46" s="74">
        <f>H17</f>
        <v>10.001506977593321</v>
      </c>
      <c r="I46" s="75"/>
    </row>
    <row r="47" spans="1:21" x14ac:dyDescent="0.3">
      <c r="A47" s="65" t="s">
        <v>44</v>
      </c>
      <c r="B47" s="38">
        <v>17</v>
      </c>
      <c r="C47" s="61">
        <f>F24</f>
        <v>4.7713220095320912</v>
      </c>
      <c r="D47" s="38">
        <v>17</v>
      </c>
      <c r="E47" s="61">
        <f>H24</f>
        <v>5.6255595901208224</v>
      </c>
      <c r="F47" s="5">
        <v>17</v>
      </c>
      <c r="G47" s="74">
        <f>H24</f>
        <v>5.6255595901208224</v>
      </c>
      <c r="I47" s="75"/>
    </row>
    <row r="48" spans="1:21" x14ac:dyDescent="0.3">
      <c r="A48" s="65" t="s">
        <v>45</v>
      </c>
      <c r="B48" s="38">
        <v>15</v>
      </c>
      <c r="C48" s="61">
        <f>E22</f>
        <v>14.717058971722919</v>
      </c>
      <c r="D48" s="38">
        <v>18</v>
      </c>
      <c r="E48" s="61">
        <f>E25</f>
        <v>4.971699379438026</v>
      </c>
      <c r="F48" s="5">
        <v>17</v>
      </c>
      <c r="G48" s="74">
        <f>E24</f>
        <v>9.2075330328958938</v>
      </c>
      <c r="I48" s="75"/>
    </row>
    <row r="49" spans="1:9" x14ac:dyDescent="0.3">
      <c r="A49" s="65" t="s">
        <v>46</v>
      </c>
      <c r="B49" s="38">
        <v>16</v>
      </c>
      <c r="C49" s="61">
        <f>E23</f>
        <v>12.481253125564322</v>
      </c>
      <c r="D49" s="38">
        <v>17</v>
      </c>
      <c r="E49" s="61">
        <f>E24</f>
        <v>9.2075330328958938</v>
      </c>
      <c r="F49" s="5">
        <v>17</v>
      </c>
      <c r="G49" s="74">
        <f>E24</f>
        <v>9.2075330328958938</v>
      </c>
      <c r="I49" s="75"/>
    </row>
    <row r="50" spans="1:9" x14ac:dyDescent="0.3">
      <c r="A50" s="65" t="s">
        <v>47</v>
      </c>
      <c r="B50" s="38">
        <v>15</v>
      </c>
      <c r="C50" s="61">
        <f>E22</f>
        <v>14.717058971722919</v>
      </c>
      <c r="D50" s="38">
        <v>14</v>
      </c>
      <c r="E50" s="61">
        <f>E21</f>
        <v>15.986710369828359</v>
      </c>
      <c r="F50" s="5">
        <v>17</v>
      </c>
      <c r="G50" s="74">
        <f>E24</f>
        <v>9.2075330328958938</v>
      </c>
      <c r="I50" s="75"/>
    </row>
    <row r="51" spans="1:9" x14ac:dyDescent="0.3">
      <c r="A51" s="65" t="s">
        <v>48</v>
      </c>
      <c r="B51" s="38">
        <v>17</v>
      </c>
      <c r="C51" s="61">
        <f>G24</f>
        <v>7.4417296352108089</v>
      </c>
      <c r="D51" s="38">
        <v>17</v>
      </c>
      <c r="E51" s="61">
        <f>G24</f>
        <v>7.4417296352108089</v>
      </c>
      <c r="F51" s="5">
        <v>17</v>
      </c>
      <c r="G51" s="74">
        <f>G24</f>
        <v>7.4417296352108089</v>
      </c>
      <c r="I51" s="75"/>
    </row>
    <row r="52" spans="1:9" x14ac:dyDescent="0.3">
      <c r="A52" s="65" t="s">
        <v>49</v>
      </c>
      <c r="B52" s="38">
        <v>20</v>
      </c>
      <c r="C52" s="61">
        <v>0</v>
      </c>
      <c r="D52" s="38">
        <v>17</v>
      </c>
      <c r="E52" s="61">
        <f>H24</f>
        <v>5.6255595901208224</v>
      </c>
      <c r="F52" s="5">
        <v>16</v>
      </c>
      <c r="G52" s="74">
        <f>H23</f>
        <v>9.3586699514739458</v>
      </c>
      <c r="I52" s="75"/>
    </row>
    <row r="53" spans="1:9" x14ac:dyDescent="0.3">
      <c r="A53" s="65" t="s">
        <v>50</v>
      </c>
      <c r="B53" s="38">
        <v>8</v>
      </c>
      <c r="C53" s="61">
        <f>H15</f>
        <v>2.3621212953236523</v>
      </c>
      <c r="D53" s="38">
        <v>8</v>
      </c>
      <c r="E53" s="61">
        <f>H15</f>
        <v>2.3621212953236523</v>
      </c>
      <c r="F53" s="5">
        <v>8</v>
      </c>
      <c r="G53" s="74">
        <f>H15</f>
        <v>2.3621212953236523</v>
      </c>
      <c r="I53" s="75"/>
    </row>
    <row r="54" spans="1:9" x14ac:dyDescent="0.3">
      <c r="A54" s="76" t="s">
        <v>51</v>
      </c>
      <c r="B54" s="49">
        <v>8</v>
      </c>
      <c r="C54" s="63">
        <f>H15</f>
        <v>2.3621212953236523</v>
      </c>
      <c r="D54" s="49">
        <v>19</v>
      </c>
      <c r="E54" s="63">
        <f>H26</f>
        <v>0.30461940735756132</v>
      </c>
      <c r="F54" s="17">
        <v>9</v>
      </c>
      <c r="G54" s="77">
        <f>H16</f>
        <v>6.3096562989769449</v>
      </c>
      <c r="I54" s="75"/>
    </row>
    <row r="55" spans="1:9" ht="15" thickBot="1" x14ac:dyDescent="0.35">
      <c r="A55" s="68" t="s">
        <v>52</v>
      </c>
      <c r="B55" s="69"/>
      <c r="C55" s="78">
        <f>SUM(C43:C54)/12</f>
        <v>5.3139762626365732</v>
      </c>
      <c r="D55" s="69"/>
      <c r="E55" s="78">
        <f>SUM(E43:E54)/12</f>
        <v>5.0323430959323128</v>
      </c>
      <c r="F55" s="70"/>
      <c r="G55" s="79">
        <f>SUM(G43:G54)/12</f>
        <v>6.1738435983893183</v>
      </c>
      <c r="I55" s="80"/>
    </row>
    <row r="57" spans="1:9" x14ac:dyDescent="0.3">
      <c r="F57" s="31" t="s">
        <v>113</v>
      </c>
      <c r="G57" s="31" t="s">
        <v>95</v>
      </c>
    </row>
    <row r="58" spans="1:9" x14ac:dyDescent="0.3">
      <c r="F58" s="13">
        <v>8</v>
      </c>
      <c r="G58" s="13">
        <f>COUNTIF(B43:F54,8)</f>
        <v>13</v>
      </c>
      <c r="H58" s="34">
        <f>G58/$G$68</f>
        <v>0.3611111111111111</v>
      </c>
    </row>
    <row r="59" spans="1:9" x14ac:dyDescent="0.3">
      <c r="F59" s="13">
        <v>9</v>
      </c>
      <c r="G59" s="13">
        <f>COUNTIF(B$43:F$54,9)</f>
        <v>3</v>
      </c>
      <c r="H59" s="34">
        <f t="shared" ref="H59:H67" si="1">G59/$G$68</f>
        <v>8.3333333333333329E-2</v>
      </c>
    </row>
    <row r="60" spans="1:9" x14ac:dyDescent="0.3">
      <c r="F60" s="13">
        <v>10</v>
      </c>
      <c r="G60" s="13">
        <f>COUNTIF(B$43:F$54,10)</f>
        <v>1</v>
      </c>
      <c r="H60" s="34">
        <f t="shared" si="1"/>
        <v>2.7777777777777776E-2</v>
      </c>
    </row>
    <row r="61" spans="1:9" x14ac:dyDescent="0.3">
      <c r="F61" s="13">
        <v>14</v>
      </c>
      <c r="G61" s="13">
        <f>COUNTIF(B$43:F$54,14)</f>
        <v>1</v>
      </c>
      <c r="H61" s="34">
        <f t="shared" si="1"/>
        <v>2.7777777777777776E-2</v>
      </c>
    </row>
    <row r="62" spans="1:9" x14ac:dyDescent="0.3">
      <c r="F62" s="13">
        <v>15</v>
      </c>
      <c r="G62" s="13">
        <f>COUNTIF(B$43:F$54,15)</f>
        <v>2</v>
      </c>
      <c r="H62" s="34">
        <f t="shared" si="1"/>
        <v>5.5555555555555552E-2</v>
      </c>
    </row>
    <row r="63" spans="1:9" x14ac:dyDescent="0.3">
      <c r="F63" s="13">
        <v>16</v>
      </c>
      <c r="G63" s="13">
        <f>COUNTIF(B$43:F$54,16)</f>
        <v>2</v>
      </c>
      <c r="H63" s="34">
        <f t="shared" si="1"/>
        <v>5.5555555555555552E-2</v>
      </c>
    </row>
    <row r="64" spans="1:9" x14ac:dyDescent="0.3">
      <c r="F64" s="13">
        <v>17</v>
      </c>
      <c r="G64" s="13">
        <f>COUNTIF(B$43:F$54,17)</f>
        <v>11</v>
      </c>
      <c r="H64" s="34">
        <f t="shared" si="1"/>
        <v>0.30555555555555558</v>
      </c>
    </row>
    <row r="65" spans="6:8" x14ac:dyDescent="0.3">
      <c r="F65" s="13">
        <v>18</v>
      </c>
      <c r="G65" s="13">
        <f>COUNTIF(B$43:F$54,18)</f>
        <v>1</v>
      </c>
      <c r="H65" s="34">
        <f t="shared" si="1"/>
        <v>2.7777777777777776E-2</v>
      </c>
    </row>
    <row r="66" spans="6:8" x14ac:dyDescent="0.3">
      <c r="F66" s="13">
        <v>19</v>
      </c>
      <c r="G66" s="13">
        <f>COUNTIF(B$43:F$54,19)</f>
        <v>1</v>
      </c>
      <c r="H66" s="34">
        <f t="shared" si="1"/>
        <v>2.7777777777777776E-2</v>
      </c>
    </row>
    <row r="67" spans="6:8" x14ac:dyDescent="0.3">
      <c r="F67" s="13">
        <v>20</v>
      </c>
      <c r="G67" s="43">
        <f>COUNTIF(B$43:F$54,20)</f>
        <v>1</v>
      </c>
      <c r="H67" s="34">
        <f t="shared" si="1"/>
        <v>2.7777777777777776E-2</v>
      </c>
    </row>
    <row r="68" spans="6:8" x14ac:dyDescent="0.3">
      <c r="G68" s="13">
        <f>SUM(G58:G67)</f>
        <v>36</v>
      </c>
    </row>
  </sheetData>
  <mergeCells count="3">
    <mergeCell ref="A35:F35"/>
    <mergeCell ref="A41:G41"/>
    <mergeCell ref="H33:J3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G22" sqref="G22"/>
    </sheetView>
  </sheetViews>
  <sheetFormatPr defaultColWidth="9.109375" defaultRowHeight="14.4" x14ac:dyDescent="0.3"/>
  <cols>
    <col min="1" max="1" width="55.44140625" style="13" customWidth="1"/>
    <col min="2" max="2" width="8" style="13" bestFit="1" customWidth="1"/>
    <col min="3" max="3" width="12.5546875" style="13" bestFit="1" customWidth="1"/>
    <col min="4" max="4" width="15.44140625" style="13" bestFit="1" customWidth="1"/>
    <col min="5" max="5" width="8.109375" style="13" bestFit="1" customWidth="1"/>
    <col min="6" max="6" width="9.109375" style="13"/>
    <col min="7" max="7" width="26.109375" style="13" bestFit="1" customWidth="1"/>
    <col min="8" max="8" width="14.33203125" style="13" bestFit="1" customWidth="1"/>
    <col min="9" max="9" width="15.44140625" style="13" bestFit="1" customWidth="1"/>
    <col min="10" max="10" width="19.109375" style="13" bestFit="1" customWidth="1"/>
    <col min="11" max="16384" width="9.109375" style="13"/>
  </cols>
  <sheetData>
    <row r="1" spans="1:11" x14ac:dyDescent="0.3">
      <c r="A1" s="28" t="s">
        <v>55</v>
      </c>
    </row>
    <row r="2" spans="1:11" x14ac:dyDescent="0.3">
      <c r="A2" s="28" t="s">
        <v>56</v>
      </c>
    </row>
    <row r="3" spans="1:11" x14ac:dyDescent="0.3">
      <c r="G3" s="29"/>
      <c r="H3" s="29"/>
      <c r="I3" s="29"/>
      <c r="J3" s="29"/>
      <c r="K3" s="29"/>
    </row>
    <row r="4" spans="1:11" x14ac:dyDescent="0.3">
      <c r="B4" s="86" t="s">
        <v>3</v>
      </c>
      <c r="C4" s="86"/>
      <c r="D4" s="87" t="s">
        <v>57</v>
      </c>
      <c r="E4" s="87"/>
      <c r="G4" s="30" t="s">
        <v>18</v>
      </c>
      <c r="H4" s="29"/>
      <c r="I4" s="29"/>
      <c r="J4" s="29"/>
      <c r="K4" s="29"/>
    </row>
    <row r="5" spans="1:11" x14ac:dyDescent="0.3">
      <c r="A5" s="13" t="s">
        <v>0</v>
      </c>
      <c r="B5" s="31" t="s">
        <v>5</v>
      </c>
      <c r="C5" s="31" t="s">
        <v>4</v>
      </c>
      <c r="D5" s="31" t="s">
        <v>5</v>
      </c>
      <c r="E5" s="31" t="s">
        <v>4</v>
      </c>
      <c r="G5" s="29" t="s">
        <v>15</v>
      </c>
      <c r="H5" s="32">
        <v>871336638</v>
      </c>
      <c r="I5" s="29" t="s">
        <v>72</v>
      </c>
      <c r="J5" s="29"/>
      <c r="K5" s="29"/>
    </row>
    <row r="6" spans="1:11" x14ac:dyDescent="0.3">
      <c r="A6" s="13" t="s">
        <v>1</v>
      </c>
      <c r="B6" s="33">
        <v>19131</v>
      </c>
      <c r="C6" s="34">
        <f>B6/B8</f>
        <v>0.85117458622530695</v>
      </c>
      <c r="D6" s="33">
        <f>B6+C33</f>
        <v>19125.285645423359</v>
      </c>
      <c r="E6" s="34">
        <f>D6/D8</f>
        <v>0.85113673885666452</v>
      </c>
      <c r="G6" s="29" t="s">
        <v>16</v>
      </c>
      <c r="H6" s="32">
        <v>935533420</v>
      </c>
      <c r="I6" s="29" t="s">
        <v>72</v>
      </c>
      <c r="J6" s="29"/>
      <c r="K6" s="29"/>
    </row>
    <row r="7" spans="1:11" x14ac:dyDescent="0.3">
      <c r="A7" s="13" t="s">
        <v>2</v>
      </c>
      <c r="B7" s="33">
        <v>3345</v>
      </c>
      <c r="C7" s="34">
        <f>B7/B8</f>
        <v>0.14882541377469299</v>
      </c>
      <c r="D7" s="33">
        <f>B7</f>
        <v>3345</v>
      </c>
      <c r="E7" s="34">
        <f>D7/D8</f>
        <v>0.14886326114333548</v>
      </c>
      <c r="G7" s="30" t="s">
        <v>22</v>
      </c>
      <c r="H7" s="35">
        <v>182724918.6022065</v>
      </c>
      <c r="I7" s="29" t="s">
        <v>111</v>
      </c>
      <c r="J7" s="29"/>
      <c r="K7" s="29"/>
    </row>
    <row r="8" spans="1:11" x14ac:dyDescent="0.3">
      <c r="B8" s="33">
        <f>SUM(B6:B7)</f>
        <v>22476</v>
      </c>
      <c r="C8" s="34"/>
      <c r="D8" s="33">
        <f>SUM(D6:D7)</f>
        <v>22470.285645423359</v>
      </c>
      <c r="G8" s="29" t="s">
        <v>17</v>
      </c>
      <c r="H8" s="36">
        <f>SUM(H5:H7)</f>
        <v>1989594976.6022065</v>
      </c>
      <c r="I8" s="29"/>
      <c r="J8" s="29"/>
      <c r="K8" s="29"/>
    </row>
    <row r="9" spans="1:11" x14ac:dyDescent="0.3">
      <c r="F9" s="29"/>
      <c r="G9" s="29"/>
      <c r="H9" s="5" t="s">
        <v>3</v>
      </c>
      <c r="I9" s="5" t="s">
        <v>57</v>
      </c>
      <c r="J9" s="29" t="s">
        <v>58</v>
      </c>
      <c r="K9" s="29"/>
    </row>
    <row r="10" spans="1:11" x14ac:dyDescent="0.3">
      <c r="C10" s="13" t="s">
        <v>13</v>
      </c>
      <c r="D10" s="34">
        <f>(D8-B8)/B8</f>
        <v>-2.5424250652434591E-4</v>
      </c>
      <c r="F10" s="29"/>
      <c r="G10" s="29" t="s">
        <v>19</v>
      </c>
      <c r="H10" s="37">
        <f>C6</f>
        <v>0.85117458622530695</v>
      </c>
      <c r="I10" s="37">
        <f>E6</f>
        <v>0.85113673885666452</v>
      </c>
      <c r="J10" s="37">
        <f>I10-H10</f>
        <v>-3.7847368642429657E-5</v>
      </c>
      <c r="K10" s="29"/>
    </row>
    <row r="11" spans="1:11" x14ac:dyDescent="0.3">
      <c r="D11" s="34"/>
      <c r="F11" s="29"/>
      <c r="G11" s="29" t="s">
        <v>20</v>
      </c>
      <c r="H11" s="36">
        <f>H8*H10</f>
        <v>1693492680.9653323</v>
      </c>
      <c r="I11" s="36">
        <f>H8*I10</f>
        <v>1693417380.0308037</v>
      </c>
      <c r="J11" s="38">
        <f>I11-H11</f>
        <v>-75300.934528589249</v>
      </c>
      <c r="K11" s="29"/>
    </row>
    <row r="12" spans="1:11" x14ac:dyDescent="0.3">
      <c r="B12" s="86" t="s">
        <v>3</v>
      </c>
      <c r="C12" s="86"/>
      <c r="D12" s="5" t="s">
        <v>57</v>
      </c>
      <c r="E12" s="39"/>
      <c r="F12" s="29"/>
      <c r="G12" s="29"/>
      <c r="H12" s="29"/>
      <c r="I12" s="29"/>
      <c r="J12" s="29"/>
      <c r="K12" s="29"/>
    </row>
    <row r="13" spans="1:11" x14ac:dyDescent="0.3">
      <c r="A13" s="13" t="s">
        <v>14</v>
      </c>
      <c r="B13" s="31" t="s">
        <v>5</v>
      </c>
      <c r="C13" s="31" t="s">
        <v>4</v>
      </c>
      <c r="D13" s="31" t="s">
        <v>5</v>
      </c>
      <c r="E13" s="31" t="s">
        <v>4</v>
      </c>
      <c r="F13" s="29"/>
      <c r="G13" s="29"/>
      <c r="H13" s="37"/>
      <c r="I13" s="37"/>
      <c r="J13" s="37"/>
      <c r="K13" s="29"/>
    </row>
    <row r="14" spans="1:11" x14ac:dyDescent="0.3">
      <c r="A14" s="13" t="s">
        <v>6</v>
      </c>
      <c r="B14" s="33">
        <v>4959.735583333334</v>
      </c>
      <c r="C14" s="34">
        <f t="shared" ref="C14:C18" si="0">B14/$B$20</f>
        <v>0.2972768666578538</v>
      </c>
      <c r="D14" s="40">
        <f>B14+C28</f>
        <v>4959.735583333334</v>
      </c>
      <c r="E14" s="34">
        <f>D14/$D$20</f>
        <v>0.29737501888215845</v>
      </c>
      <c r="F14" s="29"/>
      <c r="G14" s="13" t="s">
        <v>59</v>
      </c>
      <c r="H14" s="36">
        <f t="shared" ref="H14:H16" si="1">$H$11*C14</f>
        <v>503436197.90538245</v>
      </c>
      <c r="I14" s="36">
        <f t="shared" ref="I14:I16" si="2">$I$11*E14</f>
        <v>503580025.36203551</v>
      </c>
      <c r="J14" s="41">
        <f t="shared" ref="J14:J16" si="3">I14-H14</f>
        <v>143827.45665305853</v>
      </c>
      <c r="K14" s="29"/>
    </row>
    <row r="15" spans="1:11" x14ac:dyDescent="0.3">
      <c r="A15" s="13" t="s">
        <v>7</v>
      </c>
      <c r="B15" s="33">
        <v>7016.4057500000008</v>
      </c>
      <c r="C15" s="34">
        <f t="shared" si="0"/>
        <v>0.4205496606652398</v>
      </c>
      <c r="D15" s="40">
        <f t="shared" ref="D15:D18" si="4">B15+C29</f>
        <v>7016.4057500000008</v>
      </c>
      <c r="E15" s="34">
        <f t="shared" ref="E15:E19" si="5">D15/$D$20</f>
        <v>0.4206885140011517</v>
      </c>
      <c r="F15" s="29"/>
      <c r="G15" s="29" t="s">
        <v>60</v>
      </c>
      <c r="H15" s="36">
        <f t="shared" si="1"/>
        <v>712197772.31903768</v>
      </c>
      <c r="I15" s="36">
        <f t="shared" si="2"/>
        <v>712401241.18888235</v>
      </c>
      <c r="J15" s="41">
        <f t="shared" si="3"/>
        <v>203468.86984467506</v>
      </c>
      <c r="K15" s="29"/>
    </row>
    <row r="16" spans="1:11" x14ac:dyDescent="0.3">
      <c r="A16" s="13" t="s">
        <v>8</v>
      </c>
      <c r="B16" s="33">
        <v>2939.5420833333337</v>
      </c>
      <c r="C16" s="34">
        <f t="shared" si="0"/>
        <v>0.17619041282739747</v>
      </c>
      <c r="D16" s="40">
        <f t="shared" si="4"/>
        <v>2939.5420833333337</v>
      </c>
      <c r="E16" s="34">
        <f t="shared" si="5"/>
        <v>0.17624858580639377</v>
      </c>
      <c r="F16" s="29"/>
      <c r="G16" s="29" t="s">
        <v>61</v>
      </c>
      <c r="H16" s="36">
        <f t="shared" si="1"/>
        <v>298377174.579458</v>
      </c>
      <c r="I16" s="36">
        <f t="shared" si="2"/>
        <v>298462418.41039765</v>
      </c>
      <c r="J16" s="41">
        <f t="shared" si="3"/>
        <v>85243.830939650536</v>
      </c>
      <c r="K16" s="29"/>
    </row>
    <row r="17" spans="1:11" x14ac:dyDescent="0.3">
      <c r="A17" s="13" t="s">
        <v>9</v>
      </c>
      <c r="B17" s="33">
        <v>943.88683333333336</v>
      </c>
      <c r="C17" s="34">
        <f t="shared" si="0"/>
        <v>5.6574733789407923E-2</v>
      </c>
      <c r="D17" s="40">
        <f>B17+D31</f>
        <v>938.38011234768067</v>
      </c>
      <c r="E17" s="34">
        <f t="shared" si="5"/>
        <v>5.6263242049788741E-2</v>
      </c>
      <c r="F17" s="29"/>
      <c r="G17" s="29" t="s">
        <v>62</v>
      </c>
      <c r="H17" s="36">
        <f>$H$11*C17</f>
        <v>95808897.5999244</v>
      </c>
      <c r="I17" s="36">
        <f>$I$11*E17</f>
        <v>95277151.943992198</v>
      </c>
      <c r="J17" s="41">
        <f>I17-H17</f>
        <v>-531745.65593220294</v>
      </c>
      <c r="K17" s="29"/>
    </row>
    <row r="18" spans="1:11" x14ac:dyDescent="0.3">
      <c r="A18" s="13" t="s">
        <v>10</v>
      </c>
      <c r="B18" s="33">
        <v>506.31650000000008</v>
      </c>
      <c r="C18" s="34">
        <f t="shared" si="0"/>
        <v>3.034762239401732E-2</v>
      </c>
      <c r="D18" s="40">
        <f t="shared" si="4"/>
        <v>506.31650000000008</v>
      </c>
      <c r="E18" s="34">
        <f t="shared" si="5"/>
        <v>3.0357642301297089E-2</v>
      </c>
      <c r="G18" s="29" t="s">
        <v>63</v>
      </c>
      <c r="H18" s="36">
        <f t="shared" ref="H18:H19" si="6">$H$11*C18</f>
        <v>51393476.408967949</v>
      </c>
      <c r="I18" s="36">
        <f t="shared" ref="I18:I19" si="7">$I$11*E18</f>
        <v>51408159.089774817</v>
      </c>
      <c r="J18" s="41">
        <f t="shared" ref="J18" si="8">I18-H18</f>
        <v>14682.680806867778</v>
      </c>
      <c r="K18" s="29"/>
    </row>
    <row r="19" spans="1:11" x14ac:dyDescent="0.3">
      <c r="A19" s="13" t="s">
        <v>11</v>
      </c>
      <c r="B19" s="33">
        <v>318.00675000000001</v>
      </c>
      <c r="C19" s="34">
        <f>B19/$B$20</f>
        <v>1.9060703666083697E-2</v>
      </c>
      <c r="D19" s="40">
        <f>B19</f>
        <v>318.00675000000001</v>
      </c>
      <c r="E19" s="34">
        <f t="shared" si="5"/>
        <v>1.9066996959210311E-2</v>
      </c>
      <c r="G19" s="29" t="s">
        <v>64</v>
      </c>
      <c r="H19" s="36">
        <f t="shared" si="6"/>
        <v>32279162.152561817</v>
      </c>
      <c r="I19" s="36">
        <f t="shared" si="7"/>
        <v>32288384.035721224</v>
      </c>
      <c r="J19" s="41">
        <f>I19-H19</f>
        <v>9221.8831594064832</v>
      </c>
      <c r="K19" s="29"/>
    </row>
    <row r="20" spans="1:11" x14ac:dyDescent="0.3">
      <c r="A20" s="13" t="s">
        <v>12</v>
      </c>
      <c r="B20" s="33">
        <v>16683.893500000002</v>
      </c>
      <c r="C20" s="34">
        <v>0.99999999999999989</v>
      </c>
      <c r="D20" s="33">
        <f>SUM(D14:D19)</f>
        <v>16678.386779014349</v>
      </c>
      <c r="E20" s="34">
        <v>0.99999999999999989</v>
      </c>
      <c r="G20" s="30"/>
      <c r="H20" s="38"/>
      <c r="I20" s="29"/>
      <c r="J20" s="29"/>
      <c r="K20" s="29"/>
    </row>
    <row r="21" spans="1:11" x14ac:dyDescent="0.3">
      <c r="G21" s="29"/>
      <c r="H21" s="29"/>
      <c r="I21" s="29"/>
      <c r="J21" s="29"/>
      <c r="K21" s="29"/>
    </row>
    <row r="22" spans="1:11" x14ac:dyDescent="0.3">
      <c r="C22" s="13" t="s">
        <v>13</v>
      </c>
      <c r="D22" s="34">
        <f>(D20-B20)/B20</f>
        <v>-3.3006210364825052E-4</v>
      </c>
      <c r="G22" s="29"/>
      <c r="H22" s="5"/>
      <c r="I22" s="5"/>
      <c r="J22" s="29"/>
      <c r="K22" s="29"/>
    </row>
    <row r="23" spans="1:11" x14ac:dyDescent="0.3">
      <c r="G23" s="29"/>
      <c r="H23" s="37"/>
      <c r="I23" s="37"/>
      <c r="J23" s="37"/>
      <c r="K23" s="29"/>
    </row>
    <row r="24" spans="1:11" ht="16.2" x14ac:dyDescent="0.35">
      <c r="A24" s="13" t="s">
        <v>65</v>
      </c>
      <c r="C24" s="42"/>
      <c r="G24" s="29"/>
      <c r="H24" s="36"/>
      <c r="I24" s="36"/>
      <c r="J24" s="38"/>
      <c r="K24" s="29"/>
    </row>
    <row r="25" spans="1:11" x14ac:dyDescent="0.3">
      <c r="C25" s="31"/>
      <c r="D25" s="31"/>
      <c r="E25" s="31"/>
      <c r="G25" s="29"/>
      <c r="H25" s="29"/>
      <c r="I25" s="29"/>
      <c r="J25" s="29"/>
      <c r="K25" s="29"/>
    </row>
    <row r="26" spans="1:11" x14ac:dyDescent="0.3">
      <c r="C26" s="31"/>
      <c r="D26" s="31"/>
      <c r="E26" s="31"/>
      <c r="G26" s="29"/>
      <c r="H26" s="29"/>
      <c r="I26" s="29"/>
      <c r="J26" s="29"/>
      <c r="K26" s="29"/>
    </row>
    <row r="27" spans="1:11" x14ac:dyDescent="0.3">
      <c r="A27" s="43"/>
      <c r="B27" s="43"/>
      <c r="C27" s="17" t="s">
        <v>66</v>
      </c>
      <c r="D27" s="17" t="s">
        <v>14</v>
      </c>
      <c r="E27" s="31"/>
      <c r="G27" s="29"/>
      <c r="H27" s="29"/>
      <c r="I27" s="29"/>
      <c r="J27" s="29"/>
      <c r="K27" s="29"/>
    </row>
    <row r="28" spans="1:11" x14ac:dyDescent="0.3">
      <c r="A28" s="44" t="s">
        <v>67</v>
      </c>
      <c r="C28" s="33">
        <v>0</v>
      </c>
      <c r="D28" s="33"/>
      <c r="E28" s="45"/>
      <c r="G28" s="29"/>
      <c r="H28" s="37"/>
      <c r="I28" s="37"/>
      <c r="J28" s="37"/>
      <c r="K28" s="29"/>
    </row>
    <row r="29" spans="1:11" x14ac:dyDescent="0.3">
      <c r="A29" s="44" t="s">
        <v>68</v>
      </c>
      <c r="C29" s="46">
        <v>0</v>
      </c>
      <c r="D29" s="46"/>
      <c r="E29" s="46"/>
      <c r="G29" s="29"/>
      <c r="H29" s="36"/>
      <c r="I29" s="36"/>
      <c r="J29" s="41"/>
      <c r="K29" s="29"/>
    </row>
    <row r="30" spans="1:11" x14ac:dyDescent="0.3">
      <c r="A30" s="44" t="s">
        <v>69</v>
      </c>
      <c r="C30" s="33">
        <v>0</v>
      </c>
      <c r="D30" s="33"/>
      <c r="E30" s="46"/>
      <c r="G30" s="29"/>
      <c r="H30" s="29"/>
      <c r="I30" s="29"/>
      <c r="J30" s="29"/>
      <c r="K30" s="29"/>
    </row>
    <row r="31" spans="1:11" x14ac:dyDescent="0.3">
      <c r="A31" s="44" t="s">
        <v>70</v>
      </c>
      <c r="C31" s="47">
        <f>-'Peak Reduction'!L18</f>
        <v>-5.7143545766417727</v>
      </c>
      <c r="D31" s="47">
        <f>-'Peak Reduction'!L19</f>
        <v>-5.5067209856527342</v>
      </c>
      <c r="G31" s="29"/>
      <c r="H31" s="37"/>
      <c r="I31" s="37"/>
      <c r="J31" s="37"/>
      <c r="K31" s="29"/>
    </row>
    <row r="32" spans="1:11" x14ac:dyDescent="0.3">
      <c r="A32" s="48" t="s">
        <v>21</v>
      </c>
      <c r="B32" s="43"/>
      <c r="C32" s="49">
        <v>0</v>
      </c>
      <c r="D32" s="49"/>
      <c r="G32" s="29"/>
      <c r="H32" s="36"/>
      <c r="I32" s="36"/>
      <c r="J32" s="41"/>
      <c r="K32" s="29"/>
    </row>
    <row r="33" spans="1:11" x14ac:dyDescent="0.3">
      <c r="A33" s="44" t="s">
        <v>71</v>
      </c>
      <c r="C33" s="47">
        <f>SUM(C28:C32)</f>
        <v>-5.7143545766417727</v>
      </c>
      <c r="D33" s="47">
        <f>SUM(D28:D32)</f>
        <v>-5.5067209856527342</v>
      </c>
      <c r="G33" s="29"/>
      <c r="H33" s="29"/>
      <c r="I33" s="29"/>
      <c r="J33" s="29"/>
      <c r="K33" s="29"/>
    </row>
    <row r="34" spans="1:11" x14ac:dyDescent="0.3">
      <c r="G34" s="29"/>
      <c r="H34" s="29"/>
      <c r="I34" s="29"/>
      <c r="J34" s="29"/>
      <c r="K34" s="29"/>
    </row>
    <row r="35" spans="1:11" x14ac:dyDescent="0.3">
      <c r="A35" s="13" t="s">
        <v>87</v>
      </c>
      <c r="B35" s="33"/>
      <c r="C35" s="50">
        <f>J17/C33</f>
        <v>93054.368398101869</v>
      </c>
      <c r="D35" s="51" t="s">
        <v>24</v>
      </c>
      <c r="F35" s="52"/>
      <c r="G35" s="29"/>
      <c r="H35" s="29"/>
      <c r="I35" s="29"/>
      <c r="J35" s="29"/>
      <c r="K35" s="29"/>
    </row>
    <row r="36" spans="1:11" x14ac:dyDescent="0.3">
      <c r="C36" s="14"/>
      <c r="D36" s="51"/>
    </row>
    <row r="37" spans="1:11" x14ac:dyDescent="0.3">
      <c r="C37" s="14"/>
      <c r="D37" s="51"/>
    </row>
  </sheetData>
  <mergeCells count="3">
    <mergeCell ref="B12:C12"/>
    <mergeCell ref="D4:E4"/>
    <mergeCell ref="B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FC90805A-4CC3-4F43-86E9-BEB736B3BA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NMS Avoided Capacity Cost</vt:lpstr>
      <vt:lpstr>Peak Reduction</vt:lpstr>
      <vt:lpstr>LSE OATT Savings</vt:lpstr>
      <vt:lpstr>'Peak Reduction'!Print_Area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keywords/>
  <cp:lastModifiedBy>Steve Baron</cp:lastModifiedBy>
  <dcterms:created xsi:type="dcterms:W3CDTF">2016-03-08T20:17:52Z</dcterms:created>
  <dcterms:modified xsi:type="dcterms:W3CDTF">2020-09-23T19:14:51Z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ac5d1c36-5335-4b34-bb30-ace26ac763cb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