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75" windowWidth="15330" windowHeight="3060" tabRatio="593" activeTab="2"/>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INSTRUCTIONS" sheetId="14" r:id="rId14"/>
    <sheet name="Summary" sheetId="15" r:id="rId15"/>
    <sheet name="Sheet1" sheetId="16" r:id="rId16"/>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3">'INSTRUCTIONS'!$L$1:$Q$33</definedName>
    <definedName name="_xlnm.Print_Area" localSheetId="0">'revisions pre 7-09'!$A$111:$B$142</definedName>
    <definedName name="_xlnm.Print_Area" localSheetId="14">'Summary'!$A$1:$F$37</definedName>
    <definedName name="_xlnm.Print_Area" localSheetId="12">'TXPG12RV'!$A$1:$J$175</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62" authorId="0">
      <text>
        <r>
          <rPr>
            <b/>
            <sz val="9"/>
            <rFont val="Tahoma"/>
            <family val="2"/>
          </rPr>
          <t>Tape total of Rpt 51000 reports less skipped items</t>
        </r>
      </text>
    </comment>
    <comment ref="G166" authorId="0">
      <text>
        <r>
          <rPr>
            <b/>
            <sz val="10"/>
            <rFont val="Tahoma"/>
            <family val="2"/>
          </rPr>
          <t>Tape total of Rpt 51020 reports less skipped items</t>
        </r>
      </text>
    </comment>
    <comment ref="I162" authorId="0">
      <text>
        <r>
          <rPr>
            <b/>
            <sz val="9"/>
            <rFont val="Tahoma"/>
            <family val="2"/>
          </rPr>
          <t>Tape total of Rpt 51000 reports less skipped items</t>
        </r>
      </text>
    </comment>
    <comment ref="I166" authorId="0">
      <text>
        <r>
          <rPr>
            <b/>
            <sz val="10"/>
            <rFont val="Tahoma"/>
            <family val="2"/>
          </rPr>
          <t>Tape total of Rpt 51020 reports less skipped items</t>
        </r>
      </text>
    </comment>
  </commentList>
</comments>
</file>

<file path=xl/comments14.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Input in all caps.</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L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b/>
            <sz val="8"/>
            <rFont val="Tahoma"/>
            <family val="2"/>
          </rPr>
          <t>Ron O:
Changed for January 2011 Actual with December 2010 YTD Total Chgs to Acct 501 Fuel from Pg 24-2  on 2/7/11</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L22" authorId="0">
      <text>
        <r>
          <rPr>
            <sz val="9"/>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b/>
            <sz val="8"/>
            <rFont val="Tahoma"/>
            <family val="2"/>
          </rPr>
          <t>Ron O:
Changed for January 2011 Actual with December 2010 YTD Total Chgs to Acct 501 Fuel from Pg 24-3  on 2/7/11</t>
        </r>
        <r>
          <rPr>
            <sz val="8"/>
            <rFont val="Tahoma"/>
            <family val="2"/>
          </rPr>
          <t xml:space="preserve">
</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<sst xmlns="http://schemas.openxmlformats.org/spreadsheetml/2006/main" count="4630" uniqueCount="1938">
  <si>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</si>
  <si>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</si>
  <si>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</si>
  <si>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</si>
  <si>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</si>
  <si>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</si>
  <si>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</si>
  <si>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</si>
  <si>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</si>
  <si>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</si>
  <si>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</si>
  <si>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</si>
  <si>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</si>
  <si>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</si>
  <si>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</si>
  <si>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</si>
  <si>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</si>
  <si>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</si>
  <si>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</si>
  <si>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</si>
  <si>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</si>
  <si>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</si>
  <si>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</si>
  <si>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</si>
  <si>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 xml:space="preserve">AEG Sch M - 232C </t>
  </si>
  <si>
    <t xml:space="preserve">AEG Sch M - 232K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</si>
  <si>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</si>
  <si>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</si>
  <si>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</si>
  <si>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</si>
  <si>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</si>
  <si>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</si>
  <si>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</si>
  <si>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</si>
  <si>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</si>
  <si>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</si>
  <si>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</si>
  <si>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Beverly Booth</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</si>
  <si>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</si>
  <si>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</si>
  <si>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</si>
  <si>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</si>
  <si>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</si>
  <si>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</si>
  <si>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</si>
  <si>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</si>
  <si>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</si>
  <si>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</si>
  <si>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</si>
  <si>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</si>
  <si>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</si>
  <si>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</si>
  <si>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</si>
  <si>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</si>
  <si>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</si>
  <si>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50% AEG Sch M - 940X</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</si>
  <si>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</si>
  <si>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</si>
  <si>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</si>
  <si>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</si>
  <si>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</si>
  <si>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</si>
  <si>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</si>
  <si>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</si>
  <si>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</si>
  <si>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</si>
  <si>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</si>
  <si>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</si>
  <si>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</si>
  <si>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</si>
  <si>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</si>
  <si>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</si>
  <si>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</si>
  <si>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</si>
  <si>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</si>
  <si>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</si>
  <si>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</si>
  <si>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</si>
  <si>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</si>
  <si>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</si>
  <si>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</si>
  <si>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</si>
  <si>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</si>
  <si>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</si>
  <si>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</si>
  <si>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</si>
  <si>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</si>
  <si>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</si>
  <si>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</si>
  <si>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</si>
  <si>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</si>
  <si>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</si>
  <si>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</si>
  <si>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</si>
  <si>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</si>
  <si>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</si>
  <si>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</si>
  <si>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</si>
  <si>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</si>
  <si>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</si>
  <si>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</si>
  <si>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</si>
  <si>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</si>
  <si>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</si>
  <si>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</si>
  <si>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</si>
  <si>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</si>
  <si>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</si>
  <si>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</si>
  <si>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</si>
  <si>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</si>
  <si>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</si>
  <si>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</si>
  <si>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</si>
  <si>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</si>
  <si>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</si>
  <si>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</si>
  <si>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</si>
  <si>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</si>
  <si>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</si>
  <si>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</si>
  <si>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</si>
  <si>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</si>
  <si>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</si>
  <si>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</si>
  <si>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</si>
  <si>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</si>
  <si>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</si>
  <si>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</si>
  <si>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</si>
  <si>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</si>
  <si>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</si>
  <si>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</si>
  <si>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</si>
  <si>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</si>
  <si>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</si>
  <si>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</si>
  <si>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</si>
  <si>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</si>
  <si>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</si>
  <si>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</si>
  <si>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</si>
  <si>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</si>
  <si>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</si>
  <si>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</si>
  <si>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</si>
  <si>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</si>
  <si>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</si>
  <si>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</si>
  <si>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</si>
  <si>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</si>
  <si>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</si>
  <si>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</si>
  <si>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</si>
  <si>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</si>
  <si>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</si>
  <si>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</si>
  <si>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</si>
  <si>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</si>
  <si>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</si>
  <si>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</si>
  <si>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</si>
  <si>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</si>
  <si>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</si>
  <si>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</si>
  <si>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</si>
  <si>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</si>
  <si>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</si>
  <si>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</si>
  <si>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</si>
  <si>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</si>
  <si>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</si>
  <si>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</si>
  <si>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</si>
  <si>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</si>
  <si>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</si>
  <si>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</si>
  <si>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</si>
  <si>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</si>
  <si>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</si>
  <si>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</si>
  <si>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</si>
  <si>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</si>
  <si>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</si>
  <si>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</si>
  <si>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</si>
  <si>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</si>
  <si>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</si>
  <si>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</si>
  <si>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</si>
  <si>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</si>
  <si>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</si>
  <si>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</si>
  <si>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</si>
  <si>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</si>
  <si>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</si>
  <si>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</si>
  <si>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</si>
  <si>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</si>
  <si>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</si>
  <si>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</si>
  <si>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</si>
  <si>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</si>
  <si>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</si>
  <si>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</si>
  <si>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</si>
  <si>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</si>
  <si>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</si>
  <si>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</si>
  <si>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</si>
  <si>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</si>
  <si>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</si>
  <si>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</si>
  <si>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</si>
  <si>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</si>
  <si>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</si>
  <si>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</si>
  <si>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</si>
  <si>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</si>
  <si>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</si>
  <si>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</si>
  <si>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</si>
  <si>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</si>
  <si>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</si>
  <si>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</si>
  <si>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</si>
  <si>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</si>
  <si>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</si>
  <si>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</si>
  <si>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</si>
  <si>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</si>
  <si>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</si>
  <si>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</si>
  <si>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</si>
  <si>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</si>
  <si>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</si>
  <si>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</si>
  <si>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</si>
  <si>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</si>
  <si>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</si>
  <si>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</si>
  <si>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</si>
  <si>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</si>
  <si>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</si>
  <si>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</si>
  <si>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</si>
  <si>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</si>
  <si>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t>* 1310</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</si>
  <si>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</si>
  <si>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</si>
  <si>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</si>
  <si>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</si>
  <si>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</si>
  <si>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</si>
  <si>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</si>
  <si>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</si>
  <si>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</si>
  <si>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</si>
  <si>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</si>
  <si>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</si>
  <si>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</si>
  <si>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</si>
  <si>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</si>
  <si>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</si>
  <si>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</si>
  <si>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</si>
  <si>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</si>
  <si>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</si>
  <si>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</si>
  <si>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</si>
  <si>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</si>
  <si>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</si>
  <si>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</si>
  <si>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</si>
  <si>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</si>
  <si>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</si>
  <si>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</si>
  <si>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</si>
  <si>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</si>
  <si>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</si>
  <si>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</si>
  <si>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</si>
  <si>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</si>
  <si>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</si>
  <si>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</si>
  <si>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</si>
  <si>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</si>
  <si>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</si>
  <si>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</si>
  <si>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</si>
  <si>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</si>
  <si>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</si>
  <si>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</si>
  <si>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</si>
  <si>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</si>
  <si>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</si>
  <si>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</si>
  <si>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</si>
  <si>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</si>
  <si>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</si>
  <si>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</si>
  <si>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</si>
  <si>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</si>
  <si>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</si>
  <si>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</si>
  <si>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</si>
  <si>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</si>
  <si>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</si>
  <si>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</si>
  <si>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</si>
  <si>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</si>
  <si>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</si>
  <si>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</si>
  <si>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</si>
  <si>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</si>
  <si>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Above 4 balances EXCLUDE ARO &amp; Asbestos</t>
  </si>
  <si>
    <t>Common Stock Liability for Conversion</t>
  </si>
  <si>
    <t>Bonds</t>
  </si>
  <si>
    <t>SFAS 109 282.4</t>
  </si>
  <si>
    <t>Total 282 G/L</t>
  </si>
  <si>
    <t xml:space="preserve">  LESS: SFAS 109</t>
  </si>
  <si>
    <t xml:space="preserve">  7</t>
  </si>
  <si>
    <t>Completed Construction Not Classified</t>
  </si>
  <si>
    <t>* 1280</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</si>
  <si>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</si>
  <si>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</si>
  <si>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</si>
  <si>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</si>
  <si>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</si>
  <si>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</si>
  <si>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</si>
  <si>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</si>
  <si>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</si>
  <si>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</si>
  <si>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</si>
  <si>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</si>
  <si>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</si>
  <si>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 1350</t>
  </si>
  <si>
    <t>* 1430</t>
  </si>
  <si>
    <t>* 1460</t>
  </si>
  <si>
    <t>* 1710</t>
  </si>
  <si>
    <t>* 2320</t>
  </si>
  <si>
    <t>* 2340</t>
  </si>
  <si>
    <t>* 2360</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</si>
  <si>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</si>
  <si>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</si>
  <si>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</si>
  <si>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</si>
  <si>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</si>
  <si>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</si>
  <si>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</si>
  <si>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</si>
  <si>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</si>
  <si>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</si>
  <si>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</si>
  <si>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</si>
  <si>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</si>
  <si>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</si>
  <si>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</si>
  <si>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</si>
  <si>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</si>
  <si>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</si>
  <si>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</si>
  <si>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</si>
  <si>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</si>
  <si>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</si>
  <si>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</si>
  <si>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</si>
  <si>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</si>
  <si>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JMJ</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</si>
  <si>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</si>
  <si>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</si>
  <si>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</si>
  <si>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</si>
  <si>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</si>
  <si>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</si>
  <si>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</si>
  <si>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</si>
  <si>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</si>
  <si>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</si>
  <si>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</si>
  <si>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</si>
  <si>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</si>
  <si>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</si>
  <si>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</si>
  <si>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</si>
  <si>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</si>
  <si>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</si>
  <si>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</si>
  <si>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</si>
  <si>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</si>
  <si>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</si>
  <si>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</si>
  <si>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</si>
  <si>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</si>
  <si>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</si>
  <si>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</si>
  <si>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</si>
  <si>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</si>
  <si>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</si>
  <si>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</si>
  <si>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</si>
  <si>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</si>
  <si>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</si>
  <si>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</si>
  <si>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</si>
  <si>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</si>
  <si>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</si>
  <si>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</si>
  <si>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</si>
  <si>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AEG Sch M - 280A</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</si>
  <si>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</si>
  <si>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</si>
  <si>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</si>
  <si>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</si>
  <si>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</si>
  <si>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</si>
  <si>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</si>
  <si>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</si>
  <si>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</si>
  <si>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</si>
  <si>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</si>
  <si>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</si>
  <si>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</si>
  <si>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</si>
  <si>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</si>
  <si>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</si>
  <si>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</si>
  <si>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</si>
  <si>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</si>
  <si>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</si>
  <si>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</si>
  <si>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</si>
  <si>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</si>
  <si>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</si>
  <si>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</si>
  <si>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</si>
  <si>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</si>
  <si>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</si>
  <si>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</si>
  <si>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</si>
  <si>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</si>
  <si>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</si>
  <si>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</si>
  <si>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</si>
  <si>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</si>
  <si>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</si>
  <si>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</si>
  <si>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</si>
  <si>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</si>
  <si>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</si>
  <si>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</si>
  <si>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</si>
  <si>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</si>
  <si>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</si>
  <si>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</si>
  <si>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</si>
  <si>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</si>
  <si>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</si>
  <si>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</si>
  <si>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</si>
  <si>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</si>
  <si>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</si>
  <si>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</si>
  <si>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</si>
  <si>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</si>
  <si>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</si>
  <si>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</si>
  <si>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</si>
  <si>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</si>
  <si>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</si>
  <si>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</si>
  <si>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</si>
  <si>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</si>
  <si>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</si>
  <si>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</si>
  <si>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</si>
  <si>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</si>
  <si>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</si>
  <si>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</si>
  <si>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</si>
  <si>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</si>
  <si>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</si>
  <si>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</si>
  <si>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</si>
  <si>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</si>
  <si>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</si>
  <si>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</si>
  <si>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</si>
  <si>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</si>
  <si>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</si>
  <si>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</si>
  <si>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</si>
  <si>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</si>
  <si>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</si>
  <si>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</si>
  <si>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</si>
  <si>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</si>
  <si>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</si>
  <si>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</si>
  <si>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</si>
  <si>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</si>
  <si>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</si>
  <si>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</si>
  <si>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</si>
  <si>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</si>
  <si>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</si>
  <si>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</si>
  <si>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</si>
  <si>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</si>
  <si>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</si>
  <si>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</si>
  <si>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</si>
  <si>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</si>
  <si>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</si>
  <si>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</si>
  <si>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</si>
  <si>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</si>
  <si>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</si>
  <si>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</si>
  <si>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</si>
  <si>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</si>
  <si>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</si>
  <si>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</si>
  <si>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</si>
  <si>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</si>
  <si>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</si>
  <si>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</si>
  <si>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</si>
  <si>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</si>
  <si>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</si>
  <si>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</si>
  <si>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</si>
  <si>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</si>
  <si>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</si>
  <si>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</si>
  <si>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</si>
  <si>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</si>
  <si>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</si>
  <si>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</si>
  <si>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</si>
  <si>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</si>
  <si>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</si>
  <si>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</si>
  <si>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</si>
  <si>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</si>
  <si>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</si>
  <si>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</si>
  <si>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</si>
  <si>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</si>
  <si>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</si>
  <si>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</si>
  <si>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</si>
  <si>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</si>
  <si>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</si>
  <si>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</si>
  <si>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</si>
  <si>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</si>
  <si>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</si>
  <si>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</si>
  <si>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</si>
  <si>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</si>
  <si>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</si>
  <si>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</si>
  <si>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</si>
  <si>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</si>
  <si>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</si>
  <si>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</si>
  <si>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</si>
  <si>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</si>
  <si>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</si>
  <si>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</si>
  <si>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</si>
  <si>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</si>
  <si>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</si>
  <si>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</si>
  <si>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</si>
  <si>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</si>
  <si>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</si>
  <si>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</si>
  <si>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</si>
  <si>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</si>
  <si>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</si>
  <si>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</si>
  <si>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</si>
  <si>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</si>
  <si>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</si>
  <si>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</si>
  <si>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</si>
  <si>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</si>
  <si>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</si>
  <si>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</si>
  <si>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</si>
  <si>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</si>
  <si>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</si>
  <si>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</si>
  <si>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</si>
  <si>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</si>
  <si>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</si>
  <si>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</si>
  <si>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</si>
  <si>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</si>
  <si>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</si>
  <si>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</si>
  <si>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</si>
  <si>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</si>
  <si>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</si>
  <si>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</si>
  <si>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</si>
  <si>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</si>
  <si>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</si>
  <si>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</si>
  <si>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</si>
  <si>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</si>
  <si>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</si>
  <si>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</si>
  <si>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</si>
  <si>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</si>
  <si>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</si>
  <si>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</si>
  <si>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</si>
  <si>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</si>
  <si>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</si>
  <si>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</si>
  <si>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</si>
  <si>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</si>
  <si>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</si>
  <si>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</si>
  <si>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</si>
  <si>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</si>
  <si>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</si>
  <si>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</si>
  <si>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</si>
  <si>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</si>
  <si>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</si>
  <si>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</si>
  <si>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</si>
  <si>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</si>
  <si>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</si>
  <si>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</si>
  <si>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</si>
  <si>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</si>
  <si>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</si>
  <si>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</si>
  <si>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</si>
  <si>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</si>
  <si>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</si>
  <si>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</si>
  <si>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</si>
  <si>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</si>
  <si>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</si>
  <si>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</si>
  <si>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</si>
  <si>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Total ARO</t>
  </si>
  <si>
    <t>50% AEG aro</t>
  </si>
  <si>
    <t>aro</t>
  </si>
  <si>
    <t>50% OF 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</si>
  <si>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</si>
  <si>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</si>
  <si>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</si>
  <si>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</si>
  <si>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</si>
  <si>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</si>
  <si>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</si>
  <si>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</si>
  <si>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</si>
  <si>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</si>
  <si>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</si>
  <si>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</si>
  <si>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</si>
  <si>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</si>
  <si>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</si>
  <si>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</si>
  <si>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</si>
  <si>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</si>
  <si>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</si>
  <si>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</si>
  <si>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</si>
  <si>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</si>
  <si>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</si>
  <si>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</si>
  <si>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</si>
  <si>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</si>
  <si>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</si>
  <si>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</si>
  <si>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</si>
  <si>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</si>
  <si>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</si>
  <si>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</si>
  <si>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</si>
  <si>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</si>
  <si>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</si>
  <si>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</si>
  <si>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</si>
  <si>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</si>
  <si>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</si>
  <si>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</si>
  <si>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</si>
  <si>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</si>
  <si>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</si>
  <si>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</si>
  <si>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</si>
  <si>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</si>
  <si>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</si>
  <si>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</si>
  <si>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</si>
  <si>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</si>
  <si>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</si>
  <si>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</si>
  <si>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</si>
  <si>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</si>
  <si>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</si>
  <si>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</si>
  <si>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</si>
  <si>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</si>
  <si>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</si>
  <si>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</si>
  <si>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</si>
  <si>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</si>
  <si>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</si>
  <si>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</si>
  <si>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</si>
  <si>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</si>
  <si>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</si>
  <si>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</si>
  <si>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</si>
  <si>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</si>
  <si>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</si>
  <si>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</si>
  <si>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</si>
  <si>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</si>
  <si>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</si>
  <si>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</si>
  <si>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</si>
  <si>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</si>
  <si>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</si>
  <si>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</si>
  <si>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</si>
  <si>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</si>
  <si>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</si>
  <si>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</si>
  <si>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</si>
  <si>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</si>
  <si>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</si>
  <si>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</si>
  <si>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</si>
  <si>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</si>
  <si>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</si>
  <si>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</si>
  <si>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</si>
  <si>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</si>
  <si>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</si>
  <si>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</si>
  <si>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</si>
  <si>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</si>
  <si>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</si>
  <si>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</si>
  <si>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</si>
  <si>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</si>
  <si>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</si>
  <si>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</si>
  <si>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</si>
  <si>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</si>
  <si>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</si>
  <si>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</si>
  <si>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</si>
  <si>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</si>
  <si>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</si>
  <si>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</si>
  <si>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</si>
  <si>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</si>
  <si>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</si>
  <si>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</si>
  <si>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</si>
  <si>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</si>
  <si>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</si>
  <si>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</si>
  <si>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</si>
  <si>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</si>
  <si>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</si>
  <si>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</si>
  <si>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</si>
  <si>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</si>
  <si>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</si>
  <si>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</si>
  <si>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</si>
  <si>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</si>
  <si>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</si>
  <si>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</si>
  <si>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</si>
  <si>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</si>
  <si>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</si>
  <si>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</si>
  <si>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</si>
  <si>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</si>
  <si>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</si>
  <si>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</si>
  <si>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</si>
  <si>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</si>
  <si>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</si>
  <si>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</si>
  <si>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</si>
  <si>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</si>
  <si>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</si>
  <si>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</si>
  <si>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</si>
  <si>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</si>
  <si>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</si>
  <si>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</si>
  <si>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</si>
  <si>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</si>
  <si>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</si>
  <si>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</si>
  <si>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</si>
  <si>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</si>
  <si>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</si>
  <si>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</si>
  <si>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</si>
  <si>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</si>
  <si>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</si>
  <si>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</si>
  <si>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</si>
  <si>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</si>
  <si>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</si>
  <si>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</si>
  <si>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</si>
  <si>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</si>
  <si>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</si>
  <si>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</si>
  <si>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</si>
  <si>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</si>
  <si>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</si>
  <si>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</si>
  <si>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</si>
  <si>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</si>
  <si>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</si>
  <si>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</si>
  <si>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</si>
  <si>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</si>
  <si>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</si>
  <si>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</si>
  <si>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</si>
  <si>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</si>
  <si>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</si>
  <si>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</si>
  <si>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</si>
  <si>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</si>
  <si>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</si>
  <si>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</si>
  <si>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</si>
  <si>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</si>
  <si>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</si>
  <si>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</si>
  <si>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</si>
  <si>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</si>
  <si>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</si>
  <si>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</si>
  <si>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</si>
  <si>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</si>
  <si>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</si>
  <si>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50% AEG Sch M - (911V+911W)</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</si>
  <si>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</si>
  <si>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</si>
  <si>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</si>
  <si>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</si>
  <si>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</si>
  <si>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</si>
  <si>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</si>
  <si>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</si>
  <si>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</si>
  <si>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</si>
  <si>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</si>
  <si>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</si>
  <si>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</si>
  <si>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</si>
  <si>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</si>
  <si>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</si>
  <si>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</si>
  <si>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</si>
  <si>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</si>
  <si>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</si>
  <si>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</si>
  <si>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</si>
  <si>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</si>
  <si>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</si>
  <si>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</si>
  <si>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</si>
  <si>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</si>
  <si>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</si>
  <si>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</si>
  <si>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</si>
  <si>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</si>
  <si>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</si>
  <si>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</si>
  <si>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</si>
  <si>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</si>
  <si>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</si>
  <si>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</si>
  <si>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</si>
  <si>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</si>
  <si>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</si>
  <si>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</si>
  <si>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</si>
  <si>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</si>
  <si>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</si>
  <si>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</si>
  <si>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</si>
  <si>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</si>
  <si>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</si>
  <si>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 xml:space="preserve"> 940N</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</si>
  <si>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</si>
  <si>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</si>
  <si>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</si>
  <si>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</si>
  <si>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</si>
  <si>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</si>
  <si>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</si>
  <si>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</si>
  <si>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</si>
  <si>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</si>
  <si>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</si>
  <si>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</si>
  <si>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</si>
  <si>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</si>
  <si>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</si>
  <si>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</si>
  <si>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</si>
  <si>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</si>
  <si>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</si>
  <si>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</si>
  <si>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</si>
  <si>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</si>
  <si>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</si>
  <si>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</si>
  <si>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</si>
  <si>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</si>
  <si>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</si>
  <si>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</si>
  <si>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</si>
  <si>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</si>
  <si>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</si>
  <si>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</si>
  <si>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</si>
  <si>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</si>
  <si>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</si>
  <si>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</si>
  <si>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</si>
  <si>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50%   (380M + 380M-EFB)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</si>
  <si>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</si>
  <si>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</si>
  <si>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</si>
  <si>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</si>
  <si>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</si>
  <si>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</si>
  <si>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</si>
  <si>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</si>
  <si>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</si>
  <si>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</si>
  <si>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</si>
  <si>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</si>
  <si>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</si>
  <si>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</si>
  <si>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</si>
  <si>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</si>
  <si>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</si>
  <si>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</si>
  <si>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</si>
  <si>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</si>
  <si>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</si>
  <si>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</si>
  <si>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</si>
  <si>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</si>
  <si>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</si>
  <si>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</si>
  <si>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</si>
  <si>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</si>
  <si>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</si>
  <si>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</si>
  <si>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</si>
  <si>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</si>
  <si>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</si>
  <si>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</si>
  <si>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</si>
  <si>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</si>
  <si>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</si>
  <si>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</si>
  <si>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</si>
  <si>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</si>
  <si>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</si>
  <si>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</si>
  <si>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</si>
  <si>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</si>
  <si>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</si>
  <si>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</si>
  <si>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</si>
  <si>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</si>
  <si>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</si>
  <si>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</si>
  <si>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</si>
  <si>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</si>
  <si>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</si>
  <si>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</si>
  <si>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</si>
  <si>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</si>
  <si>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</si>
  <si>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</si>
  <si>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</si>
  <si>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</si>
  <si>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</si>
  <si>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</si>
  <si>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</si>
  <si>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</si>
  <si>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</si>
  <si>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</si>
  <si>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</si>
  <si>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</si>
  <si>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</si>
  <si>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</si>
  <si>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</si>
  <si>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</si>
  <si>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</si>
  <si>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</si>
  <si>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</si>
  <si>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</si>
  <si>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</si>
  <si>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</si>
  <si>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</si>
  <si>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</si>
  <si>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</si>
  <si>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</si>
  <si>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</si>
  <si>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</si>
  <si>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</si>
  <si>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</si>
  <si>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</si>
  <si>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</si>
  <si>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</si>
  <si>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4280006 and 4280002 exp accts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</si>
  <si>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</si>
  <si>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</si>
  <si>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</si>
  <si>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</si>
  <si>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</si>
  <si>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</si>
  <si>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</si>
  <si>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</si>
  <si>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</si>
  <si>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</si>
  <si>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</si>
  <si>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</si>
  <si>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</si>
  <si>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</si>
  <si>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</si>
  <si>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</si>
  <si>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</si>
  <si>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</si>
  <si>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</si>
  <si>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</si>
  <si>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</si>
  <si>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</si>
  <si>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</si>
  <si>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</si>
  <si>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</si>
  <si>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</si>
  <si>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</si>
  <si>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</si>
  <si>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</si>
  <si>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</si>
  <si>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</si>
  <si>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</si>
  <si>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</si>
  <si>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</si>
  <si>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</si>
  <si>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</si>
  <si>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</si>
  <si>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</si>
  <si>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</si>
  <si>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</si>
  <si>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</si>
  <si>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</si>
  <si>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</si>
  <si>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</si>
  <si>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</si>
  <si>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</si>
  <si>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</si>
  <si>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</si>
  <si>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</si>
  <si>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</si>
  <si>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</si>
  <si>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</si>
  <si>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</si>
  <si>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</si>
  <si>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</si>
  <si>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</si>
  <si>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</si>
  <si>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</si>
  <si>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</si>
  <si>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</si>
  <si>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</si>
  <si>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</si>
  <si>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</si>
  <si>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</si>
  <si>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</si>
  <si>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</si>
  <si>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</si>
  <si>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</si>
  <si>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</si>
  <si>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</si>
  <si>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</si>
  <si>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</si>
  <si>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</si>
  <si>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</si>
  <si>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</si>
  <si>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</si>
  <si>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</si>
  <si>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</si>
  <si>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</si>
  <si>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</si>
  <si>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</si>
  <si>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</si>
  <si>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</si>
  <si>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</si>
  <si>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</si>
  <si>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</si>
  <si>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</si>
  <si>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</si>
  <si>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</si>
  <si>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</si>
  <si>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</si>
  <si>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</si>
  <si>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</si>
  <si>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</si>
  <si>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</si>
  <si>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</si>
  <si>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</si>
  <si>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</si>
  <si>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</si>
  <si>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</si>
  <si>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</si>
  <si>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</si>
  <si>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</si>
  <si>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</si>
  <si>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</si>
  <si>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</si>
  <si>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</si>
  <si>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</si>
  <si>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</si>
  <si>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</si>
  <si>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</si>
  <si>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</si>
  <si>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</si>
  <si>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</si>
  <si>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</si>
  <si>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</si>
  <si>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</si>
  <si>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</si>
  <si>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</si>
  <si>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</si>
  <si>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</si>
  <si>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</si>
  <si>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</si>
  <si>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</si>
  <si>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</si>
  <si>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</si>
  <si>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</si>
  <si>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</si>
  <si>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</si>
  <si>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</si>
  <si>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</si>
  <si>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</si>
  <si>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</si>
  <si>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</si>
  <si>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</si>
  <si>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</si>
  <si>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</si>
  <si>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</si>
  <si>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50% AEG Sch M - 940x</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</si>
  <si>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</si>
  <si>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</si>
  <si>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</si>
  <si>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</si>
  <si>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</si>
  <si>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</si>
  <si>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</si>
  <si>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</si>
  <si>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</si>
  <si>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</si>
  <si>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</si>
  <si>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</si>
  <si>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</si>
  <si>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320E</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</si>
  <si>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</si>
  <si>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</si>
  <si>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</si>
  <si>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</si>
  <si>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</si>
  <si>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</si>
  <si>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</si>
  <si>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</si>
  <si>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</si>
  <si>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</si>
  <si>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</si>
  <si>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</si>
  <si>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</si>
  <si>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</si>
  <si>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</si>
  <si>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</si>
  <si>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</si>
  <si>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</si>
  <si>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</si>
  <si>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</si>
  <si>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</si>
  <si>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</si>
  <si>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</si>
  <si>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</si>
  <si>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</si>
  <si>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</si>
  <si>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</si>
  <si>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</si>
  <si>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</si>
  <si>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</si>
  <si>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</si>
  <si>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</si>
  <si>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</si>
  <si>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</si>
  <si>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</si>
  <si>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</si>
  <si>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</si>
  <si>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</si>
  <si>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</si>
  <si>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</si>
  <si>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</si>
  <si>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</si>
  <si>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</si>
  <si>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</si>
  <si>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</si>
  <si>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</si>
  <si>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</si>
  <si>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</si>
  <si>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</si>
  <si>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</si>
  <si>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</si>
  <si>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</si>
  <si>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</si>
  <si>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</si>
  <si>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</si>
  <si>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</si>
  <si>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</si>
  <si>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</si>
  <si>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910 c/s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</si>
  <si>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</si>
  <si>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</si>
  <si>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</si>
  <si>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</si>
  <si>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</si>
  <si>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</si>
  <si>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</si>
  <si>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</si>
  <si>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</si>
  <si>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</si>
  <si>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</si>
  <si>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</si>
  <si>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</si>
  <si>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</si>
  <si>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</si>
  <si>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</si>
  <si>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</si>
  <si>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</si>
  <si>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</si>
  <si>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</si>
  <si>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</si>
  <si>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</si>
  <si>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</si>
  <si>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</si>
  <si>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</si>
  <si>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</si>
  <si>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</si>
  <si>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</si>
  <si>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</si>
  <si>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</si>
  <si>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</si>
  <si>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</si>
  <si>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</si>
  <si>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</si>
  <si>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</si>
  <si>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</si>
  <si>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</si>
  <si>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</si>
  <si>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</si>
  <si>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</si>
  <si>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</si>
  <si>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</si>
  <si>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</si>
  <si>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split to be determined</t>
  </si>
  <si>
    <t>blank for new items</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</si>
  <si>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</si>
  <si>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</si>
  <si>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</si>
  <si>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</si>
  <si>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</si>
  <si>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</si>
  <si>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</si>
  <si>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</si>
  <si>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</si>
  <si>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</si>
  <si>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</si>
  <si>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</si>
  <si>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</si>
  <si>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</si>
  <si>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</si>
  <si>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</si>
  <si>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</si>
  <si>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</si>
  <si>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</si>
  <si>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</si>
  <si>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</si>
  <si>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</si>
  <si>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</si>
  <si>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</si>
  <si>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</si>
  <si>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</si>
  <si>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</si>
  <si>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</si>
  <si>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</si>
  <si>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</si>
  <si>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</si>
  <si>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</si>
  <si>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</si>
  <si>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</si>
  <si>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</si>
  <si>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</si>
  <si>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</si>
  <si>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</si>
  <si>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</si>
  <si>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</si>
  <si>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</si>
  <si>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</si>
  <si>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</si>
  <si>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</si>
  <si>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</si>
  <si>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</si>
  <si>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</si>
  <si>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</si>
  <si>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</si>
  <si>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</si>
  <si>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</si>
  <si>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</si>
  <si>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</si>
  <si>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</si>
  <si>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</si>
  <si>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</si>
  <si>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</si>
  <si>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</si>
  <si>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</si>
  <si>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</si>
  <si>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</si>
  <si>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</si>
  <si>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</si>
  <si>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</si>
  <si>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</si>
  <si>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</si>
  <si>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</si>
  <si>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</si>
  <si>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</si>
  <si>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</si>
  <si>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</si>
  <si>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</si>
  <si>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</si>
  <si>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</si>
  <si>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</si>
  <si>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</si>
  <si>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</si>
  <si>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</si>
  <si>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</si>
  <si>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</si>
  <si>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</si>
  <si>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</si>
  <si>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</si>
  <si>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</si>
  <si>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</si>
  <si>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</si>
  <si>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</si>
  <si>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</si>
  <si>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</si>
  <si>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</si>
  <si>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</si>
  <si>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</si>
  <si>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</si>
  <si>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</si>
  <si>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</si>
  <si>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</si>
  <si>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</si>
  <si>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</si>
  <si>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</si>
  <si>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</si>
  <si>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</si>
  <si>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</si>
  <si>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</si>
  <si>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</si>
  <si>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</si>
  <si>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</si>
  <si>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</si>
  <si>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</si>
  <si>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</si>
  <si>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</si>
  <si>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</si>
  <si>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</si>
  <si>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</si>
  <si>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</si>
  <si>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</si>
  <si>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</si>
  <si>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</si>
  <si>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</si>
  <si>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</si>
  <si>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</si>
  <si>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</si>
  <si>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</si>
  <si>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</si>
  <si>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</si>
  <si>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</si>
  <si>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</si>
  <si>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</si>
  <si>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</si>
  <si>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</si>
  <si>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</si>
  <si>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</si>
  <si>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</si>
  <si>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</si>
  <si>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</si>
  <si>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</si>
  <si>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</si>
  <si>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</si>
  <si>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</si>
  <si>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</si>
  <si>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</si>
  <si>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</si>
  <si>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</si>
  <si>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</si>
  <si>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</si>
  <si>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</si>
  <si>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</si>
  <si>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</si>
  <si>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</si>
  <si>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</si>
  <si>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</si>
  <si>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</si>
  <si>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</si>
  <si>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</si>
  <si>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</si>
  <si>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</si>
  <si>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</si>
  <si>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</si>
  <si>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</si>
  <si>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</si>
  <si>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</si>
  <si>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</si>
  <si>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</si>
  <si>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</si>
  <si>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</si>
  <si>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</si>
  <si>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</si>
  <si>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</si>
  <si>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</si>
  <si>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</si>
  <si>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</si>
  <si>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</si>
  <si>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</si>
  <si>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</si>
  <si>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</si>
  <si>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</si>
  <si>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</si>
  <si>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</si>
  <si>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</si>
  <si>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</si>
  <si>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</si>
  <si>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</si>
  <si>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</si>
  <si>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</si>
  <si>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</si>
  <si>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</si>
  <si>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</si>
  <si>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</si>
  <si>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</si>
  <si>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50% 320E</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</si>
  <si>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</si>
  <si>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</si>
  <si>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</si>
  <si>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</si>
  <si>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</si>
  <si>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</si>
  <si>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</si>
  <si>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</si>
  <si>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</si>
  <si>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</si>
  <si>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</si>
  <si>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</si>
  <si>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</si>
  <si>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</si>
  <si>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</si>
  <si>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</si>
  <si>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</si>
  <si>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</si>
  <si>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</si>
  <si>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</si>
  <si>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</si>
  <si>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</si>
  <si>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</si>
  <si>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</si>
  <si>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</si>
  <si>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</si>
  <si>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</si>
  <si>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</si>
  <si>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Angela Farber</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</si>
  <si>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</si>
  <si>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</si>
  <si>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</si>
  <si>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</si>
  <si>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</si>
  <si>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</si>
  <si>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</si>
  <si>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</si>
  <si>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</si>
  <si>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</si>
  <si>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</si>
  <si>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</si>
  <si>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</si>
  <si>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</si>
  <si>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</si>
  <si>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</si>
  <si>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</si>
  <si>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</si>
  <si>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</si>
  <si>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</si>
  <si>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</si>
  <si>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</si>
  <si>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</si>
  <si>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</si>
  <si>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</si>
  <si>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</si>
  <si>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</si>
  <si>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</si>
  <si>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</si>
  <si>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</si>
  <si>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</si>
  <si>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</si>
  <si>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</si>
  <si>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</si>
  <si>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</si>
  <si>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</si>
  <si>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</si>
  <si>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</si>
  <si>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</si>
  <si>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</si>
  <si>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</si>
  <si>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</si>
  <si>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</si>
  <si>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</si>
  <si>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</si>
  <si>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</si>
  <si>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</si>
  <si>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</si>
  <si>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</si>
  <si>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</si>
  <si>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</si>
  <si>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</si>
  <si>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</si>
  <si>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</si>
  <si>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</si>
  <si>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</si>
  <si>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</si>
  <si>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</si>
  <si>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</si>
  <si>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</si>
  <si>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</si>
  <si>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</si>
  <si>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</si>
  <si>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</si>
  <si>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</si>
  <si>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</si>
  <si>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Robin Wiseman</t>
  </si>
  <si>
    <t>MILLS/KWH</t>
  </si>
  <si>
    <t>ROCKPORT PLANT UNIT NO. 2</t>
  </si>
  <si>
    <t xml:space="preserve">  - Accumulated Deferred FIT</t>
  </si>
  <si>
    <t xml:space="preserve"> 11</t>
  </si>
  <si>
    <t>50% AEG Sch M - 911v</t>
  </si>
  <si>
    <t>50% 910F-FIN48</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</si>
  <si>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</si>
  <si>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</si>
  <si>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</si>
  <si>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</si>
  <si>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</si>
  <si>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</si>
  <si>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</si>
  <si>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</si>
  <si>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</si>
  <si>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</si>
  <si>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</si>
  <si>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</si>
  <si>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</si>
  <si>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</si>
  <si>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</si>
  <si>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</si>
  <si>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</si>
  <si>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</si>
  <si>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</si>
  <si>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</si>
  <si>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</si>
  <si>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</si>
  <si>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</si>
  <si>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</si>
  <si>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</si>
  <si>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</si>
  <si>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</si>
  <si>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</si>
  <si>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</si>
  <si>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</si>
  <si>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</si>
  <si>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</si>
  <si>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</si>
  <si>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</si>
  <si>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</si>
  <si>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</si>
  <si>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</si>
  <si>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</si>
  <si>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</si>
  <si>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</si>
  <si>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</si>
  <si>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</si>
  <si>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</si>
  <si>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</si>
  <si>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</si>
  <si>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</si>
  <si>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</si>
  <si>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</si>
  <si>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</si>
  <si>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</si>
  <si>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</si>
  <si>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</si>
  <si>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</si>
  <si>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</si>
  <si>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</si>
  <si>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</si>
  <si>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</si>
  <si>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</si>
  <si>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</si>
  <si>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</si>
  <si>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</si>
  <si>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</si>
  <si>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</si>
  <si>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</si>
  <si>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</si>
  <si>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</si>
  <si>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</si>
  <si>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</si>
  <si>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</si>
  <si>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</si>
  <si>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</si>
  <si>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</si>
  <si>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</si>
  <si>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</si>
  <si>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</si>
  <si>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</si>
  <si>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</si>
  <si>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</si>
  <si>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</si>
  <si>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</si>
  <si>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</si>
  <si>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</si>
  <si>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</si>
  <si>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</si>
  <si>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</si>
  <si>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</si>
  <si>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</si>
  <si>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</si>
  <si>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</si>
  <si>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</si>
  <si>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</si>
  <si>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</si>
  <si>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</si>
  <si>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</si>
  <si>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</si>
  <si>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</si>
  <si>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</si>
  <si>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</si>
  <si>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</si>
  <si>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</si>
  <si>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</si>
  <si>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</si>
  <si>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</si>
  <si>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</si>
  <si>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</si>
  <si>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</si>
  <si>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</si>
  <si>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</si>
  <si>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</si>
  <si>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</si>
  <si>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</si>
  <si>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</si>
  <si>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</si>
  <si>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</si>
  <si>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</si>
  <si>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</si>
  <si>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</si>
  <si>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</si>
  <si>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</si>
  <si>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</si>
  <si>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</si>
  <si>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</si>
  <si>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</si>
  <si>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</si>
  <si>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</si>
  <si>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</si>
  <si>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</si>
  <si>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</si>
  <si>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</si>
  <si>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</si>
  <si>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</si>
  <si>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</si>
  <si>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</si>
  <si>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</si>
  <si>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</si>
  <si>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</si>
  <si>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</si>
  <si>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</si>
  <si>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</si>
  <si>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</si>
  <si>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</si>
  <si>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</si>
  <si>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</si>
  <si>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</si>
  <si>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</si>
  <si>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</si>
  <si>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</si>
  <si>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</si>
  <si>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</si>
  <si>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</si>
  <si>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</si>
  <si>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</si>
  <si>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</si>
  <si>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</si>
  <si>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</si>
  <si>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</si>
  <si>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</si>
  <si>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</si>
  <si>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</si>
  <si>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</si>
  <si>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</si>
  <si>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</si>
  <si>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</si>
  <si>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</si>
  <si>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</si>
  <si>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</si>
  <si>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</si>
  <si>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</si>
  <si>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</si>
  <si>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</si>
  <si>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</si>
  <si>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</si>
  <si>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</si>
  <si>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</si>
  <si>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</si>
  <si>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</si>
  <si>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</si>
  <si>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</si>
  <si>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</si>
  <si>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</si>
  <si>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</si>
  <si>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</si>
  <si>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</si>
  <si>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</si>
  <si>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</si>
  <si>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</si>
  <si>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</si>
  <si>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</si>
  <si>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</si>
  <si>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</si>
  <si>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</si>
  <si>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</si>
  <si>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</si>
  <si>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</si>
  <si>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</si>
  <si>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</si>
  <si>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</si>
  <si>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</si>
  <si>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</si>
  <si>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</si>
  <si>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</si>
  <si>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</si>
  <si>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</si>
  <si>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</si>
  <si>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</si>
  <si>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</si>
  <si>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</si>
  <si>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</si>
  <si>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</si>
  <si>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</si>
  <si>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</si>
  <si>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</si>
  <si>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</si>
  <si>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</si>
  <si>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</si>
  <si>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</si>
  <si>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</si>
  <si>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</si>
  <si>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</si>
  <si>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</si>
  <si>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</si>
  <si>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t>RBS Bank Loan</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</si>
  <si>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</si>
  <si>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</si>
  <si>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</si>
  <si>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</si>
  <si>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</si>
  <si>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</si>
  <si>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</si>
  <si>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</si>
  <si>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</si>
  <si>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</si>
  <si>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</si>
  <si>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</si>
  <si>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</si>
  <si>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</si>
  <si>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</si>
  <si>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</si>
  <si>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</si>
  <si>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</si>
  <si>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</si>
  <si>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</si>
  <si>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</si>
  <si>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</si>
  <si>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</si>
  <si>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</si>
  <si>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</si>
  <si>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</si>
  <si>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</si>
  <si>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</si>
  <si>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</si>
  <si>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</si>
  <si>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</si>
  <si>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</si>
  <si>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</si>
  <si>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</si>
  <si>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</si>
  <si>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</si>
  <si>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</si>
  <si>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</si>
  <si>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</si>
  <si>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</si>
  <si>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</si>
  <si>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</si>
  <si>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</si>
  <si>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</si>
  <si>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</si>
  <si>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</si>
  <si>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</si>
  <si>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</si>
  <si>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</si>
  <si>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</si>
  <si>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</si>
  <si>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</si>
  <si>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</si>
  <si>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</si>
  <si>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</si>
  <si>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</si>
  <si>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</si>
  <si>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</si>
  <si>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</si>
  <si>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</si>
  <si>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</si>
  <si>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</si>
  <si>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</si>
  <si>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</si>
  <si>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</si>
  <si>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</si>
  <si>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</si>
  <si>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</si>
  <si>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</si>
  <si>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</si>
  <si>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</si>
  <si>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</si>
  <si>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</si>
  <si>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</si>
  <si>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</si>
  <si>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</si>
  <si>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</si>
  <si>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</si>
  <si>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</si>
  <si>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</si>
  <si>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</si>
  <si>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</si>
  <si>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</si>
  <si>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</si>
  <si>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</si>
  <si>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</si>
  <si>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</si>
  <si>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</si>
  <si>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</si>
  <si>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</si>
  <si>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</si>
  <si>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</si>
  <si>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</si>
  <si>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</si>
  <si>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</si>
  <si>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</si>
  <si>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</si>
  <si>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</si>
  <si>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</si>
  <si>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</si>
  <si>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</si>
  <si>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</si>
  <si>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</si>
  <si>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</si>
  <si>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</si>
  <si>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</si>
  <si>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</si>
  <si>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</si>
  <si>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</si>
  <si>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</si>
  <si>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</si>
  <si>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</si>
  <si>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</si>
  <si>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</si>
  <si>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</si>
  <si>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Tax Report Pre tax income</t>
  </si>
  <si>
    <t>change this back to the formulas, this month is kind of skewed due to all the adjustmemts</t>
  </si>
  <si>
    <t>Sodium Bicarbonate</t>
  </si>
  <si>
    <t>910 N 50%</t>
  </si>
  <si>
    <t>910 n 50%</t>
  </si>
  <si>
    <t>per last filing, we now include ARO</t>
  </si>
  <si>
    <t>2300001 / 2300002 - Asset Retirement Obligations</t>
  </si>
  <si>
    <t>last year</t>
  </si>
  <si>
    <t>Variance</t>
  </si>
  <si>
    <t>50% AEG Sch M - 615b</t>
  </si>
  <si>
    <t xml:space="preserve">     make sure to get both accounts</t>
  </si>
  <si>
    <t>50% AEG Sch M - 910B h s a</t>
  </si>
  <si>
    <t>295 a/c</t>
  </si>
  <si>
    <t>50% (910)</t>
  </si>
  <si>
    <t>2016</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</si>
</sst>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s>
  <fonts count="90">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sz val="9"/>
      <name val="Tahoma"/>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12"/>
      <color indexed="56"/>
      <name val="Arial"/>
      <family val="2"/>
    </font>
    <font>
      <u val="singleAccounting"/>
      <sz val="10"/>
      <name val="Arial"/>
      <family val="2"/>
    </font>
    <font>
      <sz val="5"/>
      <name val="Arial"/>
      <family val="2"/>
    </font>
    <font>
      <sz val="10"/>
      <color indexed="5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3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3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5" fillId="0" borderId="0" applyNumberFormat="0" applyFill="0" applyBorder="0" applyAlignment="0" applyProtection="0"/>
    <xf numFmtId="0" fontId="86" fillId="0" borderId="10" applyNumberFormat="0" applyFill="0" applyAlignment="0" applyProtection="0"/>
    <xf numFmtId="0" fontId="87" fillId="0" borderId="0" applyNumberFormat="0" applyFill="0" applyBorder="0" applyAlignment="0" applyProtection="0"/>
  </cellStyleXfs>
  <cellXfs count="403">
    <xf numFmtId="0" fontId="0" fillId="0" borderId="0" xfId="0" applyAlignment="1">
      <alignment/>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37" fontId="6" fillId="0" borderId="0" xfId="0" applyNumberFormat="1" applyFont="1" applyFill="1" applyBorder="1" applyAlignment="1" applyProtection="1">
      <alignment horizontal="right"/>
      <protection/>
    </xf>
    <xf numFmtId="43" fontId="1" fillId="0" borderId="0" xfId="42" applyFont="1" applyFill="1" applyAlignment="1" applyProtection="1">
      <alignment horizontal="center"/>
      <protection/>
    </xf>
    <xf numFmtId="0" fontId="40" fillId="0" borderId="0" xfId="0" applyFont="1" applyFill="1" applyAlignment="1" applyProtection="1">
      <alignment horizontal="center"/>
      <protection/>
    </xf>
    <xf numFmtId="0" fontId="43"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40"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8"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23" xfId="0" applyFill="1" applyBorder="1" applyAlignment="1">
      <alignment/>
    </xf>
    <xf numFmtId="0" fontId="0" fillId="0" borderId="23" xfId="0" applyFill="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1" fillId="0" borderId="26" xfId="42" applyFont="1" applyFill="1" applyBorder="1" applyAlignment="1" applyProtection="1">
      <alignment/>
      <protection/>
    </xf>
    <xf numFmtId="43" fontId="41"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0" fontId="41" fillId="0" borderId="9" xfId="0" applyFont="1" applyFill="1" applyBorder="1" applyAlignment="1" applyProtection="1">
      <alignment/>
      <protection/>
    </xf>
    <xf numFmtId="37" fontId="53" fillId="0" borderId="0" xfId="0" applyNumberFormat="1" applyFont="1" applyFill="1" applyBorder="1" applyAlignment="1">
      <alignment/>
    </xf>
    <xf numFmtId="37" fontId="53" fillId="0" borderId="27" xfId="0" applyNumberFormat="1" applyFont="1" applyFill="1" applyBorder="1" applyAlignment="1">
      <alignment/>
    </xf>
    <xf numFmtId="173" fontId="1" fillId="0" borderId="0" xfId="0" applyNumberFormat="1" applyFont="1" applyFill="1" applyAlignment="1" applyProtection="1">
      <alignment horizontal="center"/>
      <protection/>
    </xf>
    <xf numFmtId="0" fontId="37"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1"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7" fillId="0" borderId="0" xfId="0" applyFont="1" applyFill="1" applyBorder="1" applyAlignment="1" applyProtection="1">
      <alignment horizontal="left"/>
      <protection/>
    </xf>
    <xf numFmtId="0" fontId="0" fillId="0" borderId="0" xfId="0" applyFont="1" applyFill="1" applyAlignment="1" applyProtection="1">
      <alignment wrapText="1"/>
      <protection/>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3"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40"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37" fontId="0" fillId="0" borderId="0" xfId="0" applyNumberFormat="1" applyFill="1" applyAlignment="1">
      <alignment/>
    </xf>
    <xf numFmtId="181" fontId="0" fillId="0" borderId="0" xfId="42" applyNumberFormat="1" applyFont="1" applyFill="1" applyAlignment="1">
      <alignment/>
    </xf>
    <xf numFmtId="0" fontId="10" fillId="0" borderId="0" xfId="0" applyFont="1" applyFill="1" applyAlignment="1" applyProtection="1">
      <alignment horizontal="center"/>
      <protection/>
    </xf>
    <xf numFmtId="0" fontId="19" fillId="0" borderId="0" xfId="0" applyFont="1" applyFill="1" applyAlignment="1" applyProtection="1">
      <alignment/>
      <protection/>
    </xf>
    <xf numFmtId="0" fontId="14" fillId="0" borderId="0" xfId="0" applyFont="1" applyFill="1" applyAlignment="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196"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4"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xf numFmtId="0" fontId="3" fillId="0" borderId="0" xfId="0" applyFont="1" applyFill="1" applyAlignment="1" applyProtection="1">
      <alignment horizontal="centerContinuous"/>
      <protection/>
    </xf>
    <xf numFmtId="0" fontId="0" fillId="0" borderId="0" xfId="0" applyFont="1" applyFill="1" applyAlignment="1" applyProtection="1">
      <alignment horizontal="centerContinuous"/>
      <protection/>
    </xf>
    <xf numFmtId="0" fontId="1" fillId="0" borderId="0" xfId="0" applyFont="1" applyFill="1" applyAlignment="1" applyProtection="1">
      <alignment horizontal="centerContinuous"/>
      <protection/>
    </xf>
    <xf numFmtId="0" fontId="11" fillId="0" borderId="0" xfId="0" applyFont="1" applyFill="1" applyAlignment="1" applyProtection="1">
      <alignment horizontal="left"/>
      <protection/>
    </xf>
    <xf numFmtId="173" fontId="1" fillId="0" borderId="0" xfId="0" applyNumberFormat="1" applyFont="1" applyFill="1" applyAlignment="1" applyProtection="1">
      <alignment/>
      <protection/>
    </xf>
    <xf numFmtId="171" fontId="1" fillId="0" borderId="0" xfId="0" applyNumberFormat="1" applyFont="1" applyFill="1" applyAlignment="1" applyProtection="1">
      <alignment horizontal="right"/>
      <protection/>
    </xf>
    <xf numFmtId="176" fontId="1" fillId="0" borderId="0" xfId="0" applyNumberFormat="1" applyFont="1" applyFill="1" applyAlignment="1" applyProtection="1">
      <alignmen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187" fontId="1" fillId="0" borderId="0" xfId="0" applyNumberFormat="1" applyFont="1" applyFill="1" applyAlignment="1" applyProtection="1">
      <alignment/>
      <protection/>
    </xf>
    <xf numFmtId="39" fontId="7" fillId="0" borderId="0" xfId="0" applyNumberFormat="1" applyFont="1" applyFill="1" applyAlignment="1" applyProtection="1">
      <alignment/>
      <protection/>
    </xf>
    <xf numFmtId="167" fontId="6" fillId="0" borderId="0" xfId="0" applyNumberFormat="1" applyFont="1" applyFill="1" applyAlignment="1" applyProtection="1">
      <alignment/>
      <protection/>
    </xf>
    <xf numFmtId="197" fontId="1" fillId="0" borderId="0" xfId="42" applyNumberFormat="1" applyFont="1" applyFill="1" applyAlignment="1" applyProtection="1">
      <alignment horizontal="right"/>
      <protection/>
    </xf>
    <xf numFmtId="0" fontId="9" fillId="0" borderId="0" xfId="0" applyFont="1" applyFill="1" applyAlignment="1" applyProtection="1">
      <alignment horizontal="centerContinuous"/>
      <protection/>
    </xf>
    <xf numFmtId="0" fontId="3" fillId="0" borderId="0" xfId="0" applyFont="1" applyFill="1" applyAlignment="1" applyProtection="1">
      <alignment horizontal="fill"/>
      <protection/>
    </xf>
    <xf numFmtId="0" fontId="7" fillId="0" borderId="0" xfId="0" applyFont="1" applyFill="1" applyAlignment="1" applyProtection="1">
      <alignment horizontal="left"/>
      <protection/>
    </xf>
    <xf numFmtId="0" fontId="42"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98" fontId="1" fillId="0" borderId="0" xfId="42"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7" fillId="0" borderId="0" xfId="0" applyFont="1" applyFill="1" applyAlignment="1" applyProtection="1">
      <alignment horizontal="left"/>
      <protection/>
    </xf>
    <xf numFmtId="173" fontId="37" fillId="0" borderId="0" xfId="0" applyNumberFormat="1" applyFont="1" applyFill="1" applyAlignment="1" applyProtection="1">
      <alignment horizontal="left"/>
      <protection/>
    </xf>
    <xf numFmtId="37" fontId="37" fillId="0" borderId="0" xfId="0" applyNumberFormat="1" applyFont="1" applyFill="1" applyBorder="1" applyAlignment="1" applyProtection="1">
      <alignment horizontal="left"/>
      <protection/>
    </xf>
    <xf numFmtId="37" fontId="38" fillId="0" borderId="0" xfId="0" applyNumberFormat="1" applyFont="1" applyFill="1" applyAlignment="1" applyProtection="1">
      <alignment/>
      <protection/>
    </xf>
    <xf numFmtId="0" fontId="38" fillId="0" borderId="0" xfId="0" applyFont="1" applyFill="1" applyAlignment="1" applyProtection="1">
      <alignment/>
      <protection/>
    </xf>
    <xf numFmtId="0" fontId="38" fillId="0" borderId="0" xfId="0" applyFont="1" applyFill="1" applyBorder="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37" fontId="8" fillId="0" borderId="0" xfId="0" applyNumberFormat="1" applyFont="1" applyFill="1" applyAlignment="1" applyProtection="1">
      <alignment/>
      <protection/>
    </xf>
    <xf numFmtId="165" fontId="47"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3"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40" fillId="0" borderId="0" xfId="0" applyFont="1" applyFill="1" applyAlignment="1" applyProtection="1">
      <alignment horizontal="right"/>
      <protection/>
    </xf>
    <xf numFmtId="0" fontId="45" fillId="0" borderId="0" xfId="0" applyFont="1" applyFill="1" applyAlignment="1" applyProtection="1">
      <alignment horizontal="center"/>
      <protection/>
    </xf>
    <xf numFmtId="0" fontId="9" fillId="0" borderId="0" xfId="0" applyFont="1" applyFill="1" applyAlignment="1" applyProtection="1">
      <alignment horizontal="center"/>
      <protection/>
    </xf>
    <xf numFmtId="43" fontId="10" fillId="0" borderId="0" xfId="42" applyFont="1" applyFill="1" applyAlignment="1" applyProtection="1">
      <alignment horizontal="center"/>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65" fontId="10" fillId="0" borderId="0" xfId="0" applyNumberFormat="1" applyFont="1" applyFill="1" applyAlignment="1" applyProtection="1">
      <alignment horizontal="center"/>
      <protection/>
    </xf>
    <xf numFmtId="43" fontId="0" fillId="0" borderId="0" xfId="42" applyFont="1" applyFill="1" applyAlignment="1" applyProtection="1">
      <alignment/>
      <protection/>
    </xf>
    <xf numFmtId="10" fontId="1" fillId="0" borderId="0" xfId="0" applyNumberFormat="1" applyFont="1" applyFill="1" applyAlignment="1" applyProtection="1">
      <alignment horizontal="center"/>
      <protection/>
    </xf>
    <xf numFmtId="185" fontId="1" fillId="0" borderId="0" xfId="0" applyNumberFormat="1" applyFont="1" applyFill="1" applyAlignment="1" applyProtection="1">
      <alignment/>
      <protection/>
    </xf>
    <xf numFmtId="43" fontId="10"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9" fillId="0" borderId="0" xfId="42" applyFont="1" applyFill="1" applyAlignment="1" applyProtection="1">
      <alignment/>
      <protection/>
    </xf>
    <xf numFmtId="43" fontId="3"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43" fontId="1" fillId="0" borderId="0" xfId="42" applyFont="1" applyFill="1" applyAlignment="1" applyProtection="1">
      <alignment horizontal="lef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7" fillId="0" borderId="0" xfId="42" applyFont="1" applyFill="1" applyAlignment="1" applyProtection="1">
      <alignment/>
      <protection/>
    </xf>
    <xf numFmtId="43" fontId="10" fillId="0" borderId="0" xfId="42" applyFont="1" applyFill="1" applyAlignment="1" applyProtection="1">
      <alignment horizontal="lef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10" fillId="0" borderId="0" xfId="42" applyFont="1" applyFill="1" applyBorder="1" applyAlignment="1" applyProtection="1">
      <alignment/>
      <protection/>
    </xf>
    <xf numFmtId="43" fontId="1" fillId="0" borderId="0" xfId="42" applyFont="1" applyFill="1" applyAlignment="1" applyProtection="1">
      <alignment horizontal="fill"/>
      <protection/>
    </xf>
    <xf numFmtId="43" fontId="4" fillId="0" borderId="0" xfId="42" applyFont="1" applyFill="1" applyAlignment="1" applyProtection="1">
      <alignment horizontal="center"/>
      <protection/>
    </xf>
    <xf numFmtId="0" fontId="0"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8" fillId="0" borderId="0" xfId="0" applyFont="1" applyFill="1" applyAlignment="1" applyProtection="1">
      <alignment/>
      <protection/>
    </xf>
    <xf numFmtId="43" fontId="1" fillId="0" borderId="0" xfId="42" applyFont="1" applyFill="1" applyAlignment="1">
      <alignment/>
    </xf>
    <xf numFmtId="43" fontId="39"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4" fillId="0" borderId="0" xfId="42" applyFont="1" applyFill="1" applyAlignment="1" applyProtection="1">
      <alignment horizontal="right"/>
      <protection/>
    </xf>
    <xf numFmtId="198" fontId="1" fillId="0" borderId="0" xfId="0" applyNumberFormat="1" applyFont="1" applyFill="1" applyAlignment="1" applyProtection="1">
      <alignment/>
      <protection/>
    </xf>
    <xf numFmtId="43" fontId="50" fillId="0" borderId="0" xfId="42" applyFont="1" applyFill="1" applyAlignment="1" applyProtection="1">
      <alignment/>
      <protection/>
    </xf>
    <xf numFmtId="0" fontId="10" fillId="0" borderId="0" xfId="0" applyFont="1" applyFill="1" applyAlignment="1" applyProtection="1">
      <alignment horizontal="left"/>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0" fontId="0" fillId="0" borderId="15" xfId="0" applyFill="1" applyBorder="1" applyAlignment="1">
      <alignment horizontal="center"/>
    </xf>
    <xf numFmtId="0" fontId="0" fillId="0" borderId="28" xfId="0" applyFill="1" applyBorder="1" applyAlignment="1">
      <alignment/>
    </xf>
    <xf numFmtId="0" fontId="0" fillId="0" borderId="29" xfId="0" applyFill="1" applyBorder="1" applyAlignment="1">
      <alignment horizontal="center"/>
    </xf>
    <xf numFmtId="0" fontId="0" fillId="0" borderId="29" xfId="0" applyFill="1" applyBorder="1" applyAlignment="1">
      <alignment/>
    </xf>
    <xf numFmtId="0" fontId="0" fillId="0" borderId="28" xfId="0" applyFill="1" applyBorder="1" applyAlignment="1">
      <alignment horizontal="right"/>
    </xf>
    <xf numFmtId="43" fontId="0" fillId="0" borderId="29" xfId="42" applyFont="1" applyFill="1" applyBorder="1" applyAlignment="1">
      <alignment horizontal="center"/>
    </xf>
    <xf numFmtId="43" fontId="0" fillId="0" borderId="29" xfId="42" applyFont="1" applyFill="1" applyBorder="1" applyAlignment="1">
      <alignment/>
    </xf>
    <xf numFmtId="43" fontId="51" fillId="0" borderId="29"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29"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0" xfId="0" applyNumberFormat="1" applyFill="1" applyBorder="1" applyAlignment="1">
      <alignment/>
    </xf>
    <xf numFmtId="0" fontId="0" fillId="0" borderId="31" xfId="0" applyFill="1" applyBorder="1" applyAlignment="1">
      <alignment/>
    </xf>
    <xf numFmtId="0" fontId="0" fillId="0" borderId="32" xfId="0" applyFill="1" applyBorder="1" applyAlignment="1">
      <alignment/>
    </xf>
    <xf numFmtId="0" fontId="0" fillId="0" borderId="32" xfId="0" applyFont="1" applyFill="1" applyBorder="1" applyAlignment="1">
      <alignment/>
    </xf>
    <xf numFmtId="43" fontId="88" fillId="0" borderId="32" xfId="42" applyFont="1"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5" xfId="0" applyFill="1" applyBorder="1" applyAlignment="1">
      <alignment/>
    </xf>
    <xf numFmtId="43" fontId="0" fillId="0" borderId="0" xfId="42" applyFont="1" applyFill="1" applyBorder="1" applyAlignment="1">
      <alignment horizontal="center"/>
    </xf>
    <xf numFmtId="181" fontId="52" fillId="0" borderId="35" xfId="42" applyNumberFormat="1" applyFont="1" applyFill="1" applyBorder="1" applyAlignment="1">
      <alignment/>
    </xf>
    <xf numFmtId="43" fontId="0" fillId="0" borderId="0" xfId="42" applyFont="1" applyFill="1" applyAlignment="1">
      <alignment/>
    </xf>
    <xf numFmtId="0" fontId="39" fillId="0" borderId="0" xfId="0" applyFont="1" applyFill="1" applyAlignment="1">
      <alignment/>
    </xf>
    <xf numFmtId="9" fontId="0" fillId="0" borderId="0" xfId="59" applyFont="1" applyFill="1" applyBorder="1" applyAlignment="1">
      <alignment/>
    </xf>
    <xf numFmtId="9" fontId="0" fillId="0" borderId="0" xfId="59" applyFont="1" applyFill="1" applyAlignment="1">
      <alignment/>
    </xf>
    <xf numFmtId="181" fontId="0" fillId="0" borderId="0" xfId="42" applyNumberFormat="1" applyFont="1" applyFill="1" applyBorder="1" applyAlignment="1">
      <alignment/>
    </xf>
    <xf numFmtId="181" fontId="39"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6" xfId="0" applyFill="1" applyBorder="1" applyAlignment="1">
      <alignment/>
    </xf>
    <xf numFmtId="0" fontId="0" fillId="0" borderId="27" xfId="0" applyFill="1" applyBorder="1" applyAlignment="1">
      <alignment/>
    </xf>
    <xf numFmtId="0" fontId="0" fillId="0" borderId="37" xfId="0" applyFill="1" applyBorder="1" applyAlignment="1">
      <alignment/>
    </xf>
    <xf numFmtId="43" fontId="53" fillId="0" borderId="0" xfId="0" applyNumberFormat="1" applyFont="1" applyFill="1" applyBorder="1" applyAlignment="1">
      <alignment/>
    </xf>
    <xf numFmtId="0" fontId="0" fillId="0" borderId="34" xfId="0" applyFill="1" applyBorder="1" applyAlignment="1">
      <alignment horizontal="right"/>
    </xf>
    <xf numFmtId="0" fontId="0" fillId="0" borderId="36" xfId="0" applyFill="1" applyBorder="1" applyAlignment="1">
      <alignment horizontal="right"/>
    </xf>
    <xf numFmtId="181" fontId="0" fillId="0" borderId="11" xfId="42" applyNumberFormat="1" applyFont="1" applyFill="1" applyBorder="1" applyAlignment="1">
      <alignment/>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41" fillId="0" borderId="0" xfId="0" applyFont="1" applyFill="1" applyAlignment="1" applyProtection="1">
      <alignment horizontal="center"/>
      <protection/>
    </xf>
    <xf numFmtId="0" fontId="41" fillId="0" borderId="0" xfId="0" applyFont="1" applyFill="1" applyAlignment="1" applyProtection="1">
      <alignment/>
      <protection/>
    </xf>
    <xf numFmtId="0" fontId="7" fillId="0" borderId="0" xfId="0" applyFont="1" applyFill="1" applyAlignment="1" applyProtection="1">
      <alignment horizontal="fill"/>
      <protection/>
    </xf>
    <xf numFmtId="181" fontId="1" fillId="0" borderId="0" xfId="0" applyNumberFormat="1" applyFont="1" applyFill="1" applyAlignment="1" applyProtection="1">
      <alignment horizontal="left"/>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0" fontId="1" fillId="0" borderId="38" xfId="0" applyFont="1" applyFill="1" applyBorder="1" applyAlignment="1" applyProtection="1">
      <alignment horizontal="center"/>
      <protection/>
    </xf>
    <xf numFmtId="0" fontId="1" fillId="0" borderId="39" xfId="0" applyFont="1" applyFill="1" applyBorder="1" applyAlignment="1" applyProtection="1">
      <alignment horizontal="center"/>
      <protection/>
    </xf>
    <xf numFmtId="0" fontId="1" fillId="0" borderId="38" xfId="0" applyFont="1" applyFill="1" applyBorder="1" applyAlignment="1" applyProtection="1">
      <alignment/>
      <protection/>
    </xf>
    <xf numFmtId="0" fontId="3" fillId="0" borderId="0" xfId="0" applyFont="1" applyFill="1" applyAlignment="1">
      <alignment horizontal="center"/>
    </xf>
    <xf numFmtId="0" fontId="39" fillId="0" borderId="0" xfId="0" applyFont="1" applyFill="1" applyAlignment="1">
      <alignment wrapText="1"/>
    </xf>
    <xf numFmtId="0" fontId="0" fillId="0" borderId="0" xfId="0" applyFill="1" applyAlignment="1">
      <alignment/>
    </xf>
    <xf numFmtId="0" fontId="0" fillId="0" borderId="0" xfId="0" applyFill="1" applyAlignment="1">
      <alignment wrapText="1"/>
    </xf>
    <xf numFmtId="0" fontId="0" fillId="0" borderId="0" xfId="0" applyFill="1" applyBorder="1" applyAlignment="1">
      <alignment wrapText="1"/>
    </xf>
    <xf numFmtId="0" fontId="39" fillId="0" borderId="0" xfId="0" applyFont="1" applyFill="1" applyAlignment="1">
      <alignment horizontal="center" wrapText="1"/>
    </xf>
    <xf numFmtId="0" fontId="3" fillId="0" borderId="11" xfId="0" applyFont="1" applyFill="1" applyBorder="1" applyAlignment="1">
      <alignment horizontal="center"/>
    </xf>
    <xf numFmtId="0" fontId="39" fillId="0" borderId="23" xfId="0" applyFont="1" applyFill="1" applyBorder="1" applyAlignment="1">
      <alignment horizontal="center" wrapText="1"/>
    </xf>
    <xf numFmtId="14" fontId="0" fillId="0" borderId="23" xfId="0" applyNumberFormat="1" applyFill="1" applyBorder="1" applyAlignment="1">
      <alignment/>
    </xf>
    <xf numFmtId="14" fontId="0" fillId="0" borderId="23" xfId="0" applyNumberFormat="1" applyFill="1" applyBorder="1" applyAlignment="1">
      <alignment wrapText="1"/>
    </xf>
    <xf numFmtId="0" fontId="30" fillId="0" borderId="23" xfId="53" applyFont="1" applyFill="1" applyBorder="1" applyAlignment="1" applyProtection="1">
      <alignment wrapText="1"/>
      <protection/>
    </xf>
    <xf numFmtId="14" fontId="0" fillId="0" borderId="23" xfId="0" applyNumberFormat="1" applyFill="1" applyBorder="1" applyAlignment="1">
      <alignment horizontal="center"/>
    </xf>
    <xf numFmtId="0" fontId="39" fillId="0" borderId="23" xfId="0" applyFont="1" applyFill="1" applyBorder="1" applyAlignment="1">
      <alignment/>
    </xf>
    <xf numFmtId="17" fontId="0" fillId="0" borderId="23" xfId="0" applyNumberFormat="1" applyFill="1" applyBorder="1" applyAlignment="1">
      <alignment/>
    </xf>
    <xf numFmtId="0" fontId="0" fillId="0" borderId="0" xfId="0" applyFont="1" applyFill="1" applyAlignment="1">
      <alignment/>
    </xf>
    <xf numFmtId="0" fontId="0" fillId="0" borderId="23" xfId="0" applyFont="1" applyFill="1" applyBorder="1" applyAlignment="1">
      <alignment/>
    </xf>
    <xf numFmtId="0" fontId="0" fillId="0" borderId="23" xfId="0" applyFont="1" applyFill="1" applyBorder="1" applyAlignment="1">
      <alignment wrapText="1"/>
    </xf>
    <xf numFmtId="0" fontId="3" fillId="0" borderId="0" xfId="0" applyFont="1" applyFill="1" applyAlignment="1">
      <alignment/>
    </xf>
    <xf numFmtId="0" fontId="0" fillId="0" borderId="0" xfId="0" applyFont="1" applyFill="1" applyAlignment="1" applyProtection="1">
      <alignment wrapText="1"/>
      <protection/>
    </xf>
    <xf numFmtId="0" fontId="0" fillId="0" borderId="0" xfId="0" applyFill="1" applyAlignment="1">
      <alignment vertical="top"/>
    </xf>
    <xf numFmtId="0" fontId="0" fillId="0" borderId="11" xfId="0" applyFill="1" applyBorder="1" applyAlignment="1">
      <alignment vertical="top"/>
    </xf>
    <xf numFmtId="0" fontId="0" fillId="0" borderId="0" xfId="0" applyFill="1" applyAlignment="1" quotePrefix="1">
      <alignment/>
    </xf>
    <xf numFmtId="0" fontId="0" fillId="0" borderId="0" xfId="0" applyFill="1" applyAlignment="1">
      <alignment vertical="top" wrapText="1"/>
    </xf>
    <xf numFmtId="0" fontId="39" fillId="0" borderId="11" xfId="0" applyFon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1066800</xdr:colOff>
      <xdr:row>0</xdr:row>
      <xdr:rowOff>85725</xdr:rowOff>
    </xdr:from>
    <xdr:to>
      <xdr:col>1</xdr:col>
      <xdr:colOff>2181225</xdr:colOff>
      <xdr:row>2</xdr:row>
      <xdr:rowOff>123825</xdr:rowOff>
    </xdr:to>
    <xdr:pic>
      <xdr:nvPicPr>
        <xdr:cNvPr id="2" name="CommandButton1"/>
        <xdr:cNvPicPr preferRelativeResize="1">
          <a:picLocks noChangeAspect="1"/>
        </xdr:cNvPicPr>
      </xdr:nvPicPr>
      <xdr:blipFill>
        <a:blip r:embed="rId2"/>
        <a:stretch>
          <a:fillRect/>
        </a:stretch>
      </xdr:blipFill>
      <xdr:spPr>
        <a:xfrm>
          <a:off x="2381250" y="85725"/>
          <a:ext cx="1114425" cy="438150"/>
        </a:xfrm>
        <a:prstGeom prst="rect">
          <a:avLst/>
        </a:prstGeom>
        <a:noFill/>
        <a:ln w="9525" cmpd="sng">
          <a:noFill/>
        </a:ln>
      </xdr:spPr>
    </xdr:pic>
    <xdr:clientData fPrintsWithSheet="0"/>
  </xdr:twoCellAnchor>
  <xdr:twoCellAnchor editAs="oneCell">
    <xdr:from>
      <xdr:col>1</xdr:col>
      <xdr:colOff>2371725</xdr:colOff>
      <xdr:row>0</xdr:row>
      <xdr:rowOff>114300</xdr:rowOff>
    </xdr:from>
    <xdr:to>
      <xdr:col>1</xdr:col>
      <xdr:colOff>3933825</xdr:colOff>
      <xdr:row>2</xdr:row>
      <xdr:rowOff>133350</xdr:rowOff>
    </xdr:to>
    <xdr:pic>
      <xdr:nvPicPr>
        <xdr:cNvPr id="3" name="CommandButton1"/>
        <xdr:cNvPicPr preferRelativeResize="1">
          <a:picLocks noChangeAspect="1"/>
        </xdr:cNvPicPr>
      </xdr:nvPicPr>
      <xdr:blipFill>
        <a:blip r:embed="rId3"/>
        <a:stretch>
          <a:fillRect/>
        </a:stretch>
      </xdr:blipFill>
      <xdr:spPr>
        <a:xfrm>
          <a:off x="3686175" y="114300"/>
          <a:ext cx="1562100" cy="419100"/>
        </a:xfrm>
        <a:prstGeom prst="rect">
          <a:avLst/>
        </a:prstGeom>
        <a:noFill/>
        <a:ln w="9525" cmpd="sng">
          <a:noFill/>
        </a:ln>
      </xdr:spPr>
    </xdr:pic>
    <xdr:clientData fPrintsWithSheet="0"/>
  </xdr:twoCellAnchor>
  <xdr:twoCellAnchor editAs="oneCell">
    <xdr:from>
      <xdr:col>1</xdr:col>
      <xdr:colOff>4133850</xdr:colOff>
      <xdr:row>0</xdr:row>
      <xdr:rowOff>142875</xdr:rowOff>
    </xdr:from>
    <xdr:to>
      <xdr:col>2</xdr:col>
      <xdr:colOff>1219200</xdr:colOff>
      <xdr:row>2</xdr:row>
      <xdr:rowOff>152400</xdr:rowOff>
    </xdr:to>
    <xdr:pic>
      <xdr:nvPicPr>
        <xdr:cNvPr id="4" name="CommandButton1"/>
        <xdr:cNvPicPr preferRelativeResize="1">
          <a:picLocks noChangeAspect="1"/>
        </xdr:cNvPicPr>
      </xdr:nvPicPr>
      <xdr:blipFill>
        <a:blip r:embed="rId4"/>
        <a:stretch>
          <a:fillRect/>
        </a:stretch>
      </xdr:blipFill>
      <xdr:spPr>
        <a:xfrm>
          <a:off x="5448300"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1610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166</xdr:row>
      <xdr:rowOff>104775</xdr:rowOff>
    </xdr:from>
    <xdr:to>
      <xdr:col>8</xdr:col>
      <xdr:colOff>857250</xdr:colOff>
      <xdr:row>170</xdr:row>
      <xdr:rowOff>104775</xdr:rowOff>
    </xdr:to>
    <xdr:sp>
      <xdr:nvSpPr>
        <xdr:cNvPr id="1" name="Line 81"/>
        <xdr:cNvSpPr>
          <a:spLocks/>
        </xdr:cNvSpPr>
      </xdr:nvSpPr>
      <xdr:spPr>
        <a:xfrm>
          <a:off x="9467850" y="33728025"/>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13">
      <selection activeCell="A3" sqref="A3"/>
    </sheetView>
  </sheetViews>
  <sheetFormatPr defaultColWidth="9.140625" defaultRowHeight="12.75"/>
  <cols>
    <col min="1" max="1" width="3.00390625" style="24" customWidth="1"/>
    <col min="2" max="2" width="107.8515625" style="25" customWidth="1"/>
    <col min="3" max="16384" width="9.140625" style="24" customWidth="1"/>
  </cols>
  <sheetData>
    <row r="1" ht="15.75">
      <c r="A1" s="396" t="s">
        <v>479</v>
      </c>
    </row>
    <row r="3" spans="1:2" ht="12.75">
      <c r="A3" s="22" t="s">
        <v>1779</v>
      </c>
      <c r="B3" s="23"/>
    </row>
    <row r="4" spans="1:2" ht="12.75">
      <c r="A4" s="24">
        <v>1</v>
      </c>
      <c r="B4" s="397" t="s">
        <v>1712</v>
      </c>
    </row>
    <row r="5" spans="1:2" ht="12.75">
      <c r="A5" s="24">
        <f>A4+1</f>
        <v>2</v>
      </c>
      <c r="B5" s="397" t="s">
        <v>1713</v>
      </c>
    </row>
    <row r="7" spans="1:2" ht="12.75">
      <c r="A7" s="22" t="s">
        <v>1714</v>
      </c>
      <c r="B7" s="23"/>
    </row>
    <row r="8" spans="1:2" ht="12.75">
      <c r="A8" s="24">
        <v>1</v>
      </c>
      <c r="B8" s="397" t="s">
        <v>1187</v>
      </c>
    </row>
    <row r="9" spans="1:2" ht="25.5">
      <c r="A9" s="398">
        <f>A8+1</f>
        <v>2</v>
      </c>
      <c r="B9" s="397" t="s">
        <v>1723</v>
      </c>
    </row>
    <row r="10" spans="1:2" ht="25.5">
      <c r="A10" s="398">
        <f>A9+1</f>
        <v>3</v>
      </c>
      <c r="B10" s="397" t="s">
        <v>835</v>
      </c>
    </row>
    <row r="11" spans="1:2" ht="12.75">
      <c r="A11" s="398">
        <f>A10+1</f>
        <v>4</v>
      </c>
      <c r="B11" s="397" t="s">
        <v>1386</v>
      </c>
    </row>
    <row r="12" spans="1:2" ht="12.75">
      <c r="A12" s="398">
        <f>A11+1</f>
        <v>5</v>
      </c>
      <c r="B12" s="397" t="s">
        <v>632</v>
      </c>
    </row>
    <row r="13" ht="12.75">
      <c r="A13" s="398"/>
    </row>
    <row r="14" spans="1:2" ht="12.75">
      <c r="A14" s="399" t="s">
        <v>793</v>
      </c>
      <c r="B14" s="23"/>
    </row>
    <row r="15" spans="1:2" ht="12.75">
      <c r="A15" s="398">
        <v>1</v>
      </c>
      <c r="B15" s="397" t="s">
        <v>1607</v>
      </c>
    </row>
    <row r="16" spans="1:2" ht="12.75">
      <c r="A16" s="398">
        <f>A15+1</f>
        <v>2</v>
      </c>
      <c r="B16" s="397" t="s">
        <v>491</v>
      </c>
    </row>
    <row r="17" spans="1:2" ht="25.5">
      <c r="A17" s="398">
        <f>A16+1</f>
        <v>3</v>
      </c>
      <c r="B17" s="397" t="s">
        <v>845</v>
      </c>
    </row>
    <row r="18" spans="1:2" ht="12.75">
      <c r="A18" s="398">
        <f>A17+1</f>
        <v>4</v>
      </c>
      <c r="B18" s="397" t="s">
        <v>934</v>
      </c>
    </row>
    <row r="19" spans="1:2" ht="12.75">
      <c r="A19" s="398">
        <f>A18+1</f>
        <v>5</v>
      </c>
      <c r="B19" s="397" t="s">
        <v>1526</v>
      </c>
    </row>
    <row r="20" spans="1:2" ht="12.75">
      <c r="A20" s="398">
        <f>A19+1</f>
        <v>6</v>
      </c>
      <c r="B20" s="25" t="s">
        <v>1226</v>
      </c>
    </row>
    <row r="21" ht="12.75">
      <c r="A21" s="398"/>
    </row>
    <row r="22" spans="1:2" ht="12.75">
      <c r="A22" s="399" t="s">
        <v>1018</v>
      </c>
      <c r="B22" s="23"/>
    </row>
    <row r="23" spans="1:2" ht="25.5">
      <c r="A23" s="398">
        <v>1</v>
      </c>
      <c r="B23" s="25" t="s">
        <v>1492</v>
      </c>
    </row>
    <row r="24" spans="1:2" ht="51">
      <c r="A24" s="398">
        <f>A23+1</f>
        <v>2</v>
      </c>
      <c r="B24" s="25" t="s">
        <v>1379</v>
      </c>
    </row>
    <row r="25" spans="1:2" ht="12.75">
      <c r="A25" s="398">
        <f>A24+1</f>
        <v>3</v>
      </c>
      <c r="B25" s="25" t="s">
        <v>966</v>
      </c>
    </row>
    <row r="26" spans="1:2" ht="25.5">
      <c r="A26" s="398">
        <f>A25+1</f>
        <v>4</v>
      </c>
      <c r="B26" s="25" t="s">
        <v>1645</v>
      </c>
    </row>
    <row r="27" ht="12.75">
      <c r="A27" s="398"/>
    </row>
    <row r="28" spans="1:2" ht="12.75">
      <c r="A28" s="399" t="s">
        <v>1770</v>
      </c>
      <c r="B28" s="31"/>
    </row>
    <row r="29" spans="1:2" ht="12.75">
      <c r="A29" s="398">
        <v>1</v>
      </c>
      <c r="B29" s="25" t="s">
        <v>1312</v>
      </c>
    </row>
    <row r="30" spans="1:4" ht="15">
      <c r="A30" s="398">
        <f>A29+1</f>
        <v>2</v>
      </c>
      <c r="B30" s="25" t="s">
        <v>706</v>
      </c>
      <c r="D30" s="8"/>
    </row>
    <row r="31" ht="12.75">
      <c r="D31" s="400"/>
    </row>
    <row r="32" spans="1:2" ht="12.75">
      <c r="A32" s="22" t="s">
        <v>23</v>
      </c>
      <c r="B32" s="23"/>
    </row>
    <row r="33" spans="1:2" ht="52.5" customHeight="1">
      <c r="A33" s="398">
        <v>1</v>
      </c>
      <c r="B33" s="25" t="s">
        <v>973</v>
      </c>
    </row>
    <row r="34" spans="1:2" ht="25.5">
      <c r="A34" s="398">
        <f>A33+1</f>
        <v>2</v>
      </c>
      <c r="B34" s="25" t="s">
        <v>285</v>
      </c>
    </row>
    <row r="35" spans="1:2" ht="25.5">
      <c r="A35" s="398">
        <f>A34+1</f>
        <v>3</v>
      </c>
      <c r="B35" s="25" t="s">
        <v>1359</v>
      </c>
    </row>
    <row r="36" spans="1:2" ht="12.75">
      <c r="A36" s="398">
        <f>A35+1</f>
        <v>4</v>
      </c>
      <c r="B36" s="25" t="s">
        <v>1849</v>
      </c>
    </row>
    <row r="37" ht="12.75">
      <c r="A37" s="398"/>
    </row>
    <row r="38" spans="1:2" ht="12.75">
      <c r="A38" s="399" t="s">
        <v>900</v>
      </c>
      <c r="B38" s="23"/>
    </row>
    <row r="39" spans="1:2" ht="12.75">
      <c r="A39" s="398">
        <v>1</v>
      </c>
      <c r="B39" s="401" t="s">
        <v>1493</v>
      </c>
    </row>
    <row r="40" spans="1:2" ht="12.75">
      <c r="A40" s="398">
        <f>A39+1</f>
        <v>2</v>
      </c>
      <c r="B40" s="25" t="s">
        <v>823</v>
      </c>
    </row>
    <row r="41" ht="12.75">
      <c r="A41" s="398"/>
    </row>
    <row r="42" spans="1:2" ht="12.75">
      <c r="A42" s="399" t="s">
        <v>465</v>
      </c>
      <c r="B42" s="23"/>
    </row>
    <row r="43" spans="1:2" ht="12.75">
      <c r="A43" s="398">
        <v>1</v>
      </c>
      <c r="B43" s="25" t="s">
        <v>464</v>
      </c>
    </row>
    <row r="44" spans="1:2" ht="12.75">
      <c r="A44" s="398">
        <f>A43+1</f>
        <v>2</v>
      </c>
      <c r="B44" s="25" t="s">
        <v>276</v>
      </c>
    </row>
    <row r="46" spans="1:2" ht="12.75">
      <c r="A46" s="22" t="s">
        <v>120</v>
      </c>
      <c r="B46" s="23"/>
    </row>
    <row r="47" ht="12.75">
      <c r="B47" s="25" t="s">
        <v>641</v>
      </c>
    </row>
    <row r="48" ht="12.75">
      <c r="B48" s="25" t="s">
        <v>640</v>
      </c>
    </row>
    <row r="49" ht="12.75">
      <c r="B49" s="25" t="s">
        <v>1610</v>
      </c>
    </row>
    <row r="51" spans="1:2" ht="12.75">
      <c r="A51" s="22" t="s">
        <v>1520</v>
      </c>
      <c r="B51" s="23"/>
    </row>
    <row r="52" ht="38.25">
      <c r="B52" s="25" t="s">
        <v>365</v>
      </c>
    </row>
    <row r="54" spans="1:2" ht="12.75">
      <c r="A54" s="22" t="s">
        <v>1753</v>
      </c>
      <c r="B54" s="23"/>
    </row>
    <row r="55" ht="12.75">
      <c r="B55" s="25" t="s">
        <v>81</v>
      </c>
    </row>
    <row r="56" ht="12.75">
      <c r="B56" s="25" t="s">
        <v>300</v>
      </c>
    </row>
    <row r="57" ht="38.25">
      <c r="B57" s="25" t="s">
        <v>1044</v>
      </c>
    </row>
    <row r="59" spans="1:2" ht="12.75">
      <c r="A59" s="22" t="s">
        <v>102</v>
      </c>
      <c r="B59" s="23"/>
    </row>
    <row r="60" ht="12.75">
      <c r="B60" s="25" t="s">
        <v>103</v>
      </c>
    </row>
    <row r="61" ht="25.5">
      <c r="B61" s="25" t="s">
        <v>928</v>
      </c>
    </row>
    <row r="62" ht="12.75">
      <c r="B62" s="25" t="s">
        <v>372</v>
      </c>
    </row>
    <row r="64" spans="1:2" ht="12.75">
      <c r="A64" s="22" t="s">
        <v>1878</v>
      </c>
      <c r="B64" s="23"/>
    </row>
    <row r="65" ht="12.75">
      <c r="B65" s="25" t="s">
        <v>72</v>
      </c>
    </row>
    <row r="67" spans="1:2" ht="12.75">
      <c r="A67" s="22" t="s">
        <v>1893</v>
      </c>
      <c r="B67" s="23"/>
    </row>
    <row r="68" ht="12.75">
      <c r="B68" s="25" t="s">
        <v>19</v>
      </c>
    </row>
    <row r="69" ht="12.75">
      <c r="B69" s="25" t="s">
        <v>20</v>
      </c>
    </row>
    <row r="70" ht="12.75">
      <c r="B70" s="25" t="s">
        <v>1846</v>
      </c>
    </row>
    <row r="71" ht="12.75">
      <c r="B71" s="25" t="s">
        <v>88</v>
      </c>
    </row>
    <row r="72" ht="12.75">
      <c r="B72" s="25" t="s">
        <v>1637</v>
      </c>
    </row>
    <row r="74" spans="1:2" s="32" customFormat="1" ht="12.75">
      <c r="A74" s="30" t="s">
        <v>749</v>
      </c>
      <c r="B74" s="31"/>
    </row>
    <row r="75" ht="12.75">
      <c r="B75" s="25" t="s">
        <v>1563</v>
      </c>
    </row>
    <row r="76" ht="12.75">
      <c r="B76" s="25" t="s">
        <v>230</v>
      </c>
    </row>
    <row r="77" ht="12.75">
      <c r="B77" s="25" t="s">
        <v>1774</v>
      </c>
    </row>
    <row r="78" ht="12.75">
      <c r="B78" s="25" t="s">
        <v>1251</v>
      </c>
    </row>
    <row r="79" ht="12.75">
      <c r="B79" s="25" t="s">
        <v>748</v>
      </c>
    </row>
    <row r="80" ht="12.75">
      <c r="B80" s="25" t="s">
        <v>231</v>
      </c>
    </row>
    <row r="81" ht="12.75">
      <c r="B81" s="25" t="s">
        <v>922</v>
      </c>
    </row>
    <row r="83" spans="1:2" ht="12.75">
      <c r="A83" s="402" t="s">
        <v>496</v>
      </c>
      <c r="B83" s="23"/>
    </row>
    <row r="84" ht="12.75">
      <c r="B84" s="25" t="s">
        <v>912</v>
      </c>
    </row>
    <row r="85" ht="12.75">
      <c r="B85" s="25" t="s">
        <v>353</v>
      </c>
    </row>
    <row r="87" spans="1:2" ht="12.75">
      <c r="A87" s="30" t="s">
        <v>1080</v>
      </c>
      <c r="B87" s="23"/>
    </row>
    <row r="88" ht="12.75">
      <c r="B88" s="25" t="s">
        <v>488</v>
      </c>
    </row>
    <row r="89" ht="12.75">
      <c r="B89" s="25" t="s">
        <v>1101</v>
      </c>
    </row>
    <row r="91" spans="1:2" ht="12.75">
      <c r="A91" s="30" t="s">
        <v>351</v>
      </c>
      <c r="B91" s="23"/>
    </row>
    <row r="92" ht="12.75">
      <c r="B92" s="25" t="s">
        <v>58</v>
      </c>
    </row>
    <row r="93" ht="12.75">
      <c r="B93" s="25" t="s">
        <v>1412</v>
      </c>
    </row>
    <row r="94" ht="12.75">
      <c r="B94" s="25" t="s">
        <v>389</v>
      </c>
    </row>
    <row r="96" spans="1:2" ht="12.75">
      <c r="A96" s="30" t="s">
        <v>1067</v>
      </c>
      <c r="B96" s="23"/>
    </row>
    <row r="97" ht="12.75">
      <c r="B97" s="25" t="s">
        <v>1068</v>
      </c>
    </row>
    <row r="98" ht="12.75">
      <c r="B98" s="25" t="s">
        <v>603</v>
      </c>
    </row>
    <row r="99" ht="12.75">
      <c r="B99" s="25" t="s">
        <v>138</v>
      </c>
    </row>
    <row r="101" spans="1:2" ht="12.75">
      <c r="A101" s="30" t="s">
        <v>314</v>
      </c>
      <c r="B101" s="23"/>
    </row>
    <row r="102" ht="14.25" customHeight="1">
      <c r="B102" s="25" t="s">
        <v>313</v>
      </c>
    </row>
    <row r="103" ht="12.75">
      <c r="B103" s="25" t="s">
        <v>1076</v>
      </c>
    </row>
    <row r="104" ht="12.75">
      <c r="B104" s="25" t="s">
        <v>876</v>
      </c>
    </row>
    <row r="106" spans="1:2" ht="12.75">
      <c r="A106" s="30" t="s">
        <v>1156</v>
      </c>
      <c r="B106" s="23"/>
    </row>
    <row r="107" ht="12.75">
      <c r="B107" s="25" t="s">
        <v>722</v>
      </c>
    </row>
    <row r="108" ht="12.75">
      <c r="B108" s="25" t="s">
        <v>1354</v>
      </c>
    </row>
    <row r="109" ht="12.75">
      <c r="B109" s="25" t="s">
        <v>1548</v>
      </c>
    </row>
    <row r="111" spans="1:2" ht="12.75">
      <c r="A111" s="30" t="s">
        <v>1693</v>
      </c>
      <c r="B111" s="23"/>
    </row>
    <row r="112" ht="12.75">
      <c r="B112" s="380" t="s">
        <v>1529</v>
      </c>
    </row>
    <row r="113" ht="12.75">
      <c r="B113" s="25" t="s">
        <v>567</v>
      </c>
    </row>
    <row r="114" ht="12.75">
      <c r="B114" s="25" t="s">
        <v>1144</v>
      </c>
    </row>
    <row r="115" ht="12.75">
      <c r="B115" s="25" t="s">
        <v>709</v>
      </c>
    </row>
    <row r="116" ht="12.75">
      <c r="B116" s="25" t="s">
        <v>556</v>
      </c>
    </row>
    <row r="117" ht="12.75">
      <c r="B117" s="380" t="s">
        <v>93</v>
      </c>
    </row>
    <row r="118" ht="12.75">
      <c r="B118" s="25" t="s">
        <v>92</v>
      </c>
    </row>
    <row r="119" ht="12.75">
      <c r="B119" s="380" t="s">
        <v>1765</v>
      </c>
    </row>
    <row r="120" ht="12.75">
      <c r="B120" s="25" t="s">
        <v>1887</v>
      </c>
    </row>
    <row r="121" ht="12.75">
      <c r="B121" s="25" t="s">
        <v>1065</v>
      </c>
    </row>
    <row r="122" ht="12.75">
      <c r="B122" s="380" t="s">
        <v>1097</v>
      </c>
    </row>
    <row r="123" ht="17.25" customHeight="1">
      <c r="B123" s="380" t="s">
        <v>478</v>
      </c>
    </row>
    <row r="124" ht="12.75">
      <c r="B124" s="380" t="s">
        <v>1838</v>
      </c>
    </row>
    <row r="125" ht="12.75">
      <c r="B125" s="380" t="s">
        <v>85</v>
      </c>
    </row>
    <row r="126" ht="12.75">
      <c r="B126" s="25" t="s">
        <v>362</v>
      </c>
    </row>
    <row r="127" ht="12.75">
      <c r="B127" s="25" t="s">
        <v>307</v>
      </c>
    </row>
    <row r="128" ht="12.75">
      <c r="B128" s="380" t="s">
        <v>1459</v>
      </c>
    </row>
    <row r="129" ht="12.75">
      <c r="B129" s="25" t="s">
        <v>307</v>
      </c>
    </row>
    <row r="130" ht="12.75">
      <c r="B130" s="380" t="s">
        <v>265</v>
      </c>
    </row>
    <row r="131" ht="12.75">
      <c r="B131" s="380" t="s">
        <v>1302</v>
      </c>
    </row>
    <row r="132" ht="12.75">
      <c r="B132" s="25" t="s">
        <v>668</v>
      </c>
    </row>
    <row r="133" ht="12.75">
      <c r="B133" s="25" t="s">
        <v>659</v>
      </c>
    </row>
    <row r="134" ht="12.75">
      <c r="B134" s="25" t="s">
        <v>348</v>
      </c>
    </row>
    <row r="135" ht="12.75">
      <c r="B135" s="25" t="s">
        <v>1665</v>
      </c>
    </row>
    <row r="136" ht="12.75">
      <c r="B136" s="380" t="s">
        <v>349</v>
      </c>
    </row>
    <row r="137" ht="12.75">
      <c r="B137" s="25" t="s">
        <v>668</v>
      </c>
    </row>
    <row r="138" ht="12.75">
      <c r="B138" s="25" t="s">
        <v>659</v>
      </c>
    </row>
    <row r="139" ht="12.75">
      <c r="B139" s="25" t="s">
        <v>348</v>
      </c>
    </row>
    <row r="141" spans="1:2" ht="12.75">
      <c r="A141" s="30" t="s">
        <v>475</v>
      </c>
      <c r="B141" s="23"/>
    </row>
    <row r="142" ht="12.75">
      <c r="B142" s="25" t="s">
        <v>1304</v>
      </c>
    </row>
    <row r="143" ht="12.75">
      <c r="B143" s="25" t="s">
        <v>1305</v>
      </c>
    </row>
  </sheetData>
  <sheetProtection/>
  <printOptions horizontalCentered="1"/>
  <pageMargins left="0.25" right="0.25" top="0.5" bottom="0.5" header="0.25" footer="0.25"/>
  <pageSetup fitToHeight="1" fitToWidth="1" horizontalDpi="600" verticalDpi="600" orientation="landscape" scale="10"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31">
      <selection activeCell="A3" sqref="A3"/>
    </sheetView>
  </sheetViews>
  <sheetFormatPr defaultColWidth="9.7109375" defaultRowHeight="12.75"/>
  <cols>
    <col min="1" max="1" width="5.7109375" style="3" customWidth="1"/>
    <col min="2" max="2" width="24.7109375" style="3" customWidth="1"/>
    <col min="3" max="3" width="13.57421875" style="3" customWidth="1"/>
    <col min="4" max="4" width="26.8515625" style="3" customWidth="1"/>
    <col min="5" max="5" width="17.140625" style="3" customWidth="1"/>
    <col min="6" max="6" width="17.57421875" style="3" customWidth="1"/>
    <col min="7" max="7" width="10.7109375" style="3" customWidth="1"/>
    <col min="8" max="8" width="14.00390625" style="3" customWidth="1"/>
    <col min="9" max="9" width="19.421875" style="3" customWidth="1"/>
    <col min="10" max="10" width="17.140625" style="3" bestFit="1" customWidth="1"/>
    <col min="11" max="11" width="16.7109375" style="3" bestFit="1" customWidth="1"/>
    <col min="12" max="13" width="14.8515625" style="3" bestFit="1" customWidth="1"/>
    <col min="14" max="14" width="20.28125" style="3" customWidth="1"/>
    <col min="15" max="18" width="10.7109375" style="3" customWidth="1"/>
    <col min="19" max="19" width="9.7109375" style="3" customWidth="1"/>
    <col min="20" max="20" width="12.7109375" style="3" customWidth="1"/>
    <col min="21" max="16384" width="9.7109375" style="3" customWidth="1"/>
  </cols>
  <sheetData>
    <row r="1" spans="2:24" ht="15">
      <c r="B1" s="34"/>
      <c r="X1" s="5"/>
    </row>
    <row r="2" spans="1:24" ht="15.75">
      <c r="A2" s="5"/>
      <c r="B2" s="34"/>
      <c r="C2" s="34"/>
      <c r="D2" s="21" t="s">
        <v>537</v>
      </c>
      <c r="E2" s="34"/>
      <c r="F2" s="227" t="s">
        <v>117</v>
      </c>
      <c r="J2" s="129">
        <f ca="1">TODAY()</f>
        <v>44061</v>
      </c>
      <c r="X2" s="5"/>
    </row>
    <row r="3" spans="1:10" ht="15.75">
      <c r="A3" s="5"/>
      <c r="B3" s="34"/>
      <c r="C3" s="34"/>
      <c r="D3" s="21" t="s">
        <v>1733</v>
      </c>
      <c r="E3" s="34"/>
      <c r="F3" s="34"/>
      <c r="J3" s="18" t="str">
        <f>INSTRUCTIONS!Q13</f>
        <v>JMJ</v>
      </c>
    </row>
    <row r="4" spans="1:15" ht="15.75">
      <c r="A4" s="5"/>
      <c r="B4" s="34"/>
      <c r="C4" s="34"/>
      <c r="D4" s="21" t="s">
        <v>1734</v>
      </c>
      <c r="E4" s="5"/>
      <c r="F4" s="228" t="str">
        <f>INSTRUCTIONS!L7</f>
        <v>January, 2016</v>
      </c>
      <c r="H4" s="130"/>
      <c r="L4" s="130"/>
      <c r="M4" s="130"/>
      <c r="N4" s="130"/>
      <c r="O4" s="130"/>
    </row>
    <row r="5" spans="2:15" ht="15.75">
      <c r="B5" s="34"/>
      <c r="D5" s="21"/>
      <c r="H5" s="130"/>
      <c r="L5" s="130"/>
      <c r="M5" s="130"/>
      <c r="N5" s="130"/>
      <c r="O5" s="130"/>
    </row>
    <row r="6" spans="2:15" ht="15.75">
      <c r="B6" s="34"/>
      <c r="D6" s="26"/>
      <c r="H6" s="130"/>
      <c r="L6" s="130"/>
      <c r="M6" s="130"/>
      <c r="N6" s="130"/>
      <c r="O6" s="130"/>
    </row>
    <row r="7" spans="2:15" ht="15">
      <c r="B7" s="34" t="s">
        <v>1735</v>
      </c>
      <c r="F7" s="18" t="s">
        <v>1703</v>
      </c>
      <c r="H7" s="130"/>
      <c r="I7" s="3" t="s">
        <v>1377</v>
      </c>
      <c r="L7" s="130"/>
      <c r="M7" s="130"/>
      <c r="N7" s="130"/>
      <c r="O7" s="130"/>
    </row>
    <row r="8" spans="2:15" ht="15">
      <c r="B8" s="34"/>
      <c r="C8" s="34" t="s">
        <v>907</v>
      </c>
      <c r="E8" s="131"/>
      <c r="F8" s="132">
        <v>1376791.61</v>
      </c>
      <c r="G8" s="8"/>
      <c r="H8" s="130"/>
      <c r="J8" s="34" t="s">
        <v>907</v>
      </c>
      <c r="L8" s="131"/>
      <c r="M8" s="132">
        <v>445.16</v>
      </c>
      <c r="N8" s="130"/>
      <c r="O8" s="130"/>
    </row>
    <row r="9" spans="2:15" ht="15.75">
      <c r="B9" s="34"/>
      <c r="C9" s="133" t="s">
        <v>1643</v>
      </c>
      <c r="E9" s="131"/>
      <c r="F9" s="132"/>
      <c r="G9" s="8"/>
      <c r="H9" s="130"/>
      <c r="J9" s="133" t="s">
        <v>1643</v>
      </c>
      <c r="L9" s="131"/>
      <c r="M9" s="132"/>
      <c r="N9" s="130"/>
      <c r="O9" s="130"/>
    </row>
    <row r="10" spans="2:15" ht="15.75">
      <c r="B10" s="34"/>
      <c r="C10" s="78" t="s">
        <v>1195</v>
      </c>
      <c r="E10" s="131"/>
      <c r="F10" s="132"/>
      <c r="G10" s="8"/>
      <c r="H10" s="130"/>
      <c r="J10" s="78" t="s">
        <v>1195</v>
      </c>
      <c r="L10" s="131"/>
      <c r="M10" s="132"/>
      <c r="N10" s="130"/>
      <c r="O10" s="130"/>
    </row>
    <row r="11" spans="2:15" ht="15.75">
      <c r="B11" s="34"/>
      <c r="C11" s="78" t="s">
        <v>1196</v>
      </c>
      <c r="E11" s="131"/>
      <c r="F11" s="132">
        <v>518894</v>
      </c>
      <c r="G11" s="8"/>
      <c r="H11" s="130"/>
      <c r="J11" s="78" t="s">
        <v>1196</v>
      </c>
      <c r="L11" s="131"/>
      <c r="M11" s="132">
        <v>355.27</v>
      </c>
      <c r="N11" s="130"/>
      <c r="O11" s="130"/>
    </row>
    <row r="12" spans="2:15" ht="15.75">
      <c r="B12" s="34"/>
      <c r="C12" s="133" t="s">
        <v>674</v>
      </c>
      <c r="E12" s="132"/>
      <c r="F12" s="131"/>
      <c r="G12" s="8"/>
      <c r="H12" s="130"/>
      <c r="I12" s="34"/>
      <c r="J12" s="133" t="s">
        <v>674</v>
      </c>
      <c r="L12" s="132"/>
      <c r="M12" s="131"/>
      <c r="N12" s="229"/>
      <c r="O12" s="130"/>
    </row>
    <row r="13" spans="2:15" ht="15">
      <c r="B13" s="34"/>
      <c r="C13" s="34" t="s">
        <v>908</v>
      </c>
      <c r="E13" s="132">
        <v>-238126</v>
      </c>
      <c r="F13" s="131"/>
      <c r="G13" s="8"/>
      <c r="H13" s="130"/>
      <c r="I13" s="34"/>
      <c r="J13" s="34" t="s">
        <v>908</v>
      </c>
      <c r="L13" s="132">
        <v>-364.79</v>
      </c>
      <c r="M13" s="131"/>
      <c r="N13" s="229"/>
      <c r="O13" s="130"/>
    </row>
    <row r="14" spans="2:20" ht="15">
      <c r="B14" s="34"/>
      <c r="C14" s="34" t="s">
        <v>746</v>
      </c>
      <c r="E14" s="132">
        <v>-202721</v>
      </c>
      <c r="F14" s="131"/>
      <c r="G14" s="8"/>
      <c r="H14" s="130"/>
      <c r="I14" s="34"/>
      <c r="J14" s="34" t="s">
        <v>746</v>
      </c>
      <c r="L14" s="132">
        <v>-162.76</v>
      </c>
      <c r="M14" s="131"/>
      <c r="N14" s="229"/>
      <c r="O14" s="229"/>
      <c r="P14" s="34"/>
      <c r="Q14" s="34"/>
      <c r="R14" s="34"/>
      <c r="S14" s="34"/>
      <c r="T14" s="34"/>
    </row>
    <row r="15" spans="2:20" ht="15">
      <c r="B15" s="15" t="s">
        <v>866</v>
      </c>
      <c r="C15" s="34" t="s">
        <v>1028</v>
      </c>
      <c r="E15" s="132">
        <v>0</v>
      </c>
      <c r="F15" s="131"/>
      <c r="G15" s="8"/>
      <c r="H15" s="130"/>
      <c r="I15" s="34"/>
      <c r="J15" s="34" t="s">
        <v>1028</v>
      </c>
      <c r="L15" s="132">
        <v>0</v>
      </c>
      <c r="M15" s="131"/>
      <c r="N15" s="230"/>
      <c r="O15" s="229"/>
      <c r="P15" s="34"/>
      <c r="Q15" s="34"/>
      <c r="R15" s="34"/>
      <c r="S15" s="34"/>
      <c r="T15" s="34"/>
    </row>
    <row r="16" spans="2:20" ht="15">
      <c r="B16" s="15"/>
      <c r="C16" s="34"/>
      <c r="E16" s="132"/>
      <c r="F16" s="131"/>
      <c r="G16" s="8"/>
      <c r="H16" s="130"/>
      <c r="I16" s="34"/>
      <c r="J16" s="34"/>
      <c r="L16" s="132"/>
      <c r="M16" s="131"/>
      <c r="N16" s="229"/>
      <c r="O16" s="229"/>
      <c r="P16" s="34"/>
      <c r="Q16" s="34"/>
      <c r="R16" s="34"/>
      <c r="S16" s="34"/>
      <c r="T16" s="34"/>
    </row>
    <row r="17" spans="2:20" ht="15">
      <c r="B17" s="34"/>
      <c r="C17" s="134"/>
      <c r="D17" s="88" t="s">
        <v>696</v>
      </c>
      <c r="E17" s="135"/>
      <c r="F17" s="135">
        <f>SUM(E13:E16)</f>
        <v>-440847</v>
      </c>
      <c r="G17" s="8"/>
      <c r="H17" s="130"/>
      <c r="I17" s="34"/>
      <c r="J17" s="134"/>
      <c r="K17" s="88" t="s">
        <v>696</v>
      </c>
      <c r="L17" s="135"/>
      <c r="M17" s="135">
        <f>SUM(L13:L16)</f>
        <v>-527.55</v>
      </c>
      <c r="N17" s="137"/>
      <c r="O17" s="229"/>
      <c r="P17" s="34"/>
      <c r="Q17" s="34"/>
      <c r="R17" s="34"/>
      <c r="S17" s="34"/>
      <c r="T17" s="34"/>
    </row>
    <row r="18" spans="2:20" ht="15">
      <c r="B18" s="34"/>
      <c r="C18" s="34" t="s">
        <v>1006</v>
      </c>
      <c r="E18" s="131"/>
      <c r="F18" s="131">
        <f>F8+F9+F10+F11+F17</f>
        <v>1454838.61</v>
      </c>
      <c r="G18" s="8"/>
      <c r="H18" s="130"/>
      <c r="I18" s="34"/>
      <c r="J18" s="34" t="s">
        <v>1006</v>
      </c>
      <c r="L18" s="131"/>
      <c r="M18" s="131">
        <f>M8+M9+M10+M11+M17</f>
        <v>272.8800000000001</v>
      </c>
      <c r="N18" s="231"/>
      <c r="O18" s="232"/>
      <c r="P18" s="5"/>
      <c r="Q18" s="34"/>
      <c r="R18" s="34"/>
      <c r="S18" s="34"/>
      <c r="T18" s="34"/>
    </row>
    <row r="19" spans="2:20" ht="15">
      <c r="B19" s="34"/>
      <c r="C19" s="34"/>
      <c r="E19" s="131"/>
      <c r="F19" s="131"/>
      <c r="G19" s="8"/>
      <c r="H19" s="130"/>
      <c r="I19" s="34"/>
      <c r="J19" s="1"/>
      <c r="K19" s="1"/>
      <c r="L19" s="136"/>
      <c r="M19" s="137"/>
      <c r="N19" s="137"/>
      <c r="O19" s="233"/>
      <c r="P19" s="5"/>
      <c r="Q19" s="34"/>
      <c r="R19" s="34"/>
      <c r="S19" s="34"/>
      <c r="T19" s="34"/>
    </row>
    <row r="20" spans="2:20" ht="15">
      <c r="B20" s="34"/>
      <c r="C20" s="34"/>
      <c r="E20" s="131"/>
      <c r="F20" s="131"/>
      <c r="G20" s="8"/>
      <c r="H20" s="130"/>
      <c r="I20" s="34"/>
      <c r="J20" s="1"/>
      <c r="K20" s="1"/>
      <c r="L20" s="136"/>
      <c r="M20" s="137"/>
      <c r="N20" s="137"/>
      <c r="O20" s="233"/>
      <c r="P20" s="5"/>
      <c r="Q20" s="34"/>
      <c r="R20" s="34"/>
      <c r="S20" s="34"/>
      <c r="T20" s="34"/>
    </row>
    <row r="21" spans="2:20" ht="15">
      <c r="B21" s="34"/>
      <c r="C21" s="34"/>
      <c r="E21" s="131"/>
      <c r="F21" s="131"/>
      <c r="G21" s="8"/>
      <c r="H21" s="130"/>
      <c r="I21" s="34"/>
      <c r="J21" s="1"/>
      <c r="K21" s="1"/>
      <c r="L21" s="136"/>
      <c r="M21" s="137"/>
      <c r="N21" s="137"/>
      <c r="O21" s="233"/>
      <c r="P21" s="5"/>
      <c r="Q21" s="5"/>
      <c r="R21" s="5"/>
      <c r="S21" s="5"/>
      <c r="T21" s="5"/>
    </row>
    <row r="22" spans="2:20" ht="15">
      <c r="B22" s="34"/>
      <c r="C22" s="34"/>
      <c r="E22" s="131"/>
      <c r="F22" s="131"/>
      <c r="G22" s="8"/>
      <c r="H22" s="130"/>
      <c r="I22" s="34"/>
      <c r="J22" s="1"/>
      <c r="K22" s="1"/>
      <c r="L22" s="136"/>
      <c r="M22" s="137"/>
      <c r="N22" s="137"/>
      <c r="O22" s="233"/>
      <c r="P22" s="5"/>
      <c r="Q22" s="5"/>
      <c r="R22" s="5"/>
      <c r="S22" s="5"/>
      <c r="T22" s="5"/>
    </row>
    <row r="23" spans="2:20" ht="15">
      <c r="B23" s="34" t="s">
        <v>1007</v>
      </c>
      <c r="E23" s="131"/>
      <c r="F23" s="18" t="s">
        <v>52</v>
      </c>
      <c r="G23" s="8"/>
      <c r="H23" s="130"/>
      <c r="I23" s="3" t="s">
        <v>1925</v>
      </c>
      <c r="L23" s="130"/>
      <c r="M23" s="130"/>
      <c r="N23" s="137"/>
      <c r="O23" s="233"/>
      <c r="P23" s="5"/>
      <c r="Q23" s="5"/>
      <c r="R23" s="5"/>
      <c r="S23" s="5"/>
      <c r="T23" s="5"/>
    </row>
    <row r="24" spans="2:20" ht="15">
      <c r="B24" s="34"/>
      <c r="C24" s="34" t="s">
        <v>907</v>
      </c>
      <c r="E24" s="131"/>
      <c r="F24" s="132">
        <v>1263962</v>
      </c>
      <c r="G24" s="8"/>
      <c r="H24" s="130"/>
      <c r="J24" s="34" t="s">
        <v>907</v>
      </c>
      <c r="L24" s="131"/>
      <c r="M24" s="132">
        <v>1080.94</v>
      </c>
      <c r="N24" s="234"/>
      <c r="O24" s="233"/>
      <c r="P24" s="5"/>
      <c r="Q24" s="5"/>
      <c r="R24" s="5"/>
      <c r="S24" s="5"/>
      <c r="T24" s="5"/>
    </row>
    <row r="25" spans="2:20" ht="15.75">
      <c r="B25" s="34"/>
      <c r="C25" s="78" t="s">
        <v>1002</v>
      </c>
      <c r="E25" s="131"/>
      <c r="F25" s="132">
        <v>276903</v>
      </c>
      <c r="G25" s="8"/>
      <c r="H25" s="130"/>
      <c r="J25" s="133" t="s">
        <v>1643</v>
      </c>
      <c r="L25" s="131"/>
      <c r="M25" s="132"/>
      <c r="N25" s="233"/>
      <c r="O25" s="233"/>
      <c r="P25" s="5"/>
      <c r="Q25" s="5"/>
      <c r="R25" s="5"/>
      <c r="S25" s="5"/>
      <c r="T25" s="5"/>
    </row>
    <row r="26" spans="2:20" ht="15.75">
      <c r="B26" s="34"/>
      <c r="C26" s="133" t="s">
        <v>674</v>
      </c>
      <c r="E26" s="131"/>
      <c r="F26" s="131"/>
      <c r="G26" s="8"/>
      <c r="H26" s="130"/>
      <c r="J26" s="78" t="s">
        <v>1195</v>
      </c>
      <c r="L26" s="131"/>
      <c r="M26" s="132"/>
      <c r="N26" s="233"/>
      <c r="O26" s="233"/>
      <c r="P26" s="5"/>
      <c r="Q26" s="5"/>
      <c r="R26" s="5"/>
      <c r="S26" s="5"/>
      <c r="T26" s="5"/>
    </row>
    <row r="27" spans="2:20" ht="15.75">
      <c r="B27" s="34"/>
      <c r="C27" s="34" t="s">
        <v>1020</v>
      </c>
      <c r="E27" s="132">
        <v>-165022</v>
      </c>
      <c r="F27" s="131"/>
      <c r="G27" s="8"/>
      <c r="H27" s="130"/>
      <c r="J27" s="78" t="s">
        <v>1196</v>
      </c>
      <c r="L27" s="131"/>
      <c r="M27" s="132">
        <v>3251.34</v>
      </c>
      <c r="N27" s="229"/>
      <c r="O27" s="233"/>
      <c r="P27" s="5"/>
      <c r="Q27" s="5"/>
      <c r="R27" s="5"/>
      <c r="S27" s="5"/>
      <c r="T27" s="5"/>
    </row>
    <row r="28" spans="2:20" ht="15.75">
      <c r="B28" s="34"/>
      <c r="C28" s="34" t="s">
        <v>1242</v>
      </c>
      <c r="E28" s="132">
        <v>-46160</v>
      </c>
      <c r="F28" s="131"/>
      <c r="G28" s="8"/>
      <c r="H28" s="130"/>
      <c r="I28" s="34"/>
      <c r="J28" s="133" t="s">
        <v>674</v>
      </c>
      <c r="L28" s="132"/>
      <c r="M28" s="131"/>
      <c r="N28" s="229"/>
      <c r="O28" s="233"/>
      <c r="P28" s="5"/>
      <c r="Q28" s="5"/>
      <c r="R28" s="5"/>
      <c r="S28" s="5"/>
      <c r="T28" s="5"/>
    </row>
    <row r="29" spans="2:20" ht="15">
      <c r="B29" s="34"/>
      <c r="C29" s="34" t="s">
        <v>1084</v>
      </c>
      <c r="E29" s="132">
        <v>0</v>
      </c>
      <c r="F29" s="131"/>
      <c r="G29" s="8"/>
      <c r="H29" s="130"/>
      <c r="I29" s="34"/>
      <c r="J29" s="34" t="s">
        <v>908</v>
      </c>
      <c r="L29" s="132">
        <v>-1672.37</v>
      </c>
      <c r="M29" s="131"/>
      <c r="N29" s="229"/>
      <c r="O29" s="233"/>
      <c r="P29" s="5"/>
      <c r="Q29" s="5"/>
      <c r="R29" s="5"/>
      <c r="S29" s="5"/>
      <c r="T29" s="5"/>
    </row>
    <row r="30" spans="2:20" ht="15">
      <c r="B30" s="34"/>
      <c r="C30" s="34" t="s">
        <v>7</v>
      </c>
      <c r="E30" s="132">
        <v>0</v>
      </c>
      <c r="F30" s="131"/>
      <c r="G30" s="8"/>
      <c r="H30" s="130"/>
      <c r="I30" s="34"/>
      <c r="J30" s="34" t="s">
        <v>746</v>
      </c>
      <c r="L30" s="132">
        <v>-1347.01</v>
      </c>
      <c r="M30" s="131"/>
      <c r="N30" s="130"/>
      <c r="O30" s="233"/>
      <c r="P30" s="5"/>
      <c r="Q30" s="5"/>
      <c r="R30" s="5"/>
      <c r="S30" s="5"/>
      <c r="T30" s="5"/>
    </row>
    <row r="31" spans="2:20" ht="15">
      <c r="B31" s="34"/>
      <c r="C31" s="34" t="s">
        <v>1815</v>
      </c>
      <c r="E31" s="132">
        <v>-20397</v>
      </c>
      <c r="F31" s="131"/>
      <c r="G31" s="8"/>
      <c r="H31" s="130"/>
      <c r="I31" s="34"/>
      <c r="J31" s="34" t="s">
        <v>1028</v>
      </c>
      <c r="L31" s="132">
        <v>0</v>
      </c>
      <c r="M31" s="131"/>
      <c r="N31" s="130"/>
      <c r="O31" s="233"/>
      <c r="P31" s="5"/>
      <c r="Q31" s="5"/>
      <c r="R31" s="5"/>
      <c r="S31" s="5"/>
      <c r="T31" s="5"/>
    </row>
    <row r="32" spans="2:20" ht="15">
      <c r="B32" s="34"/>
      <c r="C32" s="34" t="s">
        <v>1045</v>
      </c>
      <c r="E32" s="132">
        <v>0</v>
      </c>
      <c r="F32" s="131"/>
      <c r="G32" s="8"/>
      <c r="H32" s="130"/>
      <c r="I32" s="34"/>
      <c r="J32" s="34"/>
      <c r="L32" s="132"/>
      <c r="M32" s="131"/>
      <c r="N32" s="130"/>
      <c r="O32" s="233"/>
      <c r="P32" s="5"/>
      <c r="Q32" s="5"/>
      <c r="R32" s="5"/>
      <c r="S32" s="5"/>
      <c r="T32" s="5"/>
    </row>
    <row r="33" spans="2:20" ht="15">
      <c r="B33" s="34"/>
      <c r="C33" s="134"/>
      <c r="D33" s="88" t="s">
        <v>696</v>
      </c>
      <c r="E33" s="135"/>
      <c r="F33" s="135">
        <f>SUM(E27:E32)</f>
        <v>-231579</v>
      </c>
      <c r="G33" s="8"/>
      <c r="H33" s="130"/>
      <c r="I33" s="34"/>
      <c r="J33" s="134"/>
      <c r="K33" s="88" t="s">
        <v>696</v>
      </c>
      <c r="L33" s="135"/>
      <c r="M33" s="135">
        <f>SUM(L29:L32)</f>
        <v>-3019.38</v>
      </c>
      <c r="N33" s="130"/>
      <c r="O33" s="233"/>
      <c r="P33" s="5"/>
      <c r="Q33" s="5"/>
      <c r="R33" s="5"/>
      <c r="S33" s="5"/>
      <c r="T33" s="5"/>
    </row>
    <row r="34" spans="2:20" ht="15">
      <c r="B34" s="34"/>
      <c r="C34" s="34" t="s">
        <v>1006</v>
      </c>
      <c r="E34" s="131"/>
      <c r="F34" s="131">
        <f>F24+F25+F33</f>
        <v>1309286</v>
      </c>
      <c r="G34" s="8"/>
      <c r="H34" s="130"/>
      <c r="I34" s="34"/>
      <c r="J34" s="34" t="s">
        <v>1006</v>
      </c>
      <c r="L34" s="131"/>
      <c r="M34" s="131">
        <f>M24+M25+M26+M27+M33</f>
        <v>1312.9000000000005</v>
      </c>
      <c r="N34" s="130"/>
      <c r="O34" s="233"/>
      <c r="P34" s="5"/>
      <c r="Q34" s="5"/>
      <c r="R34" s="5"/>
      <c r="S34" s="5"/>
      <c r="T34" s="5"/>
    </row>
    <row r="35" spans="2:15" ht="15">
      <c r="B35" s="34"/>
      <c r="E35" s="131"/>
      <c r="F35" s="131"/>
      <c r="G35" s="8"/>
      <c r="H35" s="130"/>
      <c r="L35" s="130"/>
      <c r="M35" s="130"/>
      <c r="N35" s="130"/>
      <c r="O35" s="130"/>
    </row>
    <row r="36" spans="2:15" ht="15">
      <c r="B36" s="34"/>
      <c r="H36" s="130"/>
      <c r="L36" s="130"/>
      <c r="M36" s="130"/>
      <c r="N36" s="130"/>
      <c r="O36" s="130"/>
    </row>
    <row r="37" spans="2:15" ht="15">
      <c r="B37" s="34"/>
      <c r="H37" s="130"/>
      <c r="L37" s="130"/>
      <c r="M37" s="130"/>
      <c r="N37" s="130"/>
      <c r="O37" s="130"/>
    </row>
    <row r="38" ht="15">
      <c r="B38" s="34" t="s">
        <v>1265</v>
      </c>
    </row>
    <row r="39" spans="1:2" ht="15">
      <c r="A39" s="3" t="s">
        <v>1315</v>
      </c>
      <c r="B39" s="34" t="s">
        <v>1316</v>
      </c>
    </row>
    <row r="40" ht="15">
      <c r="B40" s="34" t="s">
        <v>1375</v>
      </c>
    </row>
    <row r="41" spans="2:5" ht="15.75">
      <c r="B41" s="78"/>
      <c r="E41" s="210"/>
    </row>
    <row r="42" ht="15">
      <c r="B42" s="34"/>
    </row>
    <row r="43" spans="2:4" ht="15">
      <c r="B43" s="235"/>
      <c r="C43" s="208"/>
      <c r="D43" s="7"/>
    </row>
    <row r="44" spans="2:4" ht="15">
      <c r="B44" s="235"/>
      <c r="C44" s="208"/>
      <c r="D44" s="7"/>
    </row>
    <row r="45" ht="15">
      <c r="B45" s="34"/>
    </row>
    <row r="47" ht="15">
      <c r="B47" s="34"/>
    </row>
    <row r="48" ht="15">
      <c r="B48" s="34" t="s">
        <v>1201</v>
      </c>
    </row>
    <row r="50" ht="15">
      <c r="B50" s="5"/>
    </row>
    <row r="51" spans="2:10" ht="15.75">
      <c r="B51" s="5"/>
      <c r="C51" s="26"/>
      <c r="E51" s="21" t="s">
        <v>537</v>
      </c>
      <c r="F51" s="26"/>
      <c r="H51" s="227" t="s">
        <v>117</v>
      </c>
      <c r="J51" s="129">
        <f ca="1">TODAY()</f>
        <v>44061</v>
      </c>
    </row>
    <row r="52" spans="5:10" ht="15.75">
      <c r="E52" s="21" t="s">
        <v>254</v>
      </c>
      <c r="F52" s="26"/>
      <c r="J52" s="18" t="str">
        <f>J3</f>
        <v>JMJ</v>
      </c>
    </row>
    <row r="53" spans="5:10" ht="15.75">
      <c r="E53" s="21" t="str">
        <f>+"FOR THE MONTH OF "&amp;F4</f>
        <v>FOR THE MONTH OF January, 2016</v>
      </c>
      <c r="F53" s="26"/>
      <c r="J53" s="18" t="s">
        <v>1202</v>
      </c>
    </row>
    <row r="54" spans="3:10" ht="15.75">
      <c r="C54" s="78"/>
      <c r="D54" s="26"/>
      <c r="F54" s="26"/>
      <c r="J54" s="18"/>
    </row>
    <row r="56" spans="2:10" ht="15.75">
      <c r="B56" s="17" t="s">
        <v>271</v>
      </c>
      <c r="D56" s="17" t="s">
        <v>1203</v>
      </c>
      <c r="F56" s="17" t="s">
        <v>1061</v>
      </c>
      <c r="H56" s="17" t="s">
        <v>1204</v>
      </c>
      <c r="J56" s="17" t="s">
        <v>1062</v>
      </c>
    </row>
    <row r="58" spans="2:5" ht="15">
      <c r="B58" s="34" t="s">
        <v>708</v>
      </c>
      <c r="D58" s="7">
        <v>204713</v>
      </c>
      <c r="E58" s="7"/>
    </row>
    <row r="59" spans="2:5" ht="15">
      <c r="B59" s="34" t="s">
        <v>1479</v>
      </c>
      <c r="D59" s="7">
        <v>143299</v>
      </c>
      <c r="E59" s="236"/>
    </row>
    <row r="60" spans="2:5" ht="15.75" thickBot="1">
      <c r="B60" s="34" t="s">
        <v>1480</v>
      </c>
      <c r="D60" s="237">
        <v>61414</v>
      </c>
      <c r="E60" s="238"/>
    </row>
    <row r="61" spans="2:8" ht="15">
      <c r="B61" s="34"/>
      <c r="D61" s="7"/>
      <c r="E61" s="7"/>
      <c r="F61" s="239"/>
      <c r="G61" s="155"/>
      <c r="H61" s="239"/>
    </row>
    <row r="62" spans="2:4" ht="15">
      <c r="B62" s="34"/>
      <c r="D62" s="8"/>
    </row>
    <row r="63" spans="2:11" ht="15">
      <c r="B63" s="34" t="s">
        <v>1062</v>
      </c>
      <c r="D63" s="8">
        <f>SUM(D58:D60)</f>
        <v>409426</v>
      </c>
      <c r="E63" s="240"/>
      <c r="F63" s="155">
        <f>IF((D63&gt;0),(ROUND((D58/D63),6)),0)</f>
        <v>0.5</v>
      </c>
      <c r="G63" s="155" t="s">
        <v>189</v>
      </c>
      <c r="H63" s="155">
        <f>IF((D63&gt;0),(ROUND(((SUM(D59:D60))/D63),6)),0)</f>
        <v>0.5</v>
      </c>
      <c r="I63" s="155" t="s">
        <v>189</v>
      </c>
      <c r="J63" s="155">
        <f>IF((D63=0),0,(D63/D63))</f>
        <v>1</v>
      </c>
      <c r="K63" s="34">
        <f>IF(F63-H63&gt;0.01,"VERIFY DATA","")</f>
      </c>
    </row>
    <row r="64" spans="4:5" ht="15">
      <c r="D64" s="16" t="s">
        <v>1569</v>
      </c>
      <c r="E64" s="240"/>
    </row>
    <row r="67" spans="2:10" ht="15.75">
      <c r="B67" s="17" t="s">
        <v>1228</v>
      </c>
      <c r="D67" s="17" t="s">
        <v>1203</v>
      </c>
      <c r="F67" s="17" t="s">
        <v>1061</v>
      </c>
      <c r="H67" s="17" t="s">
        <v>1204</v>
      </c>
      <c r="J67" s="17" t="s">
        <v>1062</v>
      </c>
    </row>
    <row r="69" spans="2:4" ht="15">
      <c r="B69" s="34" t="s">
        <v>708</v>
      </c>
      <c r="D69" s="7">
        <v>173483</v>
      </c>
    </row>
    <row r="70" spans="2:6" ht="15">
      <c r="B70" s="34" t="s">
        <v>1591</v>
      </c>
      <c r="D70" s="7"/>
      <c r="F70" s="8">
        <f>D70+D69</f>
        <v>173483</v>
      </c>
    </row>
    <row r="71" spans="2:5" ht="15">
      <c r="B71" s="34" t="s">
        <v>1480</v>
      </c>
      <c r="D71" s="7">
        <v>52045</v>
      </c>
      <c r="E71" s="236"/>
    </row>
    <row r="72" spans="2:8" ht="15.75" thickBot="1">
      <c r="B72" s="34" t="s">
        <v>1479</v>
      </c>
      <c r="D72" s="237">
        <v>121438</v>
      </c>
      <c r="E72" s="238"/>
      <c r="F72" s="239"/>
      <c r="H72" s="239"/>
    </row>
    <row r="73" ht="15">
      <c r="D73" s="16"/>
    </row>
    <row r="74" spans="2:11" ht="15">
      <c r="B74" s="18" t="s">
        <v>1062</v>
      </c>
      <c r="D74" s="8">
        <f>SUM(D69:D72)</f>
        <v>346966</v>
      </c>
      <c r="E74" s="240"/>
      <c r="F74" s="155">
        <f>ROUND(((D69+D70)/D74),6)</f>
        <v>0.5</v>
      </c>
      <c r="H74" s="155">
        <f>ROUND(((SUM(D71:D72))/D74),6)</f>
        <v>0.5</v>
      </c>
      <c r="J74" s="155">
        <f>D74/D74</f>
        <v>1</v>
      </c>
      <c r="K74" s="241">
        <f>IF(F74-H74&gt;0.01,"VERIFY DATA","")</f>
      </c>
    </row>
    <row r="75" spans="4:5" ht="15">
      <c r="D75" s="16" t="s">
        <v>1569</v>
      </c>
      <c r="E75" s="240"/>
    </row>
    <row r="76" spans="4:6" ht="15">
      <c r="D76" s="5"/>
      <c r="F76" s="5"/>
    </row>
    <row r="77" spans="2:11" s="151" customFormat="1" ht="15.75">
      <c r="B77" s="79"/>
      <c r="D77" s="242"/>
      <c r="F77" s="242"/>
      <c r="I77" s="3"/>
      <c r="J77" s="3"/>
      <c r="K77" s="3"/>
    </row>
    <row r="78" spans="3:11" s="6" customFormat="1" ht="15">
      <c r="C78" s="223"/>
      <c r="I78" s="3"/>
      <c r="J78" s="3"/>
      <c r="K78" s="3"/>
    </row>
    <row r="79" spans="4:11" s="6" customFormat="1" ht="15">
      <c r="D79" s="243"/>
      <c r="F79" s="109"/>
      <c r="G79" s="244"/>
      <c r="H79" s="109"/>
      <c r="I79" s="18"/>
      <c r="J79" s="245"/>
      <c r="K79" s="245"/>
    </row>
    <row r="80" spans="4:11" s="6" customFormat="1" ht="15">
      <c r="D80" s="243"/>
      <c r="F80" s="109"/>
      <c r="G80" s="244"/>
      <c r="H80" s="109"/>
      <c r="I80" s="18"/>
      <c r="J80" s="245"/>
      <c r="K80" s="245"/>
    </row>
    <row r="81" spans="9:11" s="6" customFormat="1" ht="15">
      <c r="I81" s="3"/>
      <c r="J81" s="246"/>
      <c r="K81" s="3"/>
    </row>
    <row r="82" spans="9:11" s="151" customFormat="1" ht="15">
      <c r="I82" s="3"/>
      <c r="J82" s="245"/>
      <c r="K82" s="3"/>
    </row>
    <row r="84" spans="1:4" ht="15">
      <c r="A84" s="34"/>
      <c r="D84" s="34"/>
    </row>
    <row r="85" spans="1:4" ht="15">
      <c r="A85" s="34"/>
      <c r="D85" s="34"/>
    </row>
    <row r="86" spans="1:4" ht="15">
      <c r="A86" s="3" t="s">
        <v>37</v>
      </c>
      <c r="D86" s="34"/>
    </row>
    <row r="87" spans="1:4" ht="15">
      <c r="A87" s="3" t="s">
        <v>1771</v>
      </c>
      <c r="B87" s="34"/>
      <c r="D87" s="34"/>
    </row>
    <row r="88" ht="15">
      <c r="A88" s="34" t="s">
        <v>747</v>
      </c>
    </row>
    <row r="89" ht="15">
      <c r="A89" s="34" t="s">
        <v>1579</v>
      </c>
    </row>
    <row r="90" ht="15">
      <c r="A90" s="3" t="s">
        <v>1512</v>
      </c>
    </row>
    <row r="92" ht="15">
      <c r="F92" s="3" t="s">
        <v>1554</v>
      </c>
    </row>
    <row r="96" spans="4:12" ht="15.75">
      <c r="D96" s="21" t="s">
        <v>537</v>
      </c>
      <c r="E96" s="26"/>
      <c r="F96" s="26"/>
      <c r="L96" s="129">
        <f>+J51</f>
        <v>44061</v>
      </c>
    </row>
    <row r="97" spans="4:12" ht="15.75">
      <c r="D97" s="21" t="s">
        <v>1494</v>
      </c>
      <c r="E97" s="26"/>
      <c r="F97" s="26"/>
      <c r="L97" s="18" t="str">
        <f>+J52</f>
        <v>JMJ</v>
      </c>
    </row>
    <row r="98" spans="4:6" ht="15.75">
      <c r="D98" s="21" t="s">
        <v>1496</v>
      </c>
      <c r="E98" s="26"/>
      <c r="F98" s="26"/>
    </row>
    <row r="99" spans="4:6" ht="15.75">
      <c r="D99" s="21" t="s">
        <v>1734</v>
      </c>
      <c r="E99" s="26"/>
      <c r="F99" s="26" t="str">
        <f>+F4</f>
        <v>January, 2016</v>
      </c>
    </row>
    <row r="102" spans="5:12" ht="15.75">
      <c r="E102" s="17" t="s">
        <v>1323</v>
      </c>
      <c r="H102" s="17" t="s">
        <v>587</v>
      </c>
      <c r="K102" s="17" t="s">
        <v>252</v>
      </c>
      <c r="L102" s="17" t="s">
        <v>1688</v>
      </c>
    </row>
    <row r="104" spans="2:9" ht="15.75">
      <c r="B104" s="17" t="s">
        <v>1689</v>
      </c>
      <c r="C104" s="215" t="s">
        <v>1690</v>
      </c>
      <c r="E104" s="215" t="s">
        <v>718</v>
      </c>
      <c r="F104" s="215" t="s">
        <v>719</v>
      </c>
      <c r="H104" s="215" t="s">
        <v>718</v>
      </c>
      <c r="I104" s="215" t="s">
        <v>719</v>
      </c>
    </row>
    <row r="106" spans="2:12" ht="15">
      <c r="B106" s="18" t="s">
        <v>271</v>
      </c>
      <c r="C106" s="131">
        <f>-E13</f>
        <v>238126</v>
      </c>
      <c r="E106" s="155">
        <f>+F63</f>
        <v>0.5</v>
      </c>
      <c r="F106" s="247">
        <f>C106*E106</f>
        <v>119063</v>
      </c>
      <c r="H106" s="155">
        <f>+H63</f>
        <v>0.5</v>
      </c>
      <c r="I106" s="247">
        <f>H106*C106</f>
        <v>119063</v>
      </c>
      <c r="K106" s="90">
        <f>I106-F106</f>
        <v>0</v>
      </c>
      <c r="L106" s="168">
        <f>K106/2</f>
        <v>0</v>
      </c>
    </row>
    <row r="107" spans="3:9" ht="15">
      <c r="C107" s="131"/>
      <c r="F107" s="248"/>
      <c r="I107" s="248"/>
    </row>
    <row r="108" spans="2:12" ht="15">
      <c r="B108" s="18" t="s">
        <v>1228</v>
      </c>
      <c r="C108" s="131">
        <f>-E14</f>
        <v>202721</v>
      </c>
      <c r="E108" s="155">
        <f>+F74</f>
        <v>0.5</v>
      </c>
      <c r="F108" s="247">
        <f>C108*E108</f>
        <v>101360.5</v>
      </c>
      <c r="H108" s="155">
        <f>+H74</f>
        <v>0.5</v>
      </c>
      <c r="I108" s="247">
        <f>H108*C108</f>
        <v>101360.5</v>
      </c>
      <c r="K108" s="90">
        <f>I108-F108</f>
        <v>0</v>
      </c>
      <c r="L108" s="168">
        <f>K108/2</f>
        <v>0</v>
      </c>
    </row>
    <row r="109" spans="11:12" ht="15">
      <c r="K109" s="59" t="s">
        <v>1072</v>
      </c>
      <c r="L109" s="15" t="s">
        <v>720</v>
      </c>
    </row>
    <row r="110" spans="11:12" ht="15">
      <c r="K110" s="3">
        <f>+K108+K106</f>
        <v>0</v>
      </c>
      <c r="L110" s="163">
        <f>+L106+L108</f>
        <v>0</v>
      </c>
    </row>
    <row r="112" spans="1:12" ht="15">
      <c r="A112" s="34"/>
      <c r="B112" s="34" t="s">
        <v>982</v>
      </c>
      <c r="H112" s="249"/>
      <c r="L112" s="168">
        <f>IF((L110&gt;0),L110,0)</f>
        <v>0</v>
      </c>
    </row>
    <row r="113" spans="1:8" ht="15">
      <c r="A113" s="34"/>
      <c r="B113" s="34"/>
      <c r="H113" s="249"/>
    </row>
    <row r="114" spans="1:8" ht="15">
      <c r="A114" s="34"/>
      <c r="B114" s="34"/>
      <c r="H114" s="249"/>
    </row>
    <row r="115" spans="1:12" ht="15">
      <c r="A115" s="34"/>
      <c r="B115" s="34" t="s">
        <v>97</v>
      </c>
      <c r="L115" s="168">
        <f>IF((L110&lt;0),(-L110),0)</f>
        <v>0</v>
      </c>
    </row>
    <row r="116" ht="15">
      <c r="A116" s="34"/>
    </row>
    <row r="117" ht="15">
      <c r="A117" s="34"/>
    </row>
    <row r="118" ht="15">
      <c r="A118" s="34"/>
    </row>
    <row r="119" ht="15">
      <c r="A119" s="34"/>
    </row>
    <row r="120" spans="1:3" ht="15.75">
      <c r="A120" s="34"/>
      <c r="B120" s="17" t="s">
        <v>988</v>
      </c>
      <c r="C120" s="26" t="s">
        <v>1547</v>
      </c>
    </row>
    <row r="121" ht="15">
      <c r="A121" s="34"/>
    </row>
    <row r="122" spans="1:12" ht="15">
      <c r="A122" s="34"/>
      <c r="B122" s="18" t="s">
        <v>271</v>
      </c>
      <c r="C122" s="247">
        <f>(-E27)-E28</f>
        <v>211182</v>
      </c>
      <c r="E122" s="155">
        <f>+F63</f>
        <v>0.5</v>
      </c>
      <c r="F122" s="247">
        <f>C122*E122</f>
        <v>105591</v>
      </c>
      <c r="H122" s="155">
        <f>+H63</f>
        <v>0.5</v>
      </c>
      <c r="I122" s="247">
        <f>H122*C122</f>
        <v>105591</v>
      </c>
      <c r="K122" s="90">
        <f>I122-F122</f>
        <v>0</v>
      </c>
      <c r="L122" s="168">
        <f>K122/2</f>
        <v>0</v>
      </c>
    </row>
    <row r="123" spans="1:12" ht="15">
      <c r="A123" s="34"/>
      <c r="C123" s="247"/>
      <c r="F123" s="247"/>
      <c r="I123" s="247"/>
      <c r="K123" s="90"/>
      <c r="L123" s="168"/>
    </row>
    <row r="124" spans="1:12" ht="15">
      <c r="A124" s="34"/>
      <c r="B124" s="18" t="s">
        <v>1228</v>
      </c>
      <c r="C124" s="247">
        <f>(-E30)-E31</f>
        <v>20397</v>
      </c>
      <c r="E124" s="155">
        <f>+F74</f>
        <v>0.5</v>
      </c>
      <c r="F124" s="247">
        <f>C124*E124</f>
        <v>10198.5</v>
      </c>
      <c r="H124" s="155">
        <f>+H74</f>
        <v>0.5</v>
      </c>
      <c r="I124" s="247">
        <f>H124*C124</f>
        <v>10198.5</v>
      </c>
      <c r="K124" s="90">
        <f>I124-F124</f>
        <v>0</v>
      </c>
      <c r="L124" s="168">
        <f>K124/2</f>
        <v>0</v>
      </c>
    </row>
    <row r="125" spans="1:12" ht="15">
      <c r="A125" s="34"/>
      <c r="K125" s="59" t="s">
        <v>1072</v>
      </c>
      <c r="L125" s="15" t="s">
        <v>720</v>
      </c>
    </row>
    <row r="126" spans="1:12" ht="15">
      <c r="A126" s="34"/>
      <c r="K126" s="3">
        <f>+K122+K124</f>
        <v>0</v>
      </c>
      <c r="L126" s="163">
        <f>+L122+L124</f>
        <v>0</v>
      </c>
    </row>
    <row r="127" ht="15">
      <c r="A127" s="34"/>
    </row>
    <row r="128" spans="1:12" ht="15">
      <c r="A128" s="34"/>
      <c r="B128" s="34" t="s">
        <v>982</v>
      </c>
      <c r="L128" s="168">
        <f>IF((L126&gt;0),L126,0)</f>
        <v>0</v>
      </c>
    </row>
    <row r="129" spans="1:2" ht="15">
      <c r="A129" s="34"/>
      <c r="B129" s="34"/>
    </row>
    <row r="130" spans="1:2" ht="15">
      <c r="A130" s="34"/>
      <c r="B130" s="34"/>
    </row>
    <row r="131" spans="1:12" ht="15">
      <c r="A131" s="34"/>
      <c r="B131" s="34" t="s">
        <v>97</v>
      </c>
      <c r="L131" s="168">
        <f>IF((L126&lt;0),(-L126),0)</f>
        <v>0</v>
      </c>
    </row>
    <row r="136" spans="2:3" ht="15.75">
      <c r="B136" s="17" t="s">
        <v>1913</v>
      </c>
      <c r="C136" s="26"/>
    </row>
    <row r="138" spans="2:12" ht="15">
      <c r="B138" s="18" t="s">
        <v>271</v>
      </c>
      <c r="C138" s="247">
        <f>-L13</f>
        <v>364.79</v>
      </c>
      <c r="E138" s="155">
        <f>F63</f>
        <v>0.5</v>
      </c>
      <c r="F138" s="247">
        <f>C138*E138</f>
        <v>182.395</v>
      </c>
      <c r="H138" s="155">
        <f>+H63</f>
        <v>0.5</v>
      </c>
      <c r="I138" s="247">
        <f>H138*C138</f>
        <v>182.395</v>
      </c>
      <c r="K138" s="90">
        <f>I138-F138</f>
        <v>0</v>
      </c>
      <c r="L138" s="168">
        <f>K138/2</f>
        <v>0</v>
      </c>
    </row>
    <row r="139" spans="3:12" ht="15">
      <c r="C139" s="247"/>
      <c r="F139" s="247"/>
      <c r="I139" s="247"/>
      <c r="K139" s="90"/>
      <c r="L139" s="168"/>
    </row>
    <row r="140" spans="2:12" ht="15">
      <c r="B140" s="18" t="s">
        <v>1228</v>
      </c>
      <c r="C140" s="247">
        <f>-L14</f>
        <v>162.76</v>
      </c>
      <c r="E140" s="155">
        <f>F74</f>
        <v>0.5</v>
      </c>
      <c r="F140" s="247">
        <f>C140*E140</f>
        <v>81.38</v>
      </c>
      <c r="H140" s="155">
        <f>+H74</f>
        <v>0.5</v>
      </c>
      <c r="I140" s="247">
        <f>H140*C140</f>
        <v>81.38</v>
      </c>
      <c r="K140" s="90">
        <f>I140-F140</f>
        <v>0</v>
      </c>
      <c r="L140" s="168">
        <f>K140/2</f>
        <v>0</v>
      </c>
    </row>
    <row r="141" spans="11:12" ht="15">
      <c r="K141" s="59" t="s">
        <v>1072</v>
      </c>
      <c r="L141" s="15" t="s">
        <v>720</v>
      </c>
    </row>
    <row r="142" spans="11:12" ht="15">
      <c r="K142" s="3">
        <f>+K138+K140</f>
        <v>0</v>
      </c>
      <c r="L142" s="163">
        <f>+L138+L140</f>
        <v>0</v>
      </c>
    </row>
    <row r="144" spans="2:12" ht="15">
      <c r="B144" s="34" t="s">
        <v>982</v>
      </c>
      <c r="L144" s="168">
        <f>IF((L142&gt;0),L142,0)</f>
        <v>0</v>
      </c>
    </row>
    <row r="145" ht="15">
      <c r="B145" s="34"/>
    </row>
    <row r="146" ht="15">
      <c r="B146" s="34"/>
    </row>
    <row r="147" spans="2:12" ht="15">
      <c r="B147" s="34" t="s">
        <v>97</v>
      </c>
      <c r="L147" s="168">
        <f>IF((L142&lt;0),(-L142),0)</f>
        <v>0</v>
      </c>
    </row>
    <row r="151" ht="15.75">
      <c r="A151" s="26" t="s">
        <v>989</v>
      </c>
    </row>
    <row r="152" ht="15">
      <c r="B152" s="3" t="s">
        <v>297</v>
      </c>
    </row>
    <row r="153" ht="15">
      <c r="B153" s="3" t="s">
        <v>298</v>
      </c>
    </row>
    <row r="154" ht="15">
      <c r="B154" s="3" t="s">
        <v>1207</v>
      </c>
    </row>
    <row r="155" ht="15">
      <c r="B155" s="3" t="s">
        <v>915</v>
      </c>
    </row>
    <row r="156" ht="15">
      <c r="B156" s="3" t="s">
        <v>1245</v>
      </c>
    </row>
    <row r="157" ht="15">
      <c r="B157" s="3" t="s">
        <v>143</v>
      </c>
    </row>
    <row r="158" ht="15">
      <c r="B158" s="3" t="s">
        <v>144</v>
      </c>
    </row>
    <row r="159" ht="15">
      <c r="B159" s="3" t="s">
        <v>1281</v>
      </c>
    </row>
    <row r="160" ht="15">
      <c r="B160" s="3" t="s">
        <v>1663</v>
      </c>
    </row>
    <row r="161" ht="15">
      <c r="B161" s="3" t="s">
        <v>192</v>
      </c>
    </row>
    <row r="162" ht="15">
      <c r="B162" s="3" t="s">
        <v>1206</v>
      </c>
    </row>
    <row r="163" ht="15">
      <c r="B163" s="3" t="s">
        <v>1664</v>
      </c>
    </row>
    <row r="164" ht="15">
      <c r="B164" s="3" t="s">
        <v>1663</v>
      </c>
    </row>
    <row r="165" ht="15">
      <c r="B165" s="3" t="s">
        <v>1206</v>
      </c>
    </row>
    <row r="166" ht="15">
      <c r="B166" s="3" t="s">
        <v>1881</v>
      </c>
    </row>
    <row r="168" ht="15">
      <c r="B168" s="5"/>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0">
      <selection activeCell="A3" sqref="A3"/>
    </sheetView>
  </sheetViews>
  <sheetFormatPr defaultColWidth="9.7109375" defaultRowHeight="12.75"/>
  <cols>
    <col min="1" max="4" width="9.7109375" style="3" customWidth="1"/>
    <col min="5" max="5" width="19.421875" style="3" customWidth="1"/>
    <col min="6" max="6" width="14.7109375" style="3" customWidth="1"/>
    <col min="7" max="7" width="11.57421875" style="3" customWidth="1"/>
    <col min="8" max="8" width="11.140625" style="3" bestFit="1" customWidth="1"/>
    <col min="9" max="9" width="13.421875" style="3" customWidth="1"/>
    <col min="10" max="10" width="15.140625" style="3" customWidth="1"/>
    <col min="11" max="11" width="14.00390625" style="3" customWidth="1"/>
    <col min="12" max="12" width="19.57421875" style="3" customWidth="1"/>
    <col min="13" max="13" width="13.8515625" style="3" bestFit="1" customWidth="1"/>
    <col min="14" max="14" width="18.57421875" style="3" customWidth="1"/>
    <col min="15" max="15" width="2.7109375" style="3" customWidth="1"/>
    <col min="16" max="17" width="9.7109375" style="3" customWidth="1"/>
    <col min="18" max="18" width="16.00390625" style="3" customWidth="1"/>
    <col min="19" max="22" width="9.7109375" style="3" customWidth="1"/>
    <col min="23" max="23" width="28.140625" style="3" bestFit="1" customWidth="1"/>
    <col min="24" max="24" width="9.7109375" style="3" customWidth="1"/>
    <col min="25" max="25" width="17.421875" style="3" bestFit="1" customWidth="1"/>
    <col min="26" max="26" width="9.7109375" style="3" customWidth="1"/>
    <col min="27" max="27" width="10.57421875" style="3" bestFit="1" customWidth="1"/>
    <col min="28" max="28" width="9.7109375" style="3" customWidth="1"/>
    <col min="29" max="29" width="15.421875" style="3" customWidth="1"/>
    <col min="30" max="33" width="9.7109375" style="3" customWidth="1"/>
    <col min="34" max="34" width="15.140625" style="3" customWidth="1"/>
    <col min="35" max="36" width="7.7109375" style="3" customWidth="1"/>
    <col min="37" max="37" width="15.421875" style="3" customWidth="1"/>
    <col min="38" max="38" width="7.7109375" style="3" customWidth="1"/>
    <col min="39" max="39" width="16.28125" style="3" customWidth="1"/>
    <col min="40" max="40" width="7.7109375" style="3" customWidth="1"/>
    <col min="41" max="41" width="16.421875" style="3" customWidth="1"/>
    <col min="42" max="42" width="7.7109375" style="3" customWidth="1"/>
    <col min="43" max="43" width="15.421875" style="3" customWidth="1"/>
    <col min="44" max="44" width="7.7109375" style="3" customWidth="1"/>
    <col min="45" max="45" width="16.57421875" style="3" customWidth="1"/>
    <col min="46" max="46" width="2.7109375" style="3" customWidth="1"/>
    <col min="47" max="16384" width="9.7109375" style="3" customWidth="1"/>
  </cols>
  <sheetData>
    <row r="1" ht="15"/>
    <row r="2" spans="21:39" ht="15.75">
      <c r="U2" s="26" t="str">
        <f>+F3</f>
        <v>AEP GENERATING COMPANY</v>
      </c>
      <c r="V2" s="26"/>
      <c r="AH2" s="209" t="str">
        <f>INSTRUCTIONS!$L$29&amp;" Bill"</f>
        <v>ESTIMATE Bill</v>
      </c>
      <c r="AM2" s="26" t="str">
        <f>+F3</f>
        <v>AEP GENERATING COMPANY</v>
      </c>
    </row>
    <row r="3" spans="2:45" ht="15.75">
      <c r="B3" s="209" t="str">
        <f>INSTRUCTIONS!$L$29&amp;" Bill"</f>
        <v>ESTIMATE Bill</v>
      </c>
      <c r="E3" s="5"/>
      <c r="F3" s="206" t="s">
        <v>1555</v>
      </c>
      <c r="G3" s="207"/>
      <c r="H3" s="208"/>
      <c r="N3" s="18" t="s">
        <v>750</v>
      </c>
      <c r="U3" s="26" t="str">
        <f>+F4</f>
        <v>ROCKPORT PLANT UNIT NO. 1</v>
      </c>
      <c r="V3" s="26"/>
      <c r="AC3" s="3" t="s">
        <v>751</v>
      </c>
      <c r="AM3" s="78" t="s">
        <v>806</v>
      </c>
      <c r="AS3" s="18" t="s">
        <v>807</v>
      </c>
    </row>
    <row r="4" spans="5:45" ht="15.75">
      <c r="E4" s="5"/>
      <c r="F4" s="206" t="s">
        <v>806</v>
      </c>
      <c r="G4" s="207"/>
      <c r="H4" s="208"/>
      <c r="N4" s="18" t="str">
        <f>INSTRUCTIONS!Q13</f>
        <v>JMJ</v>
      </c>
      <c r="U4" s="78" t="s">
        <v>808</v>
      </c>
      <c r="V4" s="26"/>
      <c r="AC4" s="210">
        <f ca="1">TODAY()</f>
        <v>44061</v>
      </c>
      <c r="AM4" s="78" t="s">
        <v>809</v>
      </c>
      <c r="AS4" s="210">
        <f ca="1">TODAY()</f>
        <v>44061</v>
      </c>
    </row>
    <row r="5" spans="5:39" ht="15.75">
      <c r="E5" s="5"/>
      <c r="F5" s="206" t="s">
        <v>810</v>
      </c>
      <c r="G5" s="207"/>
      <c r="H5" s="208"/>
      <c r="N5" s="210">
        <f ca="1">TODAY()</f>
        <v>44061</v>
      </c>
      <c r="U5" s="26" t="str">
        <f>F6</f>
        <v>January, 2016</v>
      </c>
      <c r="V5" s="26"/>
      <c r="AM5" s="26" t="str">
        <f>+F6</f>
        <v>January, 2016</v>
      </c>
    </row>
    <row r="6" spans="5:29" ht="15.75">
      <c r="E6" s="5"/>
      <c r="F6" s="221" t="str">
        <f>INSTRUCTIONS!L7</f>
        <v>January, 2016</v>
      </c>
      <c r="G6" s="207"/>
      <c r="H6" s="208"/>
      <c r="N6" s="18" t="s">
        <v>811</v>
      </c>
      <c r="AC6" s="21"/>
    </row>
    <row r="7" spans="23:29" ht="15.75">
      <c r="W7" s="21" t="s">
        <v>1710</v>
      </c>
      <c r="Y7" s="21" t="s">
        <v>1060</v>
      </c>
      <c r="AA7" s="21"/>
      <c r="AC7" s="21"/>
    </row>
    <row r="8" spans="18:45" ht="15.75">
      <c r="R8" s="34"/>
      <c r="W8" s="59" t="s">
        <v>1072</v>
      </c>
      <c r="Y8" s="59" t="s">
        <v>1072</v>
      </c>
      <c r="AA8" s="59"/>
      <c r="AC8" s="59"/>
      <c r="AK8" s="21" t="s">
        <v>1062</v>
      </c>
      <c r="AL8" s="26"/>
      <c r="AM8" s="21" t="s">
        <v>423</v>
      </c>
      <c r="AN8" s="26"/>
      <c r="AO8" s="21" t="s">
        <v>424</v>
      </c>
      <c r="AP8" s="26"/>
      <c r="AQ8" s="21" t="s">
        <v>670</v>
      </c>
      <c r="AR8" s="26"/>
      <c r="AS8" s="21" t="s">
        <v>671</v>
      </c>
    </row>
    <row r="9" spans="18:45" ht="15.75">
      <c r="R9" s="34" t="s">
        <v>611</v>
      </c>
      <c r="W9" s="8">
        <f>+N41</f>
        <v>3888111</v>
      </c>
      <c r="Y9" s="8">
        <f>+N42</f>
        <v>1666337</v>
      </c>
      <c r="AA9" s="8"/>
      <c r="AC9" s="8"/>
      <c r="AK9" s="222" t="s">
        <v>1072</v>
      </c>
      <c r="AL9" s="26"/>
      <c r="AM9" s="222" t="s">
        <v>1072</v>
      </c>
      <c r="AN9" s="26"/>
      <c r="AO9" s="222" t="s">
        <v>1072</v>
      </c>
      <c r="AP9" s="26"/>
      <c r="AQ9" s="222" t="s">
        <v>1072</v>
      </c>
      <c r="AR9" s="26"/>
      <c r="AS9" s="222" t="s">
        <v>1072</v>
      </c>
    </row>
    <row r="10" spans="18:45" ht="15">
      <c r="R10" s="34"/>
      <c r="AF10" s="3" t="s">
        <v>612</v>
      </c>
      <c r="AK10" s="8">
        <f>+N38</f>
        <v>5554447.995499999</v>
      </c>
      <c r="AM10" s="8">
        <f>+N33</f>
        <v>5085895.108</v>
      </c>
      <c r="AO10" s="8">
        <f>+N34</f>
        <v>220114.9986</v>
      </c>
      <c r="AQ10" s="8">
        <f>+N35</f>
        <v>189345.88890000002</v>
      </c>
      <c r="AS10" s="8">
        <f>+N36</f>
        <v>59092</v>
      </c>
    </row>
    <row r="11" spans="1:44" ht="15.75">
      <c r="A11" s="3" t="s">
        <v>613</v>
      </c>
      <c r="F11" s="8">
        <f>SUM(F12:F14)</f>
        <v>409426</v>
      </c>
      <c r="R11" s="34" t="s">
        <v>614</v>
      </c>
      <c r="W11" s="8">
        <f>+F14</f>
        <v>143299</v>
      </c>
      <c r="Y11" s="8">
        <f>+F13</f>
        <v>61414</v>
      </c>
      <c r="AA11" s="8"/>
      <c r="AC11" s="8"/>
      <c r="AR11" s="26"/>
    </row>
    <row r="12" spans="1:45" ht="15">
      <c r="A12" s="3" t="s">
        <v>514</v>
      </c>
      <c r="F12" s="109">
        <f>FUELSCH!D58</f>
        <v>204713</v>
      </c>
      <c r="R12" s="34"/>
      <c r="W12" s="59" t="s">
        <v>1072</v>
      </c>
      <c r="Y12" s="59" t="s">
        <v>1072</v>
      </c>
      <c r="AA12" s="59"/>
      <c r="AC12" s="59"/>
      <c r="AF12" s="3" t="s">
        <v>515</v>
      </c>
      <c r="AK12" s="60">
        <f>ROUND((AK10/AK10),6)</f>
        <v>1</v>
      </c>
      <c r="AM12" s="60">
        <f>ROUND((AM10/AK10),6)</f>
        <v>0.915644</v>
      </c>
      <c r="AO12" s="60">
        <f>ROUND((AO10/AK10),6)</f>
        <v>0.039629</v>
      </c>
      <c r="AQ12" s="60">
        <f>ROUND((AQ10/AK10),6)</f>
        <v>0.034089</v>
      </c>
      <c r="AS12" s="60">
        <f>AK12-AM12-AO12-AQ12</f>
        <v>0.010637999999999988</v>
      </c>
    </row>
    <row r="13" spans="1:29" ht="15.75">
      <c r="A13" s="3" t="s">
        <v>518</v>
      </c>
      <c r="F13" s="109">
        <f>FUELSCH!D60</f>
        <v>61414</v>
      </c>
      <c r="R13" s="34" t="s">
        <v>517</v>
      </c>
      <c r="W13" s="212">
        <f>IF((W11=0),0,(ROUND((W9/W11),3)))</f>
        <v>27.133</v>
      </c>
      <c r="Y13" s="212">
        <f>IF((Y11=0),0,(ROUND((Y9/Y11),3)))</f>
        <v>27.133</v>
      </c>
      <c r="Z13" s="26"/>
      <c r="AA13" s="212"/>
      <c r="AC13" s="212"/>
    </row>
    <row r="14" spans="1:18" ht="15">
      <c r="A14" s="3" t="s">
        <v>516</v>
      </c>
      <c r="F14" s="109">
        <f>FUELSCH!D59</f>
        <v>143299</v>
      </c>
      <c r="R14" s="34"/>
    </row>
    <row r="15" spans="6:18" ht="15">
      <c r="F15" s="109"/>
      <c r="R15" s="34"/>
    </row>
    <row r="16" spans="18:45" ht="15">
      <c r="R16" s="34"/>
      <c r="AF16" s="3" t="s">
        <v>1710</v>
      </c>
      <c r="AH16" s="8">
        <f>+F14</f>
        <v>143299</v>
      </c>
      <c r="AI16" s="18" t="s">
        <v>1203</v>
      </c>
      <c r="AK16" s="8">
        <f>+N41</f>
        <v>3888111</v>
      </c>
      <c r="AM16" s="8">
        <f>ROUND((AK16*AM12),0)</f>
        <v>3560126</v>
      </c>
      <c r="AO16" s="8">
        <f>ROUND((AK16*AO12),0)</f>
        <v>154082</v>
      </c>
      <c r="AQ16" s="8">
        <f>ROUND((AK16*AQ12),0)</f>
        <v>132542</v>
      </c>
      <c r="AS16" s="8">
        <f>ROUND((AK16*AS12),0)</f>
        <v>41362</v>
      </c>
    </row>
    <row r="17" spans="18:45" ht="15">
      <c r="R17" s="34"/>
      <c r="AH17" s="8"/>
      <c r="AI17" s="18"/>
      <c r="AK17" s="20"/>
      <c r="AM17" s="8"/>
      <c r="AO17" s="8"/>
      <c r="AQ17" s="8"/>
      <c r="AS17" s="8"/>
    </row>
    <row r="18" spans="18:45" ht="15">
      <c r="R18" s="34"/>
      <c r="AF18" s="34" t="s">
        <v>1060</v>
      </c>
      <c r="AH18" s="8">
        <f>+F13</f>
        <v>61414</v>
      </c>
      <c r="AI18" s="18" t="s">
        <v>1203</v>
      </c>
      <c r="AK18" s="8">
        <f>+N42</f>
        <v>1666337</v>
      </c>
      <c r="AM18" s="8">
        <f>AM10-AM16</f>
        <v>1525769.108</v>
      </c>
      <c r="AO18" s="8">
        <f>AO10-AO16</f>
        <v>66032.99859999999</v>
      </c>
      <c r="AQ18" s="8">
        <f>AQ10-AQ16</f>
        <v>56803.88890000002</v>
      </c>
      <c r="AS18" s="8">
        <f>AS10-AS16</f>
        <v>17730</v>
      </c>
    </row>
    <row r="19" spans="19:45" ht="15">
      <c r="S19" s="18"/>
      <c r="W19" s="8"/>
      <c r="X19" s="18"/>
      <c r="AA19" s="18"/>
      <c r="AC19" s="8"/>
      <c r="AK19" s="59" t="s">
        <v>1072</v>
      </c>
      <c r="AM19" s="59" t="s">
        <v>1072</v>
      </c>
      <c r="AO19" s="59" t="s">
        <v>1072</v>
      </c>
      <c r="AQ19" s="59" t="s">
        <v>1072</v>
      </c>
      <c r="AS19" s="59" t="s">
        <v>1072</v>
      </c>
    </row>
    <row r="20" spans="29:45" ht="15">
      <c r="AC20" s="59" t="s">
        <v>1569</v>
      </c>
      <c r="AF20" s="3" t="s">
        <v>1716</v>
      </c>
      <c r="AK20" s="8">
        <f>AK16+AK18</f>
        <v>5554448</v>
      </c>
      <c r="AM20" s="8">
        <f>AM16+AM18</f>
        <v>5085895.108</v>
      </c>
      <c r="AO20" s="8">
        <f>AO16+AO18</f>
        <v>220114.9986</v>
      </c>
      <c r="AQ20" s="8">
        <f>AQ16+AQ18</f>
        <v>189345.88890000002</v>
      </c>
      <c r="AS20" s="8">
        <f>AS16+AS18</f>
        <v>59092</v>
      </c>
    </row>
    <row r="21" spans="1:45" ht="15">
      <c r="A21" s="18" t="s">
        <v>1717</v>
      </c>
      <c r="B21" s="34" t="s">
        <v>1718</v>
      </c>
      <c r="L21" s="8">
        <f>SUM(N33:N35)</f>
        <v>5495355.995499999</v>
      </c>
      <c r="AK21" s="59" t="s">
        <v>1569</v>
      </c>
      <c r="AM21" s="59" t="s">
        <v>1569</v>
      </c>
      <c r="AO21" s="59" t="s">
        <v>1569</v>
      </c>
      <c r="AQ21" s="59" t="s">
        <v>1569</v>
      </c>
      <c r="AS21" s="59" t="s">
        <v>1569</v>
      </c>
    </row>
    <row r="22" spans="2:12" ht="15">
      <c r="B22" s="34" t="s">
        <v>214</v>
      </c>
      <c r="L22" s="8">
        <f>+N36</f>
        <v>59092</v>
      </c>
    </row>
    <row r="23" spans="2:29" ht="15">
      <c r="B23" s="34"/>
      <c r="S23" s="18" t="s">
        <v>215</v>
      </c>
      <c r="W23" s="8">
        <f>+F13</f>
        <v>61414</v>
      </c>
      <c r="X23" s="18" t="s">
        <v>519</v>
      </c>
      <c r="Y23" s="3">
        <f>+J48</f>
        <v>27.132854266705092</v>
      </c>
      <c r="AA23" s="18" t="s">
        <v>1569</v>
      </c>
      <c r="AC23" s="8">
        <f>ROUND((W23*Y23),0)</f>
        <v>1666337</v>
      </c>
    </row>
    <row r="24" spans="2:45" ht="15.75">
      <c r="B24" s="34"/>
      <c r="C24" s="34" t="s">
        <v>898</v>
      </c>
      <c r="J24" s="12"/>
      <c r="L24" s="33"/>
      <c r="N24" s="8">
        <f>+N33</f>
        <v>5085895.108</v>
      </c>
      <c r="AC24" s="59" t="s">
        <v>1569</v>
      </c>
      <c r="AP24" s="21"/>
      <c r="AQ24" s="21"/>
      <c r="AR24" s="21"/>
      <c r="AS24" s="21"/>
    </row>
    <row r="25" spans="2:38" ht="15.75">
      <c r="B25" s="34"/>
      <c r="C25" s="34" t="s">
        <v>1615</v>
      </c>
      <c r="J25" s="12"/>
      <c r="L25" s="33"/>
      <c r="N25" s="8">
        <f>+N34</f>
        <v>220114.9986</v>
      </c>
      <c r="AL25" s="144" t="s">
        <v>1614</v>
      </c>
    </row>
    <row r="26" spans="2:33" ht="15">
      <c r="B26" s="34"/>
      <c r="C26" s="34" t="s">
        <v>1219</v>
      </c>
      <c r="J26" s="12"/>
      <c r="L26" s="33"/>
      <c r="N26" s="8">
        <f>+N35</f>
        <v>189345.88890000002</v>
      </c>
      <c r="AG26" s="34"/>
    </row>
    <row r="27" spans="2:45" ht="15.75">
      <c r="B27" s="34"/>
      <c r="C27" s="34" t="s">
        <v>1425</v>
      </c>
      <c r="I27" s="12"/>
      <c r="N27" s="8">
        <f>+N36</f>
        <v>59092</v>
      </c>
      <c r="S27" s="18" t="s">
        <v>1424</v>
      </c>
      <c r="W27" s="8">
        <f>F14</f>
        <v>143299</v>
      </c>
      <c r="X27" s="18" t="s">
        <v>519</v>
      </c>
      <c r="Y27" s="3">
        <f>+J48</f>
        <v>27.132854266705092</v>
      </c>
      <c r="AA27" s="18" t="s">
        <v>1569</v>
      </c>
      <c r="AC27" s="8">
        <f>ROUND((W27*Y27),0)</f>
        <v>3888111</v>
      </c>
      <c r="AG27" s="34"/>
      <c r="AK27" s="26"/>
      <c r="AL27" s="26"/>
      <c r="AM27" s="21" t="s">
        <v>48</v>
      </c>
      <c r="AN27" s="26"/>
      <c r="AO27" s="21" t="s">
        <v>48</v>
      </c>
      <c r="AP27" s="26"/>
      <c r="AQ27" s="26"/>
      <c r="AR27" s="26"/>
      <c r="AS27" s="26"/>
    </row>
    <row r="28" spans="2:45" ht="15.75">
      <c r="B28" s="34"/>
      <c r="S28" s="18"/>
      <c r="W28" s="8"/>
      <c r="X28" s="18"/>
      <c r="AA28" s="18"/>
      <c r="AC28" s="8"/>
      <c r="AG28" s="34"/>
      <c r="AK28" s="21" t="s">
        <v>1062</v>
      </c>
      <c r="AL28" s="26"/>
      <c r="AM28" s="21" t="s">
        <v>423</v>
      </c>
      <c r="AN28" s="26"/>
      <c r="AO28" s="21" t="s">
        <v>424</v>
      </c>
      <c r="AP28" s="26"/>
      <c r="AQ28" s="21" t="s">
        <v>132</v>
      </c>
      <c r="AR28" s="26"/>
      <c r="AS28" s="21" t="s">
        <v>1586</v>
      </c>
    </row>
    <row r="29" spans="2:45" ht="15">
      <c r="B29" s="34" t="s">
        <v>1902</v>
      </c>
      <c r="AC29" s="59" t="s">
        <v>1072</v>
      </c>
      <c r="AG29" s="34"/>
      <c r="AK29" s="59" t="s">
        <v>1072</v>
      </c>
      <c r="AM29" s="59" t="s">
        <v>1072</v>
      </c>
      <c r="AO29" s="59" t="s">
        <v>1072</v>
      </c>
      <c r="AQ29" s="59" t="s">
        <v>1072</v>
      </c>
      <c r="AS29" s="59" t="s">
        <v>1072</v>
      </c>
    </row>
    <row r="30" spans="2:45" ht="15.75">
      <c r="B30" s="34"/>
      <c r="J30" s="131">
        <f>F33*H33</f>
        <v>119063</v>
      </c>
      <c r="K30" s="86"/>
      <c r="N30" s="21"/>
      <c r="AC30" s="8">
        <f>AC27</f>
        <v>3888111</v>
      </c>
      <c r="AG30" s="34" t="s">
        <v>1710</v>
      </c>
      <c r="AK30" s="8">
        <f>+AC27</f>
        <v>3888111</v>
      </c>
      <c r="AM30" s="8">
        <f>IF(($N$33=0),0,(ROUND((($N$33/$G$48)*F14),0)))</f>
        <v>3560124</v>
      </c>
      <c r="AO30" s="8">
        <f>IF(($N$34=0),0,(ROUND((($N$34/$G$48)*F14),0)))</f>
        <v>154080</v>
      </c>
      <c r="AQ30" s="8">
        <f>IF(($N$35=0),0,(ROUND((($N$35/$G$48)*F14),0)))</f>
        <v>132542</v>
      </c>
      <c r="AS30" s="8">
        <f>AK30-AM30-AO30-AQ30</f>
        <v>41365</v>
      </c>
    </row>
    <row r="31" spans="2:33" ht="15.75">
      <c r="B31" s="34"/>
      <c r="J31" s="11">
        <v>0</v>
      </c>
      <c r="K31" s="34" t="s">
        <v>1290</v>
      </c>
      <c r="N31" s="21"/>
      <c r="AC31" s="59" t="s">
        <v>1569</v>
      </c>
      <c r="AG31" s="34"/>
    </row>
    <row r="32" spans="2:38" ht="15.75">
      <c r="B32" s="34"/>
      <c r="F32" s="215" t="s">
        <v>774</v>
      </c>
      <c r="H32" s="215" t="s">
        <v>775</v>
      </c>
      <c r="J32" s="59" t="s">
        <v>1072</v>
      </c>
      <c r="L32" s="216" t="s">
        <v>563</v>
      </c>
      <c r="N32" s="21"/>
      <c r="AG32" s="34"/>
      <c r="AL32" s="34"/>
    </row>
    <row r="33" spans="2:45" ht="15">
      <c r="B33" s="34" t="s">
        <v>824</v>
      </c>
      <c r="F33" s="218">
        <f>-FUELSCH!E13</f>
        <v>238126</v>
      </c>
      <c r="G33" s="18" t="s">
        <v>519</v>
      </c>
      <c r="H33" s="217">
        <v>0.5</v>
      </c>
      <c r="I33" s="18" t="s">
        <v>1569</v>
      </c>
      <c r="J33" s="218">
        <f>J30+J31</f>
        <v>119063</v>
      </c>
      <c r="K33" s="223" t="s">
        <v>623</v>
      </c>
      <c r="L33" s="219">
        <v>42.716</v>
      </c>
      <c r="M33" s="18" t="s">
        <v>1569</v>
      </c>
      <c r="N33" s="40">
        <f>J33*L33</f>
        <v>5085895.108</v>
      </c>
      <c r="AG33" s="34" t="s">
        <v>1060</v>
      </c>
      <c r="AK33" s="8">
        <f>+AC23</f>
        <v>1666337</v>
      </c>
      <c r="AM33" s="8">
        <f>IF(($N$33=0),0,(ROUND((($N$33/$G$48)*F13),0)))</f>
        <v>1525771</v>
      </c>
      <c r="AO33" s="8">
        <f>IF(($N$34=0),0,(ROUND((($N$34/$G$48)*F13),0)))</f>
        <v>66035</v>
      </c>
      <c r="AQ33" s="8">
        <f>IF(($N$35=0),0,(ROUND((($N$35/$G$48)*F13),0)))</f>
        <v>56804</v>
      </c>
      <c r="AS33" s="8">
        <f>((AK33-AM33)-AO33)-AQ33</f>
        <v>17727</v>
      </c>
    </row>
    <row r="34" spans="2:33" ht="15">
      <c r="B34" s="34" t="s">
        <v>1254</v>
      </c>
      <c r="F34" s="218">
        <f>-FUELSCH!E27-FUELSCH!E28</f>
        <v>211182</v>
      </c>
      <c r="G34" s="18" t="s">
        <v>519</v>
      </c>
      <c r="H34" s="217">
        <v>0.5</v>
      </c>
      <c r="I34" s="224" t="s">
        <v>1569</v>
      </c>
      <c r="J34" s="218">
        <f>ROUND((F34*H34),1)</f>
        <v>105591</v>
      </c>
      <c r="K34" s="223" t="s">
        <v>623</v>
      </c>
      <c r="L34" s="219">
        <v>2.0846</v>
      </c>
      <c r="M34" s="18" t="s">
        <v>1569</v>
      </c>
      <c r="N34" s="40">
        <f>J34*L34</f>
        <v>220114.9986</v>
      </c>
      <c r="U34" s="18" t="s">
        <v>700</v>
      </c>
      <c r="W34" s="3" t="s">
        <v>1423</v>
      </c>
      <c r="AC34" s="8">
        <f>AC23+AC30</f>
        <v>5554448</v>
      </c>
      <c r="AG34" s="34"/>
    </row>
    <row r="35" spans="2:45" ht="15">
      <c r="B35" s="34" t="s">
        <v>701</v>
      </c>
      <c r="F35" s="131">
        <f>+F33</f>
        <v>238126</v>
      </c>
      <c r="G35" s="18" t="s">
        <v>519</v>
      </c>
      <c r="H35" s="217">
        <f>H33</f>
        <v>0.5</v>
      </c>
      <c r="I35" s="18" t="s">
        <v>1569</v>
      </c>
      <c r="J35" s="218">
        <f>J30+J31</f>
        <v>119063</v>
      </c>
      <c r="K35" s="18" t="s">
        <v>1495</v>
      </c>
      <c r="L35" s="219">
        <v>1.5903</v>
      </c>
      <c r="M35" s="18" t="s">
        <v>1569</v>
      </c>
      <c r="N35" s="40">
        <f>J35*L35</f>
        <v>189345.88890000002</v>
      </c>
      <c r="AC35" s="59" t="s">
        <v>1569</v>
      </c>
      <c r="AG35" s="34"/>
      <c r="AK35" s="8"/>
      <c r="AM35" s="8"/>
      <c r="AO35" s="8"/>
      <c r="AQ35" s="8"/>
      <c r="AS35" s="8"/>
    </row>
    <row r="36" spans="2:45" ht="15">
      <c r="B36" s="34" t="s">
        <v>836</v>
      </c>
      <c r="E36" s="3" t="s">
        <v>1069</v>
      </c>
      <c r="N36" s="39">
        <v>59092</v>
      </c>
      <c r="AG36" s="34"/>
      <c r="AK36" s="59" t="s">
        <v>1072</v>
      </c>
      <c r="AM36" s="59" t="s">
        <v>1072</v>
      </c>
      <c r="AO36" s="59" t="s">
        <v>1072</v>
      </c>
      <c r="AQ36" s="59" t="s">
        <v>1072</v>
      </c>
      <c r="AS36" s="59" t="s">
        <v>1072</v>
      </c>
    </row>
    <row r="37" spans="2:33" ht="15">
      <c r="B37" s="34"/>
      <c r="I37" s="140"/>
      <c r="J37" s="140"/>
      <c r="K37" s="140"/>
      <c r="L37" s="140"/>
      <c r="N37" s="16"/>
      <c r="AG37" s="34"/>
    </row>
    <row r="38" spans="2:45" ht="15">
      <c r="B38" s="34"/>
      <c r="N38" s="8">
        <f>SUM(N33:N36)</f>
        <v>5554447.995499999</v>
      </c>
      <c r="AG38" s="34" t="s">
        <v>702</v>
      </c>
      <c r="AK38" s="8">
        <f>AK30+AK33</f>
        <v>5554448</v>
      </c>
      <c r="AM38" s="8">
        <f>AM30+AM33</f>
        <v>5085895</v>
      </c>
      <c r="AO38" s="8">
        <f>AO30+AO33</f>
        <v>220115</v>
      </c>
      <c r="AQ38" s="8">
        <f>AQ30+AQ33</f>
        <v>189346</v>
      </c>
      <c r="AS38" s="8">
        <f>AS30+AS33</f>
        <v>59092</v>
      </c>
    </row>
    <row r="39" spans="2:45" ht="15">
      <c r="B39" s="34"/>
      <c r="N39" s="16" t="s">
        <v>1569</v>
      </c>
      <c r="AG39" s="34"/>
      <c r="AK39" s="59" t="s">
        <v>1569</v>
      </c>
      <c r="AM39" s="59" t="s">
        <v>1569</v>
      </c>
      <c r="AO39" s="59" t="s">
        <v>1569</v>
      </c>
      <c r="AQ39" s="59" t="s">
        <v>1569</v>
      </c>
      <c r="AS39" s="59" t="s">
        <v>1569</v>
      </c>
    </row>
    <row r="40" spans="2:33" ht="15.75">
      <c r="B40" s="34"/>
      <c r="J40" s="139"/>
      <c r="K40" s="139"/>
      <c r="N40" s="21"/>
      <c r="AG40" s="34"/>
    </row>
    <row r="41" spans="2:33" ht="15">
      <c r="B41" s="34" t="s">
        <v>1710</v>
      </c>
      <c r="E41" s="8">
        <f>+F14</f>
        <v>143299</v>
      </c>
      <c r="F41" s="18" t="s">
        <v>1481</v>
      </c>
      <c r="G41" s="8">
        <f>SUM($F$13:$F$14)</f>
        <v>204713</v>
      </c>
      <c r="H41" s="18" t="s">
        <v>519</v>
      </c>
      <c r="I41" s="8">
        <f>+N38</f>
        <v>5554447.995499999</v>
      </c>
      <c r="J41" s="225"/>
      <c r="M41" s="18" t="s">
        <v>1569</v>
      </c>
      <c r="N41" s="14">
        <f>IF(F11=0,"0",ROUND(((E41/G41)*I41),0))</f>
        <v>3888111</v>
      </c>
      <c r="AG41" s="34"/>
    </row>
    <row r="42" spans="2:41" ht="15">
      <c r="B42" s="34" t="s">
        <v>1060</v>
      </c>
      <c r="E42" s="8">
        <f>+F13</f>
        <v>61414</v>
      </c>
      <c r="F42" s="18" t="s">
        <v>1481</v>
      </c>
      <c r="G42" s="8">
        <f>SUM($F$13:$F$14)</f>
        <v>204713</v>
      </c>
      <c r="H42" s="18" t="s">
        <v>519</v>
      </c>
      <c r="I42" s="8">
        <f>+N38</f>
        <v>5554447.995499999</v>
      </c>
      <c r="J42" s="225"/>
      <c r="M42" s="18" t="s">
        <v>1569</v>
      </c>
      <c r="N42" s="14">
        <f>IF(F12=0,"0",ROUND(((E42/G42)*I42),0))</f>
        <v>1666337</v>
      </c>
      <c r="AG42" s="34"/>
      <c r="AK42" s="8"/>
      <c r="AL42" s="18"/>
      <c r="AO42" s="8"/>
    </row>
    <row r="43" spans="2:41" ht="15">
      <c r="B43" s="34"/>
      <c r="N43" s="16" t="s">
        <v>1072</v>
      </c>
      <c r="AG43" s="34"/>
      <c r="AO43" s="59"/>
    </row>
    <row r="44" spans="2:33" ht="15">
      <c r="B44" s="34"/>
      <c r="N44" s="8">
        <f>N38</f>
        <v>5554447.995499999</v>
      </c>
      <c r="AG44" s="34"/>
    </row>
    <row r="45" spans="2:33" ht="15">
      <c r="B45" s="34"/>
      <c r="N45" s="59" t="s">
        <v>1569</v>
      </c>
      <c r="AG45" s="34"/>
    </row>
    <row r="46" ht="15">
      <c r="AG46" s="34"/>
    </row>
    <row r="47" spans="2:33" ht="15">
      <c r="B47" s="34"/>
      <c r="M47" s="226"/>
      <c r="N47" s="8"/>
      <c r="AG47" s="34"/>
    </row>
    <row r="48" spans="2:33" ht="15">
      <c r="B48" s="34"/>
      <c r="E48" s="8">
        <f>+N38</f>
        <v>5554447.995499999</v>
      </c>
      <c r="F48" s="18" t="s">
        <v>1481</v>
      </c>
      <c r="G48" s="8">
        <f>SUM(F13:F14)</f>
        <v>204713</v>
      </c>
      <c r="H48" s="18" t="s">
        <v>1203</v>
      </c>
      <c r="I48" s="18" t="s">
        <v>1569</v>
      </c>
      <c r="J48" s="171">
        <f>IF((G48=0),0,(E48/G48))</f>
        <v>27.132854266705092</v>
      </c>
      <c r="K48" s="18" t="s">
        <v>1580</v>
      </c>
      <c r="L48" s="8"/>
      <c r="M48" s="8"/>
      <c r="AG48" s="34"/>
    </row>
    <row r="49" spans="1:33" ht="15">
      <c r="A49" s="5"/>
      <c r="B49" s="34"/>
      <c r="L49" s="8"/>
      <c r="AG49" s="34"/>
    </row>
    <row r="50" ht="15">
      <c r="AG50" s="34"/>
    </row>
    <row r="51" spans="32:33" ht="15">
      <c r="AF51" s="18" t="s">
        <v>811</v>
      </c>
      <c r="AG51" s="34"/>
    </row>
    <row r="52" spans="1:33" ht="15.75">
      <c r="A52" s="26"/>
      <c r="AG52" s="34"/>
    </row>
    <row r="53" ht="15">
      <c r="AG53" s="34"/>
    </row>
    <row r="54" ht="15">
      <c r="AG54" s="34"/>
    </row>
    <row r="55" ht="15">
      <c r="AG55" s="34"/>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
      <selection activeCell="A3" sqref="A3"/>
    </sheetView>
  </sheetViews>
  <sheetFormatPr defaultColWidth="9.7109375" defaultRowHeight="12.75"/>
  <cols>
    <col min="1" max="4" width="9.7109375" style="3" customWidth="1"/>
    <col min="5" max="5" width="17.00390625" style="3" customWidth="1"/>
    <col min="6" max="6" width="13.00390625" style="3" customWidth="1"/>
    <col min="7" max="7" width="13.140625" style="3" customWidth="1"/>
    <col min="8" max="8" width="13.00390625" style="3" customWidth="1"/>
    <col min="9" max="9" width="13.8515625" style="3" customWidth="1"/>
    <col min="10" max="10" width="22.8515625" style="3" bestFit="1" customWidth="1"/>
    <col min="11" max="11" width="15.421875" style="3" customWidth="1"/>
    <col min="12" max="12" width="15.28125" style="3" customWidth="1"/>
    <col min="13" max="13" width="10.8515625" style="3" bestFit="1" customWidth="1"/>
    <col min="14" max="14" width="16.8515625" style="3" customWidth="1"/>
    <col min="15" max="21" width="9.7109375" style="3" customWidth="1"/>
    <col min="22" max="22" width="14.140625" style="3" customWidth="1"/>
    <col min="23" max="23" width="9.7109375" style="3" customWidth="1"/>
    <col min="24" max="24" width="12.140625" style="3" customWidth="1"/>
    <col min="25" max="25" width="9.7109375" style="3" customWidth="1"/>
    <col min="26" max="26" width="15.7109375" style="3" customWidth="1"/>
    <col min="27" max="27" width="9.7109375" style="3" customWidth="1"/>
    <col min="28" max="28" width="13.7109375" style="3" customWidth="1"/>
    <col min="29" max="31" width="9.7109375" style="3" customWidth="1"/>
    <col min="32" max="32" width="13.140625" style="3" customWidth="1"/>
    <col min="33" max="34" width="9.7109375" style="3" customWidth="1"/>
    <col min="35" max="35" width="15.57421875" style="3" customWidth="1"/>
    <col min="36" max="36" width="9.7109375" style="3" customWidth="1"/>
    <col min="37" max="37" width="13.57421875" style="3" customWidth="1"/>
    <col min="38" max="38" width="9.7109375" style="3" customWidth="1"/>
    <col min="39" max="39" width="12.28125" style="3" customWidth="1"/>
    <col min="40" max="40" width="9.7109375" style="3" customWidth="1"/>
    <col min="41" max="41" width="12.57421875" style="3" customWidth="1"/>
    <col min="42" max="42" width="9.7109375" style="3" customWidth="1"/>
    <col min="43" max="43" width="16.140625" style="3" customWidth="1"/>
    <col min="44" max="16384" width="9.7109375" style="3" customWidth="1"/>
  </cols>
  <sheetData>
    <row r="1" ht="15"/>
    <row r="2" spans="2:43" ht="15.75">
      <c r="B2" s="83" t="str">
        <f>FUELU1!B3</f>
        <v>ESTIMATE Bill</v>
      </c>
      <c r="F2" s="206" t="s">
        <v>1555</v>
      </c>
      <c r="G2" s="207"/>
      <c r="H2" s="208"/>
      <c r="N2" s="18" t="s">
        <v>750</v>
      </c>
      <c r="S2" s="26" t="str">
        <f>+F2</f>
        <v>AEP GENERATING COMPANY</v>
      </c>
      <c r="AB2" s="18" t="s">
        <v>751</v>
      </c>
      <c r="AF2" s="209" t="str">
        <f>INSTRUCTIONS!$L$29&amp;" Bill"</f>
        <v>ESTIMATE Bill</v>
      </c>
      <c r="AJ2" s="139" t="str">
        <f>+F2</f>
        <v>AEP GENERATING COMPANY</v>
      </c>
      <c r="AK2" s="139"/>
      <c r="AL2" s="139"/>
      <c r="AQ2" s="15" t="s">
        <v>807</v>
      </c>
    </row>
    <row r="3" spans="6:43" ht="15.75">
      <c r="F3" s="206" t="s">
        <v>1581</v>
      </c>
      <c r="G3" s="207"/>
      <c r="H3" s="208"/>
      <c r="N3" s="18" t="str">
        <f>(INSTRUCTIONS!Q13)&amp;(" UNIT 2")</f>
        <v>JMJ UNIT 2</v>
      </c>
      <c r="S3" s="26" t="str">
        <f>+F3</f>
        <v>ROCKPORT PLANT UNIT NO. 2</v>
      </c>
      <c r="AB3" s="210">
        <f ca="1">TODAY()</f>
        <v>44061</v>
      </c>
      <c r="AJ3" s="139" t="s">
        <v>1581</v>
      </c>
      <c r="AK3" s="139"/>
      <c r="AL3" s="139"/>
      <c r="AQ3" s="210">
        <f ca="1">TODAY()</f>
        <v>44061</v>
      </c>
    </row>
    <row r="4" spans="6:37" ht="15.75">
      <c r="F4" s="206" t="s">
        <v>877</v>
      </c>
      <c r="G4" s="207"/>
      <c r="H4" s="208"/>
      <c r="N4" s="129">
        <f ca="1">TODAY()</f>
        <v>44061</v>
      </c>
      <c r="S4" s="78" t="s">
        <v>802</v>
      </c>
      <c r="AK4" s="21" t="s">
        <v>301</v>
      </c>
    </row>
    <row r="5" spans="6:37" ht="15.75">
      <c r="F5" s="206" t="str">
        <f>FUELU1!F6</f>
        <v>January, 2016</v>
      </c>
      <c r="G5" s="207"/>
      <c r="H5" s="208"/>
      <c r="N5" s="18" t="s">
        <v>920</v>
      </c>
      <c r="S5" s="26" t="str">
        <f>+F5</f>
        <v>January, 2016</v>
      </c>
      <c r="AK5" s="26" t="str">
        <f>+F5</f>
        <v>January, 2016</v>
      </c>
    </row>
    <row r="6" ht="15.75">
      <c r="AB6" s="52"/>
    </row>
    <row r="7" spans="9:28" ht="15.75">
      <c r="I7" s="3" t="s">
        <v>1554</v>
      </c>
      <c r="V7" s="21"/>
      <c r="X7" s="21" t="s">
        <v>1060</v>
      </c>
      <c r="Z7" s="21" t="s">
        <v>1061</v>
      </c>
      <c r="AB7" s="21"/>
    </row>
    <row r="8" spans="22:43" ht="15.75">
      <c r="V8" s="59"/>
      <c r="X8" s="59" t="s">
        <v>1072</v>
      </c>
      <c r="Z8" s="59" t="s">
        <v>1072</v>
      </c>
      <c r="AB8" s="59"/>
      <c r="AI8" s="21" t="s">
        <v>1062</v>
      </c>
      <c r="AJ8" s="26"/>
      <c r="AK8" s="21" t="s">
        <v>423</v>
      </c>
      <c r="AL8" s="26"/>
      <c r="AM8" s="21" t="s">
        <v>424</v>
      </c>
      <c r="AN8" s="26"/>
      <c r="AO8" s="21" t="s">
        <v>670</v>
      </c>
      <c r="AP8" s="26"/>
      <c r="AQ8" s="21" t="s">
        <v>671</v>
      </c>
    </row>
    <row r="9" spans="9:43" ht="15">
      <c r="I9" s="5"/>
      <c r="Q9" s="34" t="s">
        <v>611</v>
      </c>
      <c r="V9" s="20"/>
      <c r="X9" s="8">
        <f>+N41</f>
        <v>1408129</v>
      </c>
      <c r="Z9" s="8">
        <f>+N42</f>
        <v>3285626</v>
      </c>
      <c r="AB9" s="8"/>
      <c r="AI9" s="59" t="s">
        <v>1072</v>
      </c>
      <c r="AK9" s="59" t="s">
        <v>1072</v>
      </c>
      <c r="AM9" s="59" t="s">
        <v>1072</v>
      </c>
      <c r="AO9" s="59" t="s">
        <v>1072</v>
      </c>
      <c r="AQ9" s="59" t="s">
        <v>1072</v>
      </c>
    </row>
    <row r="10" spans="1:43" ht="15">
      <c r="A10" s="3" t="s">
        <v>613</v>
      </c>
      <c r="F10" s="8">
        <f>SUM(F11:F13)</f>
        <v>346966</v>
      </c>
      <c r="Q10" s="34"/>
      <c r="AD10" s="3" t="s">
        <v>612</v>
      </c>
      <c r="AI10" s="8">
        <f>+N37</f>
        <v>4693754.61445</v>
      </c>
      <c r="AK10" s="8">
        <f>+N32</f>
        <v>4458686.2182</v>
      </c>
      <c r="AM10" s="8">
        <f>+N33</f>
        <v>21259.7931</v>
      </c>
      <c r="AO10" s="8">
        <f>+N34</f>
        <v>161193.60315</v>
      </c>
      <c r="AQ10" s="8">
        <f>+N35</f>
        <v>52615</v>
      </c>
    </row>
    <row r="11" spans="1:42" ht="15.75">
      <c r="A11" s="3" t="s">
        <v>514</v>
      </c>
      <c r="F11" s="8">
        <f>FUELSCH!F70</f>
        <v>173483</v>
      </c>
      <c r="Q11" s="34" t="s">
        <v>614</v>
      </c>
      <c r="V11" s="20"/>
      <c r="X11" s="8">
        <f>+F13</f>
        <v>52045</v>
      </c>
      <c r="Z11" s="8">
        <f>+F12</f>
        <v>121438</v>
      </c>
      <c r="AB11" s="8"/>
      <c r="AP11" s="26"/>
    </row>
    <row r="12" spans="1:43" ht="15">
      <c r="A12" s="3" t="s">
        <v>516</v>
      </c>
      <c r="F12" s="8">
        <f>FUELSCH!D72</f>
        <v>121438</v>
      </c>
      <c r="I12" s="3" t="s">
        <v>1554</v>
      </c>
      <c r="Q12" s="34"/>
      <c r="V12" s="59"/>
      <c r="X12" s="59" t="s">
        <v>1072</v>
      </c>
      <c r="Z12" s="59" t="s">
        <v>1072</v>
      </c>
      <c r="AB12" s="59"/>
      <c r="AD12" s="3" t="s">
        <v>515</v>
      </c>
      <c r="AI12" s="211">
        <f>IF(F10=0,"0",ROUND((AI10/AI10),6))</f>
        <v>1</v>
      </c>
      <c r="AJ12" s="15"/>
      <c r="AK12" s="211">
        <f>IF(F10=0,"0",ROUND((AK10/AI10),6))</f>
        <v>0.949919</v>
      </c>
      <c r="AL12" s="15"/>
      <c r="AM12" s="211">
        <f>IF(F10=0,"0",ROUND((AM10/AI10),6))</f>
        <v>0.004529</v>
      </c>
      <c r="AN12" s="15"/>
      <c r="AO12" s="211">
        <f>IF(F10=0,"0",ROUND((AO10/AI10),6))</f>
        <v>0.034342</v>
      </c>
      <c r="AQ12" s="60">
        <f>AI12-AK12-AM12-AO12</f>
        <v>0.011210000000000046</v>
      </c>
    </row>
    <row r="13" spans="1:28" ht="15">
      <c r="A13" s="3" t="s">
        <v>518</v>
      </c>
      <c r="F13" s="8">
        <f>FUELSCH!D71</f>
        <v>52045</v>
      </c>
      <c r="I13" s="3" t="s">
        <v>1554</v>
      </c>
      <c r="Q13" s="34" t="s">
        <v>517</v>
      </c>
      <c r="V13" s="212"/>
      <c r="X13" s="212">
        <f>IF(F10=0,"0",ROUND((X9/X11),3))</f>
        <v>27.056</v>
      </c>
      <c r="Z13" s="212">
        <f>IF(F10=0,"0",ROUND((Z9/Z11),3))</f>
        <v>27.056</v>
      </c>
      <c r="AB13" s="212"/>
    </row>
    <row r="14" spans="6:17" ht="15">
      <c r="F14" s="8"/>
      <c r="Q14" s="34"/>
    </row>
    <row r="15" ht="15">
      <c r="Q15" s="34"/>
    </row>
    <row r="16" spans="32:43" ht="15">
      <c r="AF16" s="8"/>
      <c r="AG16" s="18"/>
      <c r="AI16" s="20"/>
      <c r="AK16" s="8"/>
      <c r="AM16" s="8"/>
      <c r="AO16" s="8"/>
      <c r="AQ16" s="8"/>
    </row>
    <row r="17" spans="30:43" ht="15">
      <c r="AD17" s="3" t="s">
        <v>1060</v>
      </c>
      <c r="AF17" s="8">
        <f>+F13</f>
        <v>52045</v>
      </c>
      <c r="AG17" s="18" t="s">
        <v>1203</v>
      </c>
      <c r="AI17" s="20">
        <f>+N41</f>
        <v>1408129</v>
      </c>
      <c r="AK17" s="8">
        <f>ROUND((AI17*AK12),0)</f>
        <v>1337608</v>
      </c>
      <c r="AM17" s="8">
        <f>ROUND((AI17*AM12),0)</f>
        <v>6377</v>
      </c>
      <c r="AO17" s="8">
        <f>ROUND((AI17*AO12),0)</f>
        <v>48358</v>
      </c>
      <c r="AQ17" s="8">
        <f>ROUND((AI17*AQ12),0)</f>
        <v>15785</v>
      </c>
    </row>
    <row r="18" spans="30:43" ht="15">
      <c r="AD18" s="3" t="s">
        <v>1710</v>
      </c>
      <c r="AF18" s="8">
        <f>+F12</f>
        <v>121438</v>
      </c>
      <c r="AG18" s="18" t="s">
        <v>1203</v>
      </c>
      <c r="AI18" s="20">
        <f>+N42</f>
        <v>3285626</v>
      </c>
      <c r="AK18" s="8">
        <f>AK10-AK17</f>
        <v>3121078.2182</v>
      </c>
      <c r="AM18" s="8">
        <f>AM10-AM17</f>
        <v>14882.793099999999</v>
      </c>
      <c r="AO18" s="8">
        <f>AO10-AO17</f>
        <v>112835.60315000001</v>
      </c>
      <c r="AQ18" s="8">
        <f>AQ10-AQ17</f>
        <v>36830</v>
      </c>
    </row>
    <row r="19" spans="35:43" ht="15">
      <c r="AI19" s="59" t="s">
        <v>1072</v>
      </c>
      <c r="AK19" s="59" t="s">
        <v>1072</v>
      </c>
      <c r="AM19" s="59" t="s">
        <v>1072</v>
      </c>
      <c r="AO19" s="59" t="s">
        <v>1072</v>
      </c>
      <c r="AQ19" s="59" t="s">
        <v>1072</v>
      </c>
    </row>
    <row r="20" spans="1:43" ht="15">
      <c r="A20" s="18" t="s">
        <v>1717</v>
      </c>
      <c r="B20" s="34" t="s">
        <v>1718</v>
      </c>
      <c r="L20" s="8">
        <f>SUM(N32:N34)</f>
        <v>4641139.61445</v>
      </c>
      <c r="Q20" s="34" t="s">
        <v>520</v>
      </c>
      <c r="V20" s="8">
        <f>+F12</f>
        <v>121438</v>
      </c>
      <c r="W20" s="18" t="s">
        <v>519</v>
      </c>
      <c r="X20" s="3">
        <f>+J48</f>
        <v>27.055991736654313</v>
      </c>
      <c r="Z20" s="18" t="s">
        <v>1569</v>
      </c>
      <c r="AB20" s="8">
        <f>ROUND((V20*X20),0)</f>
        <v>3285626</v>
      </c>
      <c r="AD20" s="3" t="s">
        <v>1015</v>
      </c>
      <c r="AI20" s="8">
        <f>AI17+AI18</f>
        <v>4693755</v>
      </c>
      <c r="AK20" s="8">
        <f>AK17+AK18</f>
        <v>4458686.2182</v>
      </c>
      <c r="AM20" s="8">
        <f>AM17+AM18</f>
        <v>21259.7931</v>
      </c>
      <c r="AO20" s="8">
        <f>AO17+AO18</f>
        <v>161193.60315</v>
      </c>
      <c r="AQ20" s="8">
        <f>AQ17+AQ18</f>
        <v>52615</v>
      </c>
    </row>
    <row r="21" spans="2:43" ht="15">
      <c r="B21" s="34" t="s">
        <v>214</v>
      </c>
      <c r="L21" s="8">
        <f>+N35</f>
        <v>52615</v>
      </c>
      <c r="AB21" s="59" t="s">
        <v>1569</v>
      </c>
      <c r="AI21" s="59" t="s">
        <v>1569</v>
      </c>
      <c r="AK21" s="59" t="s">
        <v>1569</v>
      </c>
      <c r="AM21" s="59" t="s">
        <v>1569</v>
      </c>
      <c r="AO21" s="59" t="s">
        <v>1569</v>
      </c>
      <c r="AQ21" s="59" t="s">
        <v>1569</v>
      </c>
    </row>
    <row r="22" spans="2:43" ht="15">
      <c r="B22" s="34"/>
      <c r="AI22" s="213"/>
      <c r="AJ22" s="213"/>
      <c r="AK22" s="213"/>
      <c r="AL22" s="213"/>
      <c r="AM22" s="213"/>
      <c r="AN22" s="213"/>
      <c r="AO22" s="213"/>
      <c r="AP22" s="213"/>
      <c r="AQ22" s="213"/>
    </row>
    <row r="23" spans="2:43" ht="15.75">
      <c r="B23" s="34"/>
      <c r="C23" s="34" t="s">
        <v>898</v>
      </c>
      <c r="N23" s="8">
        <f>+N32</f>
        <v>4458686.2182</v>
      </c>
      <c r="AM23" s="38"/>
      <c r="AN23" s="38"/>
      <c r="AO23" s="38"/>
      <c r="AP23" s="38"/>
      <c r="AQ23" s="21"/>
    </row>
    <row r="24" spans="2:44" ht="15.75">
      <c r="B24" s="34"/>
      <c r="C24" s="34" t="s">
        <v>1615</v>
      </c>
      <c r="N24" s="8">
        <f>+N33</f>
        <v>21259.7931</v>
      </c>
      <c r="Q24" s="34" t="s">
        <v>215</v>
      </c>
      <c r="V24" s="8">
        <f>+F13</f>
        <v>52045</v>
      </c>
      <c r="W24" s="18" t="s">
        <v>519</v>
      </c>
      <c r="X24" s="3">
        <f>+J48</f>
        <v>27.055991736654313</v>
      </c>
      <c r="Z24" s="18" t="s">
        <v>1569</v>
      </c>
      <c r="AB24" s="8">
        <f>ROUND((V24*X24),0)</f>
        <v>1408129</v>
      </c>
      <c r="AI24" s="214" t="s">
        <v>1016</v>
      </c>
      <c r="AJ24" s="214"/>
      <c r="AK24" s="214"/>
      <c r="AL24" s="214"/>
      <c r="AM24" s="214"/>
      <c r="AN24" s="214"/>
      <c r="AO24" s="214"/>
      <c r="AP24" s="214"/>
      <c r="AQ24" s="214"/>
      <c r="AR24" s="214"/>
    </row>
    <row r="25" spans="2:28" ht="15">
      <c r="B25" s="34"/>
      <c r="C25" s="34" t="s">
        <v>1219</v>
      </c>
      <c r="N25" s="8">
        <f>+N34</f>
        <v>161193.60315</v>
      </c>
      <c r="AB25" s="59" t="s">
        <v>1569</v>
      </c>
    </row>
    <row r="26" spans="2:43" ht="15.75">
      <c r="B26" s="34"/>
      <c r="C26" s="34" t="s">
        <v>1425</v>
      </c>
      <c r="N26" s="8">
        <f>+N35</f>
        <v>52615</v>
      </c>
      <c r="AI26" s="26"/>
      <c r="AJ26" s="26"/>
      <c r="AK26" s="21" t="s">
        <v>48</v>
      </c>
      <c r="AL26" s="26"/>
      <c r="AM26" s="21" t="s">
        <v>48</v>
      </c>
      <c r="AN26" s="26"/>
      <c r="AO26" s="26"/>
      <c r="AP26" s="26"/>
      <c r="AQ26" s="26"/>
    </row>
    <row r="27" spans="2:43" ht="15.75">
      <c r="B27" s="34"/>
      <c r="AI27" s="21" t="s">
        <v>1062</v>
      </c>
      <c r="AJ27" s="26"/>
      <c r="AK27" s="21" t="s">
        <v>423</v>
      </c>
      <c r="AL27" s="26"/>
      <c r="AM27" s="21" t="s">
        <v>424</v>
      </c>
      <c r="AN27" s="26"/>
      <c r="AO27" s="21" t="s">
        <v>132</v>
      </c>
      <c r="AP27" s="26"/>
      <c r="AQ27" s="21" t="s">
        <v>801</v>
      </c>
    </row>
    <row r="28" spans="2:43" ht="15">
      <c r="B28" s="34" t="s">
        <v>1902</v>
      </c>
      <c r="S28" s="34" t="s">
        <v>1005</v>
      </c>
      <c r="AB28" s="8">
        <f>AB24+AB20</f>
        <v>4693755</v>
      </c>
      <c r="AI28" s="59" t="s">
        <v>1072</v>
      </c>
      <c r="AK28" s="59" t="s">
        <v>1072</v>
      </c>
      <c r="AM28" s="59" t="s">
        <v>1072</v>
      </c>
      <c r="AO28" s="59" t="s">
        <v>1072</v>
      </c>
      <c r="AQ28" s="59" t="s">
        <v>1072</v>
      </c>
    </row>
    <row r="29" spans="2:43" ht="15.75">
      <c r="B29" s="34"/>
      <c r="J29" s="131">
        <f>F32*H32</f>
        <v>101360.5</v>
      </c>
      <c r="N29" s="21"/>
      <c r="AB29" s="59" t="s">
        <v>1569</v>
      </c>
      <c r="AI29" s="8"/>
      <c r="AK29" s="8"/>
      <c r="AM29" s="8"/>
      <c r="AO29" s="8"/>
      <c r="AQ29" s="8"/>
    </row>
    <row r="30" spans="2:14" ht="15.75">
      <c r="B30" s="34"/>
      <c r="J30" s="132">
        <v>0</v>
      </c>
      <c r="K30" s="34" t="s">
        <v>1291</v>
      </c>
      <c r="N30" s="21"/>
    </row>
    <row r="31" spans="2:14" ht="15.75">
      <c r="B31" s="34"/>
      <c r="F31" s="215" t="s">
        <v>774</v>
      </c>
      <c r="H31" s="215" t="s">
        <v>775</v>
      </c>
      <c r="J31" s="59" t="s">
        <v>1072</v>
      </c>
      <c r="L31" s="216" t="s">
        <v>563</v>
      </c>
      <c r="N31" s="21"/>
    </row>
    <row r="32" spans="2:43" ht="15">
      <c r="B32" s="34" t="s">
        <v>824</v>
      </c>
      <c r="F32" s="109">
        <f>-FUELSCH!E14</f>
        <v>202721</v>
      </c>
      <c r="G32" s="18" t="s">
        <v>519</v>
      </c>
      <c r="H32" s="217">
        <v>0.5</v>
      </c>
      <c r="I32" s="18" t="s">
        <v>1569</v>
      </c>
      <c r="J32" s="218">
        <f>J29+J30</f>
        <v>101360.5</v>
      </c>
      <c r="K32" s="18" t="s">
        <v>519</v>
      </c>
      <c r="L32" s="219">
        <v>43.9884</v>
      </c>
      <c r="M32" s="18" t="s">
        <v>1569</v>
      </c>
      <c r="N32" s="8">
        <f>J32*L32</f>
        <v>4458686.2182</v>
      </c>
      <c r="P32" s="3" t="s">
        <v>1554</v>
      </c>
      <c r="AE32" s="3" t="s">
        <v>1060</v>
      </c>
      <c r="AI32" s="8">
        <f>+AB24</f>
        <v>1408129</v>
      </c>
      <c r="AK32" s="8">
        <f>ROUND(((N32/G48)*F13),0)</f>
        <v>1337608</v>
      </c>
      <c r="AM32" s="8">
        <f>ROUND(((N33/G48)*F13),0)</f>
        <v>6378</v>
      </c>
      <c r="AO32" s="8">
        <f>ROUND(((N34/G48)*F13),0)</f>
        <v>48358</v>
      </c>
      <c r="AQ32" s="8">
        <f>AI32-AK32-AM32-AO32</f>
        <v>15785</v>
      </c>
    </row>
    <row r="33" spans="2:14" ht="15">
      <c r="B33" s="34" t="s">
        <v>1254</v>
      </c>
      <c r="F33" s="109">
        <f>-FUELSCH!E30-FUELSCH!E31</f>
        <v>20397</v>
      </c>
      <c r="G33" s="18" t="s">
        <v>519</v>
      </c>
      <c r="H33" s="217">
        <v>0.5</v>
      </c>
      <c r="I33" s="18" t="s">
        <v>1569</v>
      </c>
      <c r="J33" s="218">
        <f>ROUND((F33*H33),1)</f>
        <v>10198.5</v>
      </c>
      <c r="K33" s="18" t="s">
        <v>519</v>
      </c>
      <c r="L33" s="219">
        <v>2.0846</v>
      </c>
      <c r="M33" s="18" t="s">
        <v>1569</v>
      </c>
      <c r="N33" s="8">
        <f>J33*L33</f>
        <v>21259.7931</v>
      </c>
    </row>
    <row r="34" spans="2:14" ht="15">
      <c r="B34" s="34" t="s">
        <v>701</v>
      </c>
      <c r="F34" s="8">
        <f>+F32</f>
        <v>202721</v>
      </c>
      <c r="G34" s="18" t="s">
        <v>519</v>
      </c>
      <c r="H34" s="217">
        <f>H32</f>
        <v>0.5</v>
      </c>
      <c r="I34" s="18" t="s">
        <v>1569</v>
      </c>
      <c r="J34" s="218">
        <f>J29+J30</f>
        <v>101360.5</v>
      </c>
      <c r="K34" s="18" t="s">
        <v>519</v>
      </c>
      <c r="L34" s="219">
        <v>1.5903</v>
      </c>
      <c r="M34" s="18" t="s">
        <v>1569</v>
      </c>
      <c r="N34" s="8">
        <f>J34*L34</f>
        <v>161193.60315</v>
      </c>
    </row>
    <row r="35" spans="2:43" ht="15">
      <c r="B35" s="34" t="s">
        <v>836</v>
      </c>
      <c r="E35" s="3" t="s">
        <v>564</v>
      </c>
      <c r="N35" s="7">
        <v>52615</v>
      </c>
      <c r="AE35" s="3" t="s">
        <v>1061</v>
      </c>
      <c r="AI35" s="8">
        <f>+AB20</f>
        <v>3285626</v>
      </c>
      <c r="AK35" s="8">
        <f>ROUND(((N32/G48)*F12),0)</f>
        <v>3121078</v>
      </c>
      <c r="AM35" s="8">
        <f>ROUND(((N33/G48)*F12),0)</f>
        <v>14882</v>
      </c>
      <c r="AO35" s="8">
        <f>ROUND(((N34/G48)*F12),0)</f>
        <v>112835</v>
      </c>
      <c r="AQ35" s="8">
        <f>AI35-AK35-AM35-AO35</f>
        <v>36831</v>
      </c>
    </row>
    <row r="36" spans="2:43" ht="15">
      <c r="B36" s="34"/>
      <c r="F36" s="18"/>
      <c r="I36" s="141"/>
      <c r="J36" s="141"/>
      <c r="K36" s="141"/>
      <c r="L36" s="141"/>
      <c r="N36" s="16"/>
      <c r="O36" s="8"/>
      <c r="AI36" s="59" t="s">
        <v>1072</v>
      </c>
      <c r="AK36" s="59" t="s">
        <v>1072</v>
      </c>
      <c r="AM36" s="59" t="s">
        <v>1072</v>
      </c>
      <c r="AO36" s="59" t="s">
        <v>1072</v>
      </c>
      <c r="AQ36" s="59" t="s">
        <v>1072</v>
      </c>
    </row>
    <row r="37" spans="2:14" ht="15">
      <c r="B37" s="34"/>
      <c r="N37" s="8">
        <f>SUM(N32:N35)</f>
        <v>4693754.61445</v>
      </c>
    </row>
    <row r="38" spans="2:43" ht="15">
      <c r="B38" s="34"/>
      <c r="N38" s="16" t="s">
        <v>1569</v>
      </c>
      <c r="AE38" s="3" t="s">
        <v>702</v>
      </c>
      <c r="AI38" s="8">
        <f>AI32+AI35</f>
        <v>4693755</v>
      </c>
      <c r="AK38" s="8">
        <f>AK32+AK35</f>
        <v>4458686</v>
      </c>
      <c r="AM38" s="8">
        <f>AM32+AM35</f>
        <v>21260</v>
      </c>
      <c r="AO38" s="8">
        <f>AO32+AO35</f>
        <v>161193</v>
      </c>
      <c r="AQ38" s="8">
        <f>AQ32+AQ35</f>
        <v>52616</v>
      </c>
    </row>
    <row r="39" spans="2:43" ht="15">
      <c r="B39" s="34"/>
      <c r="AI39" s="59" t="s">
        <v>1569</v>
      </c>
      <c r="AK39" s="59" t="s">
        <v>1569</v>
      </c>
      <c r="AM39" s="59" t="s">
        <v>1569</v>
      </c>
      <c r="AO39" s="59" t="s">
        <v>1569</v>
      </c>
      <c r="AQ39" s="59" t="s">
        <v>1569</v>
      </c>
    </row>
    <row r="40" spans="2:14" ht="15">
      <c r="B40" s="34"/>
      <c r="E40" s="8"/>
      <c r="F40" s="18"/>
      <c r="G40" s="8"/>
      <c r="H40" s="18"/>
      <c r="I40" s="8"/>
      <c r="M40" s="18"/>
      <c r="N40" s="14"/>
    </row>
    <row r="41" spans="2:14" ht="15">
      <c r="B41" s="34" t="s">
        <v>1060</v>
      </c>
      <c r="E41" s="8">
        <f>+F13</f>
        <v>52045</v>
      </c>
      <c r="F41" s="18" t="s">
        <v>1481</v>
      </c>
      <c r="G41" s="8">
        <f>SUM(F12:F13)</f>
        <v>173483</v>
      </c>
      <c r="H41" s="18" t="s">
        <v>519</v>
      </c>
      <c r="I41" s="8">
        <f>+N37</f>
        <v>4693754.61445</v>
      </c>
      <c r="M41" s="18" t="s">
        <v>1569</v>
      </c>
      <c r="N41" s="14">
        <f>IF(F10=0,"0",ROUND(((E41/G41)*I41),0))</f>
        <v>1408129</v>
      </c>
    </row>
    <row r="42" spans="2:39" ht="15">
      <c r="B42" s="34" t="s">
        <v>1061</v>
      </c>
      <c r="E42" s="8">
        <f>+F12</f>
        <v>121438</v>
      </c>
      <c r="F42" s="18" t="s">
        <v>1481</v>
      </c>
      <c r="G42" s="8">
        <f>SUM(F12:F13)</f>
        <v>173483</v>
      </c>
      <c r="H42" s="18" t="s">
        <v>519</v>
      </c>
      <c r="I42" s="8">
        <f>+N37</f>
        <v>4693754.61445</v>
      </c>
      <c r="M42" s="18" t="s">
        <v>1569</v>
      </c>
      <c r="N42" s="14">
        <f>IF(F10=0,"0",ROUND(((E42/G42)*I42),0))</f>
        <v>3285626</v>
      </c>
      <c r="AE42" s="18"/>
      <c r="AI42" s="8"/>
      <c r="AJ42" s="18"/>
      <c r="AM42" s="125"/>
    </row>
    <row r="43" spans="2:39" ht="15">
      <c r="B43" s="34"/>
      <c r="N43" s="16" t="s">
        <v>1072</v>
      </c>
      <c r="AM43" s="59"/>
    </row>
    <row r="44" spans="2:14" ht="15">
      <c r="B44" s="34"/>
      <c r="N44" s="8">
        <f>N37</f>
        <v>4693754.61445</v>
      </c>
    </row>
    <row r="45" spans="2:14" ht="15">
      <c r="B45" s="34"/>
      <c r="N45" s="59" t="s">
        <v>1569</v>
      </c>
    </row>
    <row r="46" ht="15">
      <c r="B46" s="34"/>
    </row>
    <row r="47" ht="15">
      <c r="B47" s="34"/>
    </row>
    <row r="48" spans="2:11" ht="15">
      <c r="B48" s="34"/>
      <c r="E48" s="8">
        <f>+N37</f>
        <v>4693754.61445</v>
      </c>
      <c r="F48" s="18" t="s">
        <v>1481</v>
      </c>
      <c r="G48" s="8">
        <f>SUM(F12:F13)</f>
        <v>173483</v>
      </c>
      <c r="H48" s="18" t="s">
        <v>1203</v>
      </c>
      <c r="I48" s="18" t="s">
        <v>1569</v>
      </c>
      <c r="J48" s="220">
        <f>IF(F10=0,"0",(E48/G48))</f>
        <v>27.055991736654313</v>
      </c>
      <c r="K48" s="18" t="s">
        <v>1580</v>
      </c>
    </row>
    <row r="50" ht="15">
      <c r="B50" s="34"/>
    </row>
    <row r="51" ht="15">
      <c r="AD51" s="18"/>
    </row>
    <row r="53" ht="15.75">
      <c r="A53" s="26"/>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75"/>
  <sheetViews>
    <sheetView defaultGridColor="0" view="pageBreakPreview" zoomScale="75" zoomScaleNormal="65" zoomScaleSheetLayoutView="75" zoomScalePageLayoutView="0" colorId="22" workbookViewId="0" topLeftCell="A148">
      <selection activeCell="A3" sqref="A3"/>
    </sheetView>
  </sheetViews>
  <sheetFormatPr defaultColWidth="9.7109375" defaultRowHeight="12.75"/>
  <cols>
    <col min="1" max="1" width="9.7109375" style="77" customWidth="1"/>
    <col min="2" max="2" width="11.7109375" style="3" customWidth="1"/>
    <col min="3" max="3" width="12.140625" style="3" bestFit="1" customWidth="1"/>
    <col min="4" max="4" width="47.57421875" style="3" customWidth="1"/>
    <col min="5" max="5" width="20.7109375" style="3" customWidth="1"/>
    <col min="6" max="6" width="9.7109375" style="3" customWidth="1"/>
    <col min="7" max="7" width="20.8515625" style="3" customWidth="1"/>
    <col min="8" max="8" width="7.7109375" style="3" customWidth="1"/>
    <col min="9" max="9" width="21.00390625" style="107" customWidth="1"/>
    <col min="10" max="10" width="47.8515625" style="35" customWidth="1"/>
    <col min="11" max="11" width="12.140625" style="3" customWidth="1"/>
    <col min="12" max="12" width="13.7109375" style="3" bestFit="1" customWidth="1"/>
    <col min="13" max="16384" width="9.7109375" style="3" customWidth="1"/>
  </cols>
  <sheetData>
    <row r="1" ht="15">
      <c r="A1" s="75"/>
    </row>
    <row r="2" spans="1:10" ht="15.75">
      <c r="A2" s="76"/>
      <c r="C2" s="139" t="s">
        <v>312</v>
      </c>
      <c r="D2" s="139"/>
      <c r="E2" s="139"/>
      <c r="I2" s="112" t="s">
        <v>1749</v>
      </c>
      <c r="J2" s="35" t="s">
        <v>1554</v>
      </c>
    </row>
    <row r="3" spans="3:9" ht="15.75">
      <c r="C3" s="78" t="s">
        <v>949</v>
      </c>
      <c r="D3" s="26"/>
      <c r="I3" s="112" t="str">
        <f>INSTRUCTIONS!Q13</f>
        <v>JMJ</v>
      </c>
    </row>
    <row r="4" spans="3:9" ht="15.75">
      <c r="C4" s="79" t="s">
        <v>1554</v>
      </c>
      <c r="D4" s="4" t="str">
        <f>INSTRUCTIONS!L7</f>
        <v>January, 2016</v>
      </c>
      <c r="F4" s="26"/>
      <c r="G4" s="21"/>
      <c r="H4" s="26"/>
      <c r="I4" s="113">
        <f ca="1">TODAY()</f>
        <v>44061</v>
      </c>
    </row>
    <row r="5" spans="1:10" ht="15.75" customHeight="1">
      <c r="A5" s="80" t="s">
        <v>1397</v>
      </c>
      <c r="B5" s="71"/>
      <c r="C5" s="71"/>
      <c r="D5" s="71"/>
      <c r="E5" s="71"/>
      <c r="F5" s="71"/>
      <c r="G5" s="71"/>
      <c r="H5" s="71"/>
      <c r="I5" s="71"/>
      <c r="J5" s="71"/>
    </row>
    <row r="6" spans="1:10" ht="15.75" customHeight="1">
      <c r="A6" s="80" t="s">
        <v>1398</v>
      </c>
      <c r="B6" s="71"/>
      <c r="C6" s="71"/>
      <c r="D6" s="71"/>
      <c r="E6" s="71"/>
      <c r="F6" s="71"/>
      <c r="G6" s="71"/>
      <c r="H6" s="71"/>
      <c r="I6" s="71"/>
      <c r="J6" s="71"/>
    </row>
    <row r="7" spans="3:10" ht="15.75">
      <c r="C7" s="139"/>
      <c r="D7" s="139"/>
      <c r="E7" s="139"/>
      <c r="F7" s="26"/>
      <c r="G7" s="21"/>
      <c r="H7" s="26"/>
      <c r="J7" s="36"/>
    </row>
    <row r="8" spans="1:10" ht="15.75">
      <c r="A8" s="81" t="s">
        <v>1594</v>
      </c>
      <c r="B8" s="26"/>
      <c r="C8" s="26"/>
      <c r="D8" s="26"/>
      <c r="E8" s="26"/>
      <c r="F8" s="26"/>
      <c r="G8" s="4" t="str">
        <f>D4</f>
        <v>January, 2016</v>
      </c>
      <c r="H8" s="21"/>
      <c r="I8" s="114" t="str">
        <f>+G8</f>
        <v>January, 2016</v>
      </c>
      <c r="J8" s="36"/>
    </row>
    <row r="9" spans="1:10" ht="15.75">
      <c r="A9" s="82" t="s">
        <v>1595</v>
      </c>
      <c r="B9" s="83"/>
      <c r="C9" s="83" t="s">
        <v>1596</v>
      </c>
      <c r="D9" s="83"/>
      <c r="E9" s="17" t="s">
        <v>1597</v>
      </c>
      <c r="F9" s="83"/>
      <c r="G9" s="17" t="s">
        <v>1635</v>
      </c>
      <c r="H9" s="17"/>
      <c r="I9" s="115" t="s">
        <v>1598</v>
      </c>
      <c r="J9" s="36"/>
    </row>
    <row r="10" ht="15.75">
      <c r="I10" s="116"/>
    </row>
    <row r="11" spans="1:9" ht="15">
      <c r="A11" s="77">
        <v>2</v>
      </c>
      <c r="C11" s="3" t="s">
        <v>1599</v>
      </c>
      <c r="E11" s="18"/>
      <c r="G11" s="109"/>
      <c r="I11" s="106"/>
    </row>
    <row r="12" spans="3:11" ht="15">
      <c r="C12" s="3" t="s">
        <v>149</v>
      </c>
      <c r="E12" s="18" t="s">
        <v>150</v>
      </c>
      <c r="G12" s="7">
        <v>12000</v>
      </c>
      <c r="H12" s="7"/>
      <c r="I12" s="7">
        <v>6500</v>
      </c>
      <c r="J12" s="84" t="s">
        <v>408</v>
      </c>
      <c r="K12" s="8"/>
    </row>
    <row r="13" spans="7:9" ht="15">
      <c r="G13" s="27"/>
      <c r="I13" s="27"/>
    </row>
    <row r="14" spans="1:10" ht="15">
      <c r="A14" s="77">
        <v>3</v>
      </c>
      <c r="C14" s="3" t="s">
        <v>508</v>
      </c>
      <c r="E14" s="18" t="s">
        <v>545</v>
      </c>
      <c r="G14" s="27">
        <v>0</v>
      </c>
      <c r="I14" s="27">
        <v>0</v>
      </c>
      <c r="J14" s="34" t="s">
        <v>545</v>
      </c>
    </row>
    <row r="15" spans="5:10" ht="15">
      <c r="E15" s="18"/>
      <c r="G15" s="7"/>
      <c r="I15" s="7"/>
      <c r="J15" s="34"/>
    </row>
    <row r="16" spans="1:9" ht="15">
      <c r="A16" s="77">
        <v>4</v>
      </c>
      <c r="C16" s="3" t="s">
        <v>1644</v>
      </c>
      <c r="G16" s="27"/>
      <c r="I16" s="27"/>
    </row>
    <row r="17" spans="3:11" ht="15">
      <c r="C17" s="3" t="s">
        <v>1009</v>
      </c>
      <c r="E17" s="18" t="s">
        <v>150</v>
      </c>
      <c r="G17" s="7">
        <v>-24500</v>
      </c>
      <c r="I17" s="7">
        <v>-24500</v>
      </c>
      <c r="J17" s="84" t="s">
        <v>409</v>
      </c>
      <c r="K17" s="8"/>
    </row>
    <row r="18" spans="1:9" ht="15">
      <c r="A18" s="77">
        <v>5</v>
      </c>
      <c r="C18" s="3" t="s">
        <v>1010</v>
      </c>
      <c r="E18" s="28" t="s">
        <v>150</v>
      </c>
      <c r="I18" s="3"/>
    </row>
    <row r="19" spans="3:11" ht="15">
      <c r="C19" s="3" t="s">
        <v>56</v>
      </c>
      <c r="G19" s="106">
        <v>0</v>
      </c>
      <c r="I19" s="106">
        <v>0</v>
      </c>
      <c r="J19" s="3" t="s">
        <v>1143</v>
      </c>
      <c r="K19" s="8"/>
    </row>
    <row r="20" spans="3:11" ht="15">
      <c r="C20" s="3" t="s">
        <v>1011</v>
      </c>
      <c r="E20" s="18"/>
      <c r="G20" s="7">
        <v>-4509000</v>
      </c>
      <c r="I20" s="7">
        <v>-53294000</v>
      </c>
      <c r="J20" s="35" t="s">
        <v>24</v>
      </c>
      <c r="K20" s="8"/>
    </row>
    <row r="21" spans="3:11" ht="15">
      <c r="C21" s="3" t="s">
        <v>44</v>
      </c>
      <c r="E21" s="18"/>
      <c r="G21" s="7">
        <v>1265000</v>
      </c>
      <c r="I21" s="7">
        <v>6776000</v>
      </c>
      <c r="J21" s="35" t="s">
        <v>410</v>
      </c>
      <c r="K21" s="8"/>
    </row>
    <row r="22" spans="3:11" ht="15">
      <c r="C22" s="3" t="s">
        <v>187</v>
      </c>
      <c r="E22" s="18"/>
      <c r="G22" s="106">
        <v>104450.53</v>
      </c>
      <c r="I22" s="106">
        <v>104450.53</v>
      </c>
      <c r="J22" s="35" t="s">
        <v>86</v>
      </c>
      <c r="K22" s="8"/>
    </row>
    <row r="23" spans="3:11" ht="15">
      <c r="C23" s="3" t="s">
        <v>130</v>
      </c>
      <c r="E23" s="18"/>
      <c r="G23" s="106">
        <v>-13</v>
      </c>
      <c r="I23" s="106">
        <v>435</v>
      </c>
      <c r="J23" s="35" t="s">
        <v>95</v>
      </c>
      <c r="K23" s="8"/>
    </row>
    <row r="24" spans="3:11" ht="15">
      <c r="C24" s="3" t="s">
        <v>1384</v>
      </c>
      <c r="E24" s="18"/>
      <c r="G24" s="106">
        <v>0</v>
      </c>
      <c r="H24" s="15"/>
      <c r="I24" s="106">
        <v>18632</v>
      </c>
      <c r="J24" s="35" t="s">
        <v>1932</v>
      </c>
      <c r="K24" s="8"/>
    </row>
    <row r="25" spans="3:11" ht="15">
      <c r="C25" s="3" t="s">
        <v>1209</v>
      </c>
      <c r="E25" s="18"/>
      <c r="G25" s="106">
        <v>0</v>
      </c>
      <c r="I25" s="106">
        <v>7285.89</v>
      </c>
      <c r="J25" s="35" t="s">
        <v>568</v>
      </c>
      <c r="K25" s="8"/>
    </row>
    <row r="26" spans="3:11" ht="15">
      <c r="C26" s="3" t="s">
        <v>559</v>
      </c>
      <c r="E26" s="18"/>
      <c r="G26" s="106">
        <v>0</v>
      </c>
      <c r="H26" s="70"/>
      <c r="I26" s="106">
        <v>0</v>
      </c>
      <c r="J26" s="35" t="s">
        <v>1584</v>
      </c>
      <c r="K26" s="8"/>
    </row>
    <row r="27" spans="5:11" ht="15">
      <c r="E27" s="18"/>
      <c r="G27" s="106">
        <v>92500</v>
      </c>
      <c r="I27" s="106">
        <v>164000</v>
      </c>
      <c r="J27" s="35" t="s">
        <v>1926</v>
      </c>
      <c r="K27" s="8"/>
    </row>
    <row r="28" spans="3:11" ht="15">
      <c r="C28" s="3" t="s">
        <v>1372</v>
      </c>
      <c r="E28" s="18"/>
      <c r="G28" s="106">
        <v>564.67</v>
      </c>
      <c r="I28" s="106">
        <v>1431088.72</v>
      </c>
      <c r="J28" s="35" t="s">
        <v>1934</v>
      </c>
      <c r="K28" s="8"/>
    </row>
    <row r="29" spans="3:14" ht="15.75">
      <c r="C29" s="3" t="s">
        <v>1399</v>
      </c>
      <c r="E29" s="18"/>
      <c r="G29" s="106">
        <v>-19163</v>
      </c>
      <c r="I29" s="106">
        <v>-37000</v>
      </c>
      <c r="J29" s="35" t="s">
        <v>1339</v>
      </c>
      <c r="K29" s="8"/>
      <c r="L29" s="85"/>
      <c r="M29" s="86"/>
      <c r="N29" s="86"/>
    </row>
    <row r="30" spans="3:11" ht="15">
      <c r="C30" s="3" t="s">
        <v>652</v>
      </c>
      <c r="D30" s="3" t="s">
        <v>652</v>
      </c>
      <c r="G30" s="106">
        <v>22180.19</v>
      </c>
      <c r="I30" s="106">
        <v>22090.53</v>
      </c>
      <c r="J30" s="35" t="s">
        <v>658</v>
      </c>
      <c r="K30" s="8"/>
    </row>
    <row r="31" spans="3:11" ht="15.75">
      <c r="C31" s="3" t="s">
        <v>888</v>
      </c>
      <c r="E31" s="18"/>
      <c r="G31" s="106">
        <v>0</v>
      </c>
      <c r="I31" s="106">
        <v>0</v>
      </c>
      <c r="J31" s="35" t="s">
        <v>1832</v>
      </c>
      <c r="K31" s="8"/>
    </row>
    <row r="32" spans="1:11" ht="15.75">
      <c r="A32" s="81"/>
      <c r="B32" s="26"/>
      <c r="C32" s="3" t="s">
        <v>1562</v>
      </c>
      <c r="G32" s="106">
        <v>0</v>
      </c>
      <c r="I32" s="106">
        <v>0</v>
      </c>
      <c r="J32" s="35" t="s">
        <v>1935</v>
      </c>
      <c r="K32" s="8"/>
    </row>
    <row r="33" spans="1:11" ht="15.75">
      <c r="A33" s="81"/>
      <c r="B33" s="26"/>
      <c r="C33" s="3" t="s">
        <v>859</v>
      </c>
      <c r="E33" s="18"/>
      <c r="G33" s="106">
        <v>0</v>
      </c>
      <c r="I33" s="106">
        <v>0</v>
      </c>
      <c r="J33" s="35" t="s">
        <v>1250</v>
      </c>
      <c r="K33" s="8"/>
    </row>
    <row r="34" spans="1:11" ht="15.75">
      <c r="A34" s="87"/>
      <c r="B34" s="26"/>
      <c r="C34" s="3" t="s">
        <v>1668</v>
      </c>
      <c r="G34" s="106">
        <v>41223.95</v>
      </c>
      <c r="I34" s="106">
        <v>32546.95</v>
      </c>
      <c r="J34" s="35" t="s">
        <v>1484</v>
      </c>
      <c r="K34" s="8"/>
    </row>
    <row r="35" spans="3:11" ht="15.75">
      <c r="C35" s="3" t="s">
        <v>1049</v>
      </c>
      <c r="E35" s="21" t="s">
        <v>267</v>
      </c>
      <c r="G35" s="106">
        <v>-439000</v>
      </c>
      <c r="I35" s="106">
        <v>4863000</v>
      </c>
      <c r="J35" s="35" t="s">
        <v>243</v>
      </c>
      <c r="K35" s="8"/>
    </row>
    <row r="36" spans="3:11" ht="15.75">
      <c r="C36" s="3" t="s">
        <v>370</v>
      </c>
      <c r="D36" s="88"/>
      <c r="E36" s="21" t="s">
        <v>267</v>
      </c>
      <c r="F36" s="88"/>
      <c r="G36" s="111">
        <v>202000</v>
      </c>
      <c r="H36" s="88"/>
      <c r="I36" s="111">
        <v>202000</v>
      </c>
      <c r="J36" s="88" t="s">
        <v>244</v>
      </c>
      <c r="K36" s="8"/>
    </row>
    <row r="37" spans="3:12" ht="15">
      <c r="C37" s="3" t="s">
        <v>987</v>
      </c>
      <c r="G37" s="109">
        <f>SUM(G19:G36)</f>
        <v>-3239256.66</v>
      </c>
      <c r="I37" s="109">
        <f>SUM(I19:I36)</f>
        <v>-39709470.379999995</v>
      </c>
      <c r="J37" s="89"/>
      <c r="K37" s="8"/>
      <c r="L37" s="90"/>
    </row>
    <row r="38" spans="7:12" ht="15">
      <c r="G38" s="108" t="s">
        <v>1569</v>
      </c>
      <c r="I38" s="108" t="s">
        <v>1569</v>
      </c>
      <c r="J38" s="89"/>
      <c r="K38" s="90"/>
      <c r="L38" s="90"/>
    </row>
    <row r="39" spans="3:12" ht="15.75">
      <c r="C39" s="26" t="s">
        <v>529</v>
      </c>
      <c r="G39" s="109">
        <f>G12+G14+G17+G37</f>
        <v>-3251756.66</v>
      </c>
      <c r="I39" s="109">
        <f>I12+I14+I17+I37</f>
        <v>-39727470.379999995</v>
      </c>
      <c r="J39" s="91"/>
      <c r="K39" s="8"/>
      <c r="L39" s="90"/>
    </row>
    <row r="40" spans="7:9" ht="34.5" customHeight="1">
      <c r="G40" s="108" t="s">
        <v>1569</v>
      </c>
      <c r="I40" s="108" t="s">
        <v>1569</v>
      </c>
    </row>
    <row r="41" ht="15">
      <c r="G41" s="107"/>
    </row>
    <row r="42" spans="1:9" ht="15.75">
      <c r="A42" s="82" t="s">
        <v>1595</v>
      </c>
      <c r="C42" s="83" t="s">
        <v>607</v>
      </c>
      <c r="E42" s="17" t="s">
        <v>530</v>
      </c>
      <c r="G42" s="115" t="str">
        <f>G9</f>
        <v>ESTIMATE</v>
      </c>
      <c r="H42" s="17"/>
      <c r="I42" s="115" t="s">
        <v>1598</v>
      </c>
    </row>
    <row r="43" spans="1:11" ht="47.25">
      <c r="A43" s="77">
        <v>8</v>
      </c>
      <c r="C43" s="3" t="s">
        <v>531</v>
      </c>
      <c r="E43" s="92" t="s">
        <v>1371</v>
      </c>
      <c r="G43" s="106">
        <f>1578150+99</f>
        <v>1578249</v>
      </c>
      <c r="I43" s="106">
        <v>18653032</v>
      </c>
      <c r="J43" s="34" t="s">
        <v>404</v>
      </c>
      <c r="K43" s="8"/>
    </row>
    <row r="44" spans="5:7" ht="15">
      <c r="E44" s="18"/>
      <c r="G44" s="107"/>
    </row>
    <row r="45" ht="15">
      <c r="G45" s="107"/>
    </row>
    <row r="46" spans="1:10" ht="15">
      <c r="A46" s="77">
        <v>9</v>
      </c>
      <c r="C46" s="3" t="s">
        <v>508</v>
      </c>
      <c r="E46" s="18" t="s">
        <v>545</v>
      </c>
      <c r="G46" s="7">
        <v>0</v>
      </c>
      <c r="I46" s="7">
        <v>0</v>
      </c>
      <c r="J46" s="34" t="s">
        <v>545</v>
      </c>
    </row>
    <row r="47" spans="7:10" ht="15.75">
      <c r="G47" s="107"/>
      <c r="J47" s="93"/>
    </row>
    <row r="48" spans="1:10" ht="47.25">
      <c r="A48" s="77">
        <v>10</v>
      </c>
      <c r="C48" s="3" t="s">
        <v>532</v>
      </c>
      <c r="E48" s="92" t="s">
        <v>1382</v>
      </c>
      <c r="G48" s="106">
        <v>0</v>
      </c>
      <c r="H48" s="18"/>
      <c r="I48" s="106">
        <v>0</v>
      </c>
      <c r="J48" s="35" t="s">
        <v>1919</v>
      </c>
    </row>
    <row r="49" spans="5:9" ht="15">
      <c r="E49" s="3" t="s">
        <v>1554</v>
      </c>
      <c r="G49" s="106"/>
      <c r="I49" s="106"/>
    </row>
    <row r="50" spans="1:7" ht="15.75">
      <c r="A50" s="77">
        <v>12</v>
      </c>
      <c r="C50" s="3" t="s">
        <v>533</v>
      </c>
      <c r="E50" s="21" t="s">
        <v>166</v>
      </c>
      <c r="G50" s="107"/>
    </row>
    <row r="51" spans="3:11" ht="15">
      <c r="C51" s="3" t="s">
        <v>778</v>
      </c>
      <c r="E51" s="18" t="s">
        <v>224</v>
      </c>
      <c r="G51" s="106">
        <v>-1005</v>
      </c>
      <c r="I51" s="106">
        <v>-1630</v>
      </c>
      <c r="J51" s="34" t="s">
        <v>1530</v>
      </c>
      <c r="K51" s="8"/>
    </row>
    <row r="52" spans="3:11" ht="15">
      <c r="C52" s="3" t="s">
        <v>225</v>
      </c>
      <c r="E52" s="18" t="s">
        <v>417</v>
      </c>
      <c r="G52" s="106">
        <v>-567</v>
      </c>
      <c r="I52" s="106">
        <v>-570</v>
      </c>
      <c r="J52" s="34" t="s">
        <v>417</v>
      </c>
      <c r="K52" s="8"/>
    </row>
    <row r="53" spans="7:9" ht="15">
      <c r="G53" s="106"/>
      <c r="I53" s="106"/>
    </row>
    <row r="54" spans="1:9" ht="15.75">
      <c r="A54" s="77">
        <v>13</v>
      </c>
      <c r="C54" s="3" t="s">
        <v>226</v>
      </c>
      <c r="E54" s="21" t="s">
        <v>166</v>
      </c>
      <c r="G54" s="106"/>
      <c r="I54" s="106"/>
    </row>
    <row r="55" spans="3:11" ht="15">
      <c r="C55" s="3" t="s">
        <v>1638</v>
      </c>
      <c r="E55" s="18" t="s">
        <v>1639</v>
      </c>
      <c r="G55" s="106">
        <v>-39</v>
      </c>
      <c r="I55" s="106">
        <v>-36</v>
      </c>
      <c r="J55" s="34" t="s">
        <v>1571</v>
      </c>
      <c r="K55" s="8"/>
    </row>
    <row r="56" spans="3:11" ht="15">
      <c r="C56" s="3" t="s">
        <v>796</v>
      </c>
      <c r="E56" s="18" t="s">
        <v>1475</v>
      </c>
      <c r="G56" s="106">
        <v>-11.5</v>
      </c>
      <c r="I56" s="106">
        <v>-11.5</v>
      </c>
      <c r="J56" s="34" t="s">
        <v>1531</v>
      </c>
      <c r="K56" s="8"/>
    </row>
    <row r="57" spans="7:9" ht="15">
      <c r="G57" s="106"/>
      <c r="I57" s="106"/>
    </row>
    <row r="58" spans="1:9" ht="15.75">
      <c r="A58" s="77">
        <v>14</v>
      </c>
      <c r="C58" s="3" t="s">
        <v>911</v>
      </c>
      <c r="E58" s="21" t="s">
        <v>166</v>
      </c>
      <c r="G58" s="106"/>
      <c r="I58" s="106"/>
    </row>
    <row r="59" spans="3:11" ht="25.5" customHeight="1">
      <c r="C59" s="3" t="s">
        <v>760</v>
      </c>
      <c r="E59" s="18" t="s">
        <v>1477</v>
      </c>
      <c r="G59" s="106">
        <v>-12742.15</v>
      </c>
      <c r="I59" s="106">
        <v>-13959.68</v>
      </c>
      <c r="J59" s="35" t="s">
        <v>106</v>
      </c>
      <c r="K59" s="8"/>
    </row>
    <row r="60" spans="3:11" ht="15">
      <c r="C60" s="3" t="s">
        <v>761</v>
      </c>
      <c r="E60" s="18" t="s">
        <v>11</v>
      </c>
      <c r="G60" s="106">
        <v>-97</v>
      </c>
      <c r="I60" s="106">
        <v>-387</v>
      </c>
      <c r="J60" s="34" t="s">
        <v>419</v>
      </c>
      <c r="K60" s="8"/>
    </row>
    <row r="61" spans="3:11" ht="15">
      <c r="C61" s="3" t="s">
        <v>1640</v>
      </c>
      <c r="E61" s="18" t="s">
        <v>1641</v>
      </c>
      <c r="G61" s="106">
        <v>-311</v>
      </c>
      <c r="I61" s="106">
        <v>-1245</v>
      </c>
      <c r="J61" s="34" t="s">
        <v>1413</v>
      </c>
      <c r="K61" s="8"/>
    </row>
    <row r="62" spans="3:11" ht="15">
      <c r="C62" s="3" t="s">
        <v>1259</v>
      </c>
      <c r="E62" s="18" t="s">
        <v>1321</v>
      </c>
      <c r="G62" s="106">
        <v>-7458.39</v>
      </c>
      <c r="I62" s="106">
        <v>903.5699999999997</v>
      </c>
      <c r="J62" s="34" t="s">
        <v>946</v>
      </c>
      <c r="K62" s="8"/>
    </row>
    <row r="63" spans="3:11" ht="15">
      <c r="C63" s="3" t="s">
        <v>384</v>
      </c>
      <c r="E63" s="18" t="s">
        <v>825</v>
      </c>
      <c r="G63" s="106">
        <v>29</v>
      </c>
      <c r="I63" s="106">
        <v>56</v>
      </c>
      <c r="J63" s="34" t="s">
        <v>947</v>
      </c>
      <c r="K63" s="8"/>
    </row>
    <row r="64" spans="3:12" ht="15">
      <c r="C64" s="3" t="s">
        <v>385</v>
      </c>
      <c r="E64" s="18" t="s">
        <v>504</v>
      </c>
      <c r="G64" s="106">
        <v>-36557.68</v>
      </c>
      <c r="I64" s="106">
        <v>-36557.68</v>
      </c>
      <c r="J64" s="34" t="s">
        <v>504</v>
      </c>
      <c r="K64" s="8"/>
      <c r="L64" s="3" t="s">
        <v>1554</v>
      </c>
    </row>
    <row r="65" spans="3:11" ht="15">
      <c r="C65" s="3" t="s">
        <v>785</v>
      </c>
      <c r="E65" s="18" t="s">
        <v>694</v>
      </c>
      <c r="G65" s="106">
        <v>4.5</v>
      </c>
      <c r="I65" s="106">
        <v>-152</v>
      </c>
      <c r="J65" s="34" t="s">
        <v>694</v>
      </c>
      <c r="K65" s="8"/>
    </row>
    <row r="66" spans="3:11" ht="15">
      <c r="C66" s="3" t="s">
        <v>786</v>
      </c>
      <c r="E66" s="18" t="s">
        <v>872</v>
      </c>
      <c r="G66" s="106">
        <v>0</v>
      </c>
      <c r="I66" s="106">
        <v>-2550</v>
      </c>
      <c r="J66" s="34" t="s">
        <v>872</v>
      </c>
      <c r="K66" s="8"/>
    </row>
    <row r="67" spans="3:11" ht="15.75">
      <c r="C67" s="3" t="s">
        <v>1808</v>
      </c>
      <c r="E67" s="18" t="s">
        <v>945</v>
      </c>
      <c r="G67" s="106">
        <v>-8255.47</v>
      </c>
      <c r="I67" s="106">
        <f>-13311+12950</f>
        <v>-361</v>
      </c>
      <c r="J67" s="34" t="s">
        <v>621</v>
      </c>
      <c r="K67" s="8"/>
    </row>
    <row r="68" spans="3:11" ht="15">
      <c r="C68" s="3" t="s">
        <v>787</v>
      </c>
      <c r="E68" s="18" t="s">
        <v>274</v>
      </c>
      <c r="G68" s="106">
        <v>-4316.5</v>
      </c>
      <c r="H68" s="27"/>
      <c r="I68" s="106">
        <v>-2275</v>
      </c>
      <c r="J68" s="34" t="s">
        <v>274</v>
      </c>
      <c r="K68" s="8"/>
    </row>
    <row r="69" spans="3:11" ht="15">
      <c r="C69" s="3" t="s">
        <v>1049</v>
      </c>
      <c r="E69" s="18" t="s">
        <v>1050</v>
      </c>
      <c r="G69" s="117">
        <v>153650</v>
      </c>
      <c r="H69" s="27"/>
      <c r="I69" s="117">
        <v>-1702050</v>
      </c>
      <c r="J69" s="35" t="s">
        <v>243</v>
      </c>
      <c r="K69" s="8"/>
    </row>
    <row r="70" spans="3:11" ht="15">
      <c r="C70" s="3" t="s">
        <v>652</v>
      </c>
      <c r="E70" s="18" t="s">
        <v>968</v>
      </c>
      <c r="G70" s="106">
        <v>-7763.07</v>
      </c>
      <c r="H70" s="27"/>
      <c r="I70" s="106">
        <v>-7731.69</v>
      </c>
      <c r="J70" s="34" t="s">
        <v>657</v>
      </c>
      <c r="K70" s="8"/>
    </row>
    <row r="71" spans="3:11" ht="15">
      <c r="C71" s="3" t="s">
        <v>1433</v>
      </c>
      <c r="E71" s="18" t="s">
        <v>1434</v>
      </c>
      <c r="G71" s="106">
        <v>-32375</v>
      </c>
      <c r="H71" s="27"/>
      <c r="I71" s="106">
        <v>-57400</v>
      </c>
      <c r="J71" s="34" t="s">
        <v>1936</v>
      </c>
      <c r="K71" s="8"/>
    </row>
    <row r="72" spans="3:11" ht="15">
      <c r="C72" s="3" t="s">
        <v>56</v>
      </c>
      <c r="E72" s="18" t="s">
        <v>1403</v>
      </c>
      <c r="G72" s="106">
        <v>6843.02</v>
      </c>
      <c r="H72" s="27"/>
      <c r="I72" s="106">
        <v>-44787.7</v>
      </c>
      <c r="J72" s="35" t="s">
        <v>1176</v>
      </c>
      <c r="K72" s="8"/>
    </row>
    <row r="73" spans="3:11" ht="15">
      <c r="C73" s="3" t="s">
        <v>1384</v>
      </c>
      <c r="E73" s="18" t="s">
        <v>1313</v>
      </c>
      <c r="G73" s="106">
        <v>0</v>
      </c>
      <c r="H73" s="27"/>
      <c r="I73" s="106">
        <v>0</v>
      </c>
      <c r="J73" s="35" t="s">
        <v>1932</v>
      </c>
      <c r="K73" s="8"/>
    </row>
    <row r="74" spans="3:11" ht="15">
      <c r="C74" s="3" t="s">
        <v>370</v>
      </c>
      <c r="E74" s="18" t="s">
        <v>1403</v>
      </c>
      <c r="G74" s="106">
        <v>-70700</v>
      </c>
      <c r="H74" s="27"/>
      <c r="I74" s="106">
        <v>-70700</v>
      </c>
      <c r="J74" s="88" t="s">
        <v>244</v>
      </c>
      <c r="K74" s="8"/>
    </row>
    <row r="75" spans="3:11" ht="15">
      <c r="C75" s="3" t="s">
        <v>1218</v>
      </c>
      <c r="G75" s="107">
        <f>SUM(G59:G74)</f>
        <v>-20049.740000000005</v>
      </c>
      <c r="I75" s="107">
        <f>SUM(I59:I74)</f>
        <v>-1939197.18</v>
      </c>
      <c r="J75" s="94"/>
      <c r="K75" s="8"/>
    </row>
    <row r="76" spans="7:9" ht="15">
      <c r="G76" s="108" t="s">
        <v>1569</v>
      </c>
      <c r="I76" s="108" t="s">
        <v>1569</v>
      </c>
    </row>
    <row r="77" spans="3:11" ht="15.75">
      <c r="C77" s="26" t="s">
        <v>1750</v>
      </c>
      <c r="G77" s="109">
        <f>G43+G46+G48+G51+G52+G55+G56+G75</f>
        <v>1556576.76</v>
      </c>
      <c r="I77" s="109">
        <f>I43+I46+I48+I51+I52+I55+I56+I75</f>
        <v>16711587.32</v>
      </c>
      <c r="J77" s="91"/>
      <c r="K77" s="8"/>
    </row>
    <row r="78" spans="7:9" ht="15">
      <c r="G78" s="118"/>
      <c r="I78" s="118"/>
    </row>
    <row r="79" spans="2:11" ht="15.75">
      <c r="B79" s="34"/>
      <c r="C79" s="26" t="s">
        <v>284</v>
      </c>
      <c r="G79" s="112">
        <f>G77+G39</f>
        <v>-1695179.9000000001</v>
      </c>
      <c r="I79" s="112">
        <f>I77+I39</f>
        <v>-23015883.059999995</v>
      </c>
      <c r="K79" s="8"/>
    </row>
    <row r="80" spans="2:9" ht="15">
      <c r="B80" s="34"/>
      <c r="G80" s="118"/>
      <c r="I80" s="118"/>
    </row>
    <row r="81" ht="15">
      <c r="G81" s="107"/>
    </row>
    <row r="82" spans="7:9" ht="15">
      <c r="G82" s="107" t="s">
        <v>1554</v>
      </c>
      <c r="I82" s="107" t="s">
        <v>1554</v>
      </c>
    </row>
    <row r="83" ht="15">
      <c r="G83" s="107"/>
    </row>
    <row r="84" spans="3:9" ht="15.75">
      <c r="C84" s="139" t="s">
        <v>312</v>
      </c>
      <c r="D84" s="139"/>
      <c r="E84" s="139"/>
      <c r="G84" s="112" t="s">
        <v>1749</v>
      </c>
      <c r="I84" s="112" t="s">
        <v>1749</v>
      </c>
    </row>
    <row r="85" spans="3:9" ht="15.75">
      <c r="C85" s="78" t="s">
        <v>644</v>
      </c>
      <c r="D85" s="26"/>
      <c r="G85" s="112">
        <f>G3</f>
        <v>0</v>
      </c>
      <c r="I85" s="112" t="str">
        <f>I3</f>
        <v>JMJ</v>
      </c>
    </row>
    <row r="86" spans="2:9" ht="15.75">
      <c r="B86" s="26"/>
      <c r="C86" s="79" t="s">
        <v>1554</v>
      </c>
      <c r="D86" s="4" t="str">
        <f>D4</f>
        <v>January, 2016</v>
      </c>
      <c r="F86" s="26"/>
      <c r="G86" s="119">
        <f ca="1">TODAY()</f>
        <v>44061</v>
      </c>
      <c r="H86" s="26"/>
      <c r="I86" s="119">
        <f ca="1">TODAY()</f>
        <v>44061</v>
      </c>
    </row>
    <row r="87" spans="2:10" ht="15.75">
      <c r="B87" s="83"/>
      <c r="F87" s="26"/>
      <c r="G87" s="107"/>
      <c r="H87" s="26"/>
      <c r="J87" s="35" t="s">
        <v>1554</v>
      </c>
    </row>
    <row r="88" spans="1:9" ht="15.75">
      <c r="A88" s="81"/>
      <c r="C88" s="26"/>
      <c r="D88" s="26"/>
      <c r="E88" s="21"/>
      <c r="F88" s="21"/>
      <c r="G88" s="114">
        <f>+E8</f>
        <v>0</v>
      </c>
      <c r="H88" s="18"/>
      <c r="I88" s="114" t="str">
        <f>+G8</f>
        <v>January, 2016</v>
      </c>
    </row>
    <row r="89" spans="1:9" ht="15.75">
      <c r="A89" s="82" t="s">
        <v>1595</v>
      </c>
      <c r="C89" s="17" t="s">
        <v>1596</v>
      </c>
      <c r="D89" s="83"/>
      <c r="E89" s="17" t="s">
        <v>1597</v>
      </c>
      <c r="F89" s="17"/>
      <c r="G89" s="115" t="str">
        <f>G42</f>
        <v>ESTIMATE</v>
      </c>
      <c r="H89" s="17"/>
      <c r="I89" s="115" t="s">
        <v>1598</v>
      </c>
    </row>
    <row r="90" spans="1:9" ht="15.75">
      <c r="A90" s="77">
        <v>2</v>
      </c>
      <c r="C90" s="3" t="s">
        <v>1599</v>
      </c>
      <c r="E90" s="18"/>
      <c r="G90" s="116"/>
      <c r="H90" s="27"/>
      <c r="I90" s="116"/>
    </row>
    <row r="91" spans="3:11" ht="15">
      <c r="C91" s="3" t="s">
        <v>149</v>
      </c>
      <c r="E91" s="18" t="s">
        <v>150</v>
      </c>
      <c r="G91" s="7">
        <f>G12</f>
        <v>12000</v>
      </c>
      <c r="H91" s="27"/>
      <c r="I91" s="7">
        <f>I12</f>
        <v>6500</v>
      </c>
      <c r="J91" s="84" t="s">
        <v>408</v>
      </c>
      <c r="K91" s="8"/>
    </row>
    <row r="92" spans="5:9" ht="15">
      <c r="E92" s="18"/>
      <c r="G92" s="27"/>
      <c r="I92" s="27"/>
    </row>
    <row r="93" spans="1:10" ht="15">
      <c r="A93" s="77">
        <v>3</v>
      </c>
      <c r="C93" s="3" t="s">
        <v>508</v>
      </c>
      <c r="E93" s="34" t="s">
        <v>545</v>
      </c>
      <c r="G93" s="7">
        <v>0</v>
      </c>
      <c r="I93" s="7">
        <v>0</v>
      </c>
      <c r="J93" s="34" t="s">
        <v>545</v>
      </c>
    </row>
    <row r="94" spans="5:9" ht="15">
      <c r="E94" s="18"/>
      <c r="G94" s="27"/>
      <c r="I94" s="27"/>
    </row>
    <row r="95" spans="1:9" ht="15">
      <c r="A95" s="77">
        <v>4</v>
      </c>
      <c r="C95" s="3" t="s">
        <v>1644</v>
      </c>
      <c r="E95" s="18"/>
      <c r="G95" s="27"/>
      <c r="I95" s="27"/>
    </row>
    <row r="96" spans="3:11" ht="15">
      <c r="C96" s="3" t="s">
        <v>44</v>
      </c>
      <c r="E96" s="18" t="s">
        <v>150</v>
      </c>
      <c r="G96" s="7">
        <v>-258000</v>
      </c>
      <c r="I96" s="7">
        <v>-6781000</v>
      </c>
      <c r="J96" s="35" t="s">
        <v>466</v>
      </c>
      <c r="K96" s="8"/>
    </row>
    <row r="97" spans="3:11" ht="15">
      <c r="C97" s="3" t="s">
        <v>1751</v>
      </c>
      <c r="E97" s="18" t="s">
        <v>150</v>
      </c>
      <c r="G97" s="7">
        <v>-24500</v>
      </c>
      <c r="I97" s="7">
        <v>-24500</v>
      </c>
      <c r="J97" s="84" t="s">
        <v>409</v>
      </c>
      <c r="K97" s="8"/>
    </row>
    <row r="98" spans="1:9" ht="15">
      <c r="A98" s="77">
        <v>5</v>
      </c>
      <c r="C98" s="3" t="s">
        <v>1752</v>
      </c>
      <c r="E98" s="18" t="s">
        <v>150</v>
      </c>
      <c r="G98" s="27"/>
      <c r="I98" s="27"/>
    </row>
    <row r="99" spans="3:11" ht="15">
      <c r="C99" s="3" t="s">
        <v>652</v>
      </c>
      <c r="G99" s="7">
        <v>0</v>
      </c>
      <c r="I99" s="7">
        <v>0</v>
      </c>
      <c r="J99" s="35" t="s">
        <v>653</v>
      </c>
      <c r="K99" s="8"/>
    </row>
    <row r="100" spans="3:11" ht="15">
      <c r="C100" s="3" t="s">
        <v>1011</v>
      </c>
      <c r="G100" s="7">
        <v>137000</v>
      </c>
      <c r="H100" s="27"/>
      <c r="I100" s="7">
        <v>522000</v>
      </c>
      <c r="J100" s="35" t="s">
        <v>25</v>
      </c>
      <c r="K100" s="8"/>
    </row>
    <row r="101" spans="3:11" ht="15">
      <c r="C101" s="3" t="s">
        <v>859</v>
      </c>
      <c r="E101" s="18"/>
      <c r="G101" s="7">
        <v>0</v>
      </c>
      <c r="I101" s="7">
        <v>0</v>
      </c>
      <c r="J101" s="35" t="s">
        <v>860</v>
      </c>
      <c r="K101" s="8"/>
    </row>
    <row r="102" spans="3:11" ht="15">
      <c r="C102" s="3" t="s">
        <v>1384</v>
      </c>
      <c r="E102" s="18"/>
      <c r="G102" s="7">
        <f>G24</f>
        <v>0</v>
      </c>
      <c r="H102" s="15"/>
      <c r="I102" s="7">
        <f>I24</f>
        <v>18632</v>
      </c>
      <c r="J102" s="35" t="s">
        <v>1932</v>
      </c>
      <c r="K102" s="8"/>
    </row>
    <row r="103" spans="3:11" ht="15">
      <c r="C103" s="3" t="s">
        <v>14</v>
      </c>
      <c r="E103" s="18"/>
      <c r="G103" s="7">
        <v>-464246</v>
      </c>
      <c r="I103" s="7">
        <v>-464246</v>
      </c>
      <c r="J103" s="35" t="s">
        <v>83</v>
      </c>
      <c r="K103" s="8"/>
    </row>
    <row r="104" spans="3:11" ht="15">
      <c r="C104" s="3" t="s">
        <v>130</v>
      </c>
      <c r="E104" s="18"/>
      <c r="G104" s="7">
        <f>G23</f>
        <v>-13</v>
      </c>
      <c r="I104" s="7">
        <f>I23</f>
        <v>435</v>
      </c>
      <c r="J104" s="35" t="s">
        <v>95</v>
      </c>
      <c r="K104" s="8"/>
    </row>
    <row r="105" spans="3:16" ht="15">
      <c r="C105" s="3" t="s">
        <v>187</v>
      </c>
      <c r="E105" s="18"/>
      <c r="G105" s="7">
        <f>G22</f>
        <v>104450.53</v>
      </c>
      <c r="I105" s="7">
        <f>I22</f>
        <v>104450.53</v>
      </c>
      <c r="J105" s="35" t="s">
        <v>1439</v>
      </c>
      <c r="K105" s="8"/>
      <c r="O105" s="86"/>
      <c r="P105" s="86"/>
    </row>
    <row r="106" spans="3:14" ht="15">
      <c r="C106" s="3" t="s">
        <v>1275</v>
      </c>
      <c r="E106" s="18"/>
      <c r="G106" s="7">
        <v>0</v>
      </c>
      <c r="I106" s="7">
        <v>2945</v>
      </c>
      <c r="J106" s="35" t="s">
        <v>82</v>
      </c>
      <c r="K106" s="8"/>
      <c r="L106" s="85"/>
      <c r="M106" s="86"/>
      <c r="N106" s="86"/>
    </row>
    <row r="107" spans="3:11" ht="15">
      <c r="C107" s="3" t="s">
        <v>1209</v>
      </c>
      <c r="E107" s="18"/>
      <c r="G107" s="7">
        <f>G25</f>
        <v>0</v>
      </c>
      <c r="I107" s="7">
        <f>I25</f>
        <v>7285.89</v>
      </c>
      <c r="J107" s="35" t="s">
        <v>568</v>
      </c>
      <c r="K107" s="8"/>
    </row>
    <row r="108" spans="3:11" ht="15">
      <c r="C108" s="3" t="s">
        <v>559</v>
      </c>
      <c r="E108" s="18"/>
      <c r="G108" s="7">
        <f>+G27</f>
        <v>92500</v>
      </c>
      <c r="H108" s="70"/>
      <c r="I108" s="7">
        <f>+I27</f>
        <v>164000</v>
      </c>
      <c r="J108" s="35" t="s">
        <v>1249</v>
      </c>
      <c r="K108" s="8"/>
    </row>
    <row r="109" spans="3:11" ht="15.75">
      <c r="C109" s="3" t="s">
        <v>1399</v>
      </c>
      <c r="E109" s="18"/>
      <c r="G109" s="7">
        <f>G29</f>
        <v>-19163</v>
      </c>
      <c r="I109" s="7">
        <f>I29</f>
        <v>-37000</v>
      </c>
      <c r="J109" s="35" t="s">
        <v>944</v>
      </c>
      <c r="K109" s="8"/>
    </row>
    <row r="110" spans="3:11" ht="15">
      <c r="C110" s="3" t="s">
        <v>762</v>
      </c>
      <c r="E110" s="18"/>
      <c r="G110" s="7">
        <f>G28</f>
        <v>564.67</v>
      </c>
      <c r="I110" s="7">
        <f>I28</f>
        <v>1431088.72</v>
      </c>
      <c r="J110" s="35" t="s">
        <v>60</v>
      </c>
      <c r="K110" s="8"/>
    </row>
    <row r="111" spans="3:11" ht="15">
      <c r="C111" s="3" t="e">
        <f>-aro</f>
        <v>#NAME?</v>
      </c>
      <c r="E111" s="18"/>
      <c r="G111" s="7">
        <f>G30</f>
        <v>22180.19</v>
      </c>
      <c r="I111" s="7">
        <f>I30</f>
        <v>22090.53</v>
      </c>
      <c r="J111" s="35" t="s">
        <v>654</v>
      </c>
      <c r="K111" s="8"/>
    </row>
    <row r="112" spans="3:11" ht="15">
      <c r="C112" s="3" t="s">
        <v>165</v>
      </c>
      <c r="E112" s="18"/>
      <c r="G112" s="7">
        <f>+G33</f>
        <v>0</v>
      </c>
      <c r="I112" s="7">
        <f>+I33</f>
        <v>0</v>
      </c>
      <c r="J112" s="35" t="s">
        <v>1927</v>
      </c>
      <c r="K112" s="8"/>
    </row>
    <row r="113" spans="3:11" ht="15.75">
      <c r="C113" s="3" t="s">
        <v>652</v>
      </c>
      <c r="E113" s="18"/>
      <c r="G113" s="7">
        <v>0</v>
      </c>
      <c r="I113" s="7">
        <v>0</v>
      </c>
      <c r="J113" s="35" t="s">
        <v>1832</v>
      </c>
      <c r="K113" s="8"/>
    </row>
    <row r="114" spans="1:11" ht="15.75">
      <c r="A114" s="81"/>
      <c r="C114" s="3" t="s">
        <v>1562</v>
      </c>
      <c r="E114" s="18"/>
      <c r="G114" s="7">
        <v>0</v>
      </c>
      <c r="I114" s="7">
        <v>0</v>
      </c>
      <c r="J114" s="35" t="s">
        <v>1483</v>
      </c>
      <c r="K114" s="8"/>
    </row>
    <row r="115" spans="1:11" ht="15.75">
      <c r="A115" s="81"/>
      <c r="C115" s="3" t="s">
        <v>296</v>
      </c>
      <c r="E115" s="18" t="s">
        <v>1554</v>
      </c>
      <c r="G115" s="7">
        <v>0</v>
      </c>
      <c r="I115" s="7">
        <v>-14305.19</v>
      </c>
      <c r="J115" s="35" t="s">
        <v>1276</v>
      </c>
      <c r="K115" s="8"/>
    </row>
    <row r="116" spans="1:11" ht="15.75">
      <c r="A116" s="87"/>
      <c r="C116" s="3" t="s">
        <v>707</v>
      </c>
      <c r="E116" s="18"/>
      <c r="G116" s="7">
        <v>0</v>
      </c>
      <c r="I116" s="7">
        <v>0</v>
      </c>
      <c r="J116" s="35" t="s">
        <v>1478</v>
      </c>
      <c r="K116" s="8"/>
    </row>
    <row r="117" spans="3:11" ht="15">
      <c r="C117" s="3" t="s">
        <v>56</v>
      </c>
      <c r="G117" s="106">
        <f>G32</f>
        <v>0</v>
      </c>
      <c r="I117" s="106">
        <f>I32</f>
        <v>0</v>
      </c>
      <c r="J117" s="35" t="s">
        <v>1935</v>
      </c>
      <c r="K117" s="8"/>
    </row>
    <row r="118" spans="3:11" ht="15">
      <c r="C118" s="3" t="s">
        <v>434</v>
      </c>
      <c r="G118" s="109">
        <f>SUM(G99:G117)</f>
        <v>-126726.60999999999</v>
      </c>
      <c r="I118" s="109">
        <f>SUM(I99:I117)</f>
        <v>1757376.4800000002</v>
      </c>
      <c r="K118" s="8"/>
    </row>
    <row r="119" spans="7:9" ht="15">
      <c r="G119" s="108" t="s">
        <v>1569</v>
      </c>
      <c r="I119" s="108" t="s">
        <v>1569</v>
      </c>
    </row>
    <row r="120" spans="3:11" ht="15.75">
      <c r="C120" s="26" t="s">
        <v>529</v>
      </c>
      <c r="G120" s="109">
        <f>G91+G96+G97+G118</f>
        <v>-397226.61</v>
      </c>
      <c r="I120" s="109">
        <f>I91+I96+I97+I118</f>
        <v>-5041623.52</v>
      </c>
      <c r="K120" s="8"/>
    </row>
    <row r="121" spans="7:10" ht="15">
      <c r="G121" s="108" t="s">
        <v>1569</v>
      </c>
      <c r="I121" s="108" t="s">
        <v>1569</v>
      </c>
      <c r="J121" s="35" t="s">
        <v>1554</v>
      </c>
    </row>
    <row r="122" spans="7:11" ht="15">
      <c r="G122" s="107"/>
      <c r="K122" s="8"/>
    </row>
    <row r="123" spans="1:9" ht="15.75">
      <c r="A123" s="82" t="s">
        <v>1595</v>
      </c>
      <c r="C123" s="83" t="s">
        <v>607</v>
      </c>
      <c r="E123" s="17" t="s">
        <v>435</v>
      </c>
      <c r="G123" s="115" t="str">
        <f>G42</f>
        <v>ESTIMATE</v>
      </c>
      <c r="H123" s="17"/>
      <c r="I123" s="115" t="s">
        <v>1598</v>
      </c>
    </row>
    <row r="124" spans="1:11" ht="15">
      <c r="A124" s="77">
        <v>8</v>
      </c>
      <c r="C124" s="3" t="s">
        <v>531</v>
      </c>
      <c r="E124" s="34" t="s">
        <v>405</v>
      </c>
      <c r="G124" s="106">
        <v>-47754</v>
      </c>
      <c r="I124" s="106">
        <f>196-182700</f>
        <v>-182504</v>
      </c>
      <c r="J124" s="34" t="s">
        <v>405</v>
      </c>
      <c r="K124" s="8"/>
    </row>
    <row r="125" spans="5:7" ht="15">
      <c r="E125" s="18"/>
      <c r="G125" s="107"/>
    </row>
    <row r="126" spans="1:10" ht="15">
      <c r="A126" s="77">
        <v>9</v>
      </c>
      <c r="C126" s="3" t="s">
        <v>508</v>
      </c>
      <c r="E126" s="34" t="s">
        <v>545</v>
      </c>
      <c r="G126" s="29">
        <v>0</v>
      </c>
      <c r="I126" s="29">
        <v>0</v>
      </c>
      <c r="J126" s="34" t="s">
        <v>545</v>
      </c>
    </row>
    <row r="127" spans="7:9" ht="15">
      <c r="G127" s="106"/>
      <c r="I127" s="106"/>
    </row>
    <row r="128" spans="1:10" ht="31.5">
      <c r="A128" s="77">
        <v>10</v>
      </c>
      <c r="C128" s="3" t="s">
        <v>532</v>
      </c>
      <c r="E128" s="95" t="s">
        <v>1380</v>
      </c>
      <c r="G128" s="106">
        <v>0</v>
      </c>
      <c r="H128" s="15"/>
      <c r="I128" s="106">
        <v>0</v>
      </c>
      <c r="J128" s="35" t="s">
        <v>1919</v>
      </c>
    </row>
    <row r="129" spans="5:9" ht="15">
      <c r="E129" s="3" t="s">
        <v>1554</v>
      </c>
      <c r="G129" s="106"/>
      <c r="I129" s="106"/>
    </row>
    <row r="130" spans="1:9" ht="15.75">
      <c r="A130" s="77">
        <v>12</v>
      </c>
      <c r="C130" s="96" t="s">
        <v>533</v>
      </c>
      <c r="E130" s="21" t="s">
        <v>166</v>
      </c>
      <c r="G130" s="106"/>
      <c r="I130" s="106"/>
    </row>
    <row r="131" spans="3:11" ht="15">
      <c r="C131" s="3" t="s">
        <v>436</v>
      </c>
      <c r="E131" s="18" t="s">
        <v>416</v>
      </c>
      <c r="G131" s="106">
        <v>-12095</v>
      </c>
      <c r="I131" s="106">
        <f>-16950+5006.82</f>
        <v>-11943.18</v>
      </c>
      <c r="J131" s="35" t="s">
        <v>101</v>
      </c>
      <c r="K131" s="8"/>
    </row>
    <row r="132" spans="3:11" ht="15">
      <c r="C132" s="3" t="s">
        <v>437</v>
      </c>
      <c r="E132" s="18" t="s">
        <v>417</v>
      </c>
      <c r="G132" s="106">
        <f>G52</f>
        <v>-567</v>
      </c>
      <c r="I132" s="106">
        <f>I52</f>
        <v>-570</v>
      </c>
      <c r="J132" s="34" t="s">
        <v>417</v>
      </c>
      <c r="K132" s="8"/>
    </row>
    <row r="133" ht="15">
      <c r="G133" s="107"/>
    </row>
    <row r="134" spans="1:7" ht="15.75">
      <c r="A134" s="77">
        <v>13</v>
      </c>
      <c r="C134" s="96" t="s">
        <v>226</v>
      </c>
      <c r="E134" s="21" t="s">
        <v>166</v>
      </c>
      <c r="G134" s="107"/>
    </row>
    <row r="135" spans="3:11" ht="15">
      <c r="C135" s="3" t="s">
        <v>438</v>
      </c>
      <c r="E135" s="18" t="s">
        <v>418</v>
      </c>
      <c r="G135" s="106">
        <v>-169</v>
      </c>
      <c r="I135" s="106">
        <v>-167</v>
      </c>
      <c r="J135" s="34" t="s">
        <v>418</v>
      </c>
      <c r="K135" s="8"/>
    </row>
    <row r="136" spans="3:11" ht="15">
      <c r="C136" s="3" t="s">
        <v>796</v>
      </c>
      <c r="E136" s="18" t="s">
        <v>1475</v>
      </c>
      <c r="G136" s="106">
        <v>-11.5</v>
      </c>
      <c r="I136" s="106">
        <v>-11.5</v>
      </c>
      <c r="J136" s="34" t="s">
        <v>1531</v>
      </c>
      <c r="K136" s="8"/>
    </row>
    <row r="137" ht="15">
      <c r="G137" s="107"/>
    </row>
    <row r="138" spans="1:9" ht="15">
      <c r="A138" s="77">
        <v>14</v>
      </c>
      <c r="G138" s="106"/>
      <c r="I138" s="106"/>
    </row>
    <row r="139" spans="3:9" ht="15.75">
      <c r="C139" s="96" t="s">
        <v>911</v>
      </c>
      <c r="E139" s="21" t="s">
        <v>166</v>
      </c>
      <c r="G139" s="106"/>
      <c r="I139" s="106"/>
    </row>
    <row r="140" spans="3:11" ht="27" customHeight="1">
      <c r="C140" s="3" t="s">
        <v>427</v>
      </c>
      <c r="E140" s="18" t="s">
        <v>1476</v>
      </c>
      <c r="G140" s="106">
        <v>-13693.84</v>
      </c>
      <c r="I140" s="106">
        <v>-15002.31</v>
      </c>
      <c r="J140" s="35" t="s">
        <v>106</v>
      </c>
      <c r="K140" s="8"/>
    </row>
    <row r="141" spans="3:11" ht="15">
      <c r="C141" s="3" t="s">
        <v>1155</v>
      </c>
      <c r="E141" s="18" t="s">
        <v>1381</v>
      </c>
      <c r="G141" s="106">
        <v>162486.1</v>
      </c>
      <c r="I141" s="106">
        <f>162486.1-4642.46</f>
        <v>157843.64</v>
      </c>
      <c r="J141" s="35" t="s">
        <v>1381</v>
      </c>
      <c r="K141" s="8"/>
    </row>
    <row r="142" spans="3:11" ht="15">
      <c r="C142" s="3" t="s">
        <v>381</v>
      </c>
      <c r="E142" s="18" t="s">
        <v>382</v>
      </c>
      <c r="G142" s="106">
        <v>31196</v>
      </c>
      <c r="I142" s="106">
        <v>31196</v>
      </c>
      <c r="J142" s="34" t="s">
        <v>948</v>
      </c>
      <c r="K142" s="8"/>
    </row>
    <row r="143" spans="3:11" ht="15">
      <c r="C143" s="3" t="s">
        <v>655</v>
      </c>
      <c r="E143" s="18"/>
      <c r="G143" s="106">
        <f>G70</f>
        <v>-7763.07</v>
      </c>
      <c r="I143" s="106">
        <f>I70</f>
        <v>-7731.69</v>
      </c>
      <c r="J143" s="34" t="s">
        <v>656</v>
      </c>
      <c r="K143" s="8"/>
    </row>
    <row r="144" spans="3:11" ht="15">
      <c r="C144" s="3" t="s">
        <v>145</v>
      </c>
      <c r="E144" s="18" t="s">
        <v>694</v>
      </c>
      <c r="G144" s="106">
        <f>G65</f>
        <v>4.5</v>
      </c>
      <c r="I144" s="106">
        <f>I65</f>
        <v>-152</v>
      </c>
      <c r="J144" s="35" t="s">
        <v>694</v>
      </c>
      <c r="K144" s="8"/>
    </row>
    <row r="145" spans="3:11" ht="15">
      <c r="C145" s="3" t="s">
        <v>146</v>
      </c>
      <c r="E145" s="18" t="s">
        <v>1478</v>
      </c>
      <c r="G145" s="106">
        <f>G63</f>
        <v>29</v>
      </c>
      <c r="I145" s="106">
        <f>I63</f>
        <v>56</v>
      </c>
      <c r="J145" s="34" t="s">
        <v>947</v>
      </c>
      <c r="K145" s="8"/>
    </row>
    <row r="146" spans="3:11" ht="15">
      <c r="C146" s="3" t="s">
        <v>829</v>
      </c>
      <c r="E146" s="18" t="s">
        <v>504</v>
      </c>
      <c r="G146" s="106">
        <f>G64</f>
        <v>-36557.68</v>
      </c>
      <c r="I146" s="106">
        <f>I64</f>
        <v>-36557.68</v>
      </c>
      <c r="J146" s="34" t="s">
        <v>504</v>
      </c>
      <c r="K146" s="8"/>
    </row>
    <row r="147" spans="3:11" ht="15">
      <c r="C147" s="3" t="s">
        <v>830</v>
      </c>
      <c r="E147" s="18" t="s">
        <v>505</v>
      </c>
      <c r="G147" s="106">
        <v>0</v>
      </c>
      <c r="I147" s="106">
        <v>-1030.75</v>
      </c>
      <c r="J147" s="34" t="s">
        <v>505</v>
      </c>
      <c r="K147" s="8"/>
    </row>
    <row r="148" spans="3:11" ht="15">
      <c r="C148" s="3" t="s">
        <v>831</v>
      </c>
      <c r="E148" s="18" t="s">
        <v>872</v>
      </c>
      <c r="G148" s="106">
        <f>G66</f>
        <v>0</v>
      </c>
      <c r="I148" s="106">
        <f>I66</f>
        <v>-2550</v>
      </c>
      <c r="J148" s="34" t="s">
        <v>872</v>
      </c>
      <c r="K148" s="8"/>
    </row>
    <row r="149" spans="3:11" ht="15.75">
      <c r="C149" s="3" t="s">
        <v>1808</v>
      </c>
      <c r="E149" s="18" t="s">
        <v>945</v>
      </c>
      <c r="G149" s="106">
        <f>G67</f>
        <v>-8255.47</v>
      </c>
      <c r="H149" s="27"/>
      <c r="I149" s="106">
        <f>I67</f>
        <v>-361</v>
      </c>
      <c r="J149" s="34" t="s">
        <v>621</v>
      </c>
      <c r="K149" s="8"/>
    </row>
    <row r="150" spans="3:11" ht="15">
      <c r="C150" s="3" t="s">
        <v>1833</v>
      </c>
      <c r="E150" s="18" t="s">
        <v>968</v>
      </c>
      <c r="G150" s="106">
        <v>0</v>
      </c>
      <c r="H150" s="27"/>
      <c r="I150" s="106">
        <v>0</v>
      </c>
      <c r="J150" s="34" t="s">
        <v>968</v>
      </c>
      <c r="K150" s="8"/>
    </row>
    <row r="151" spans="3:11" ht="15">
      <c r="C151" s="3" t="s">
        <v>1384</v>
      </c>
      <c r="E151" s="18" t="s">
        <v>1313</v>
      </c>
      <c r="G151" s="106">
        <f>G73</f>
        <v>0</v>
      </c>
      <c r="H151" s="27"/>
      <c r="I151" s="106">
        <f>I73</f>
        <v>0</v>
      </c>
      <c r="J151" s="35" t="s">
        <v>1932</v>
      </c>
      <c r="K151" s="8"/>
    </row>
    <row r="152" spans="3:11" ht="15">
      <c r="C152" s="3" t="s">
        <v>1433</v>
      </c>
      <c r="E152" s="18" t="s">
        <v>1434</v>
      </c>
      <c r="G152" s="106">
        <f>G71</f>
        <v>-32375</v>
      </c>
      <c r="H152" s="27"/>
      <c r="I152" s="106">
        <f>I71</f>
        <v>-57400</v>
      </c>
      <c r="J152" s="34" t="s">
        <v>1936</v>
      </c>
      <c r="K152" s="8"/>
    </row>
    <row r="153" spans="3:11" ht="15">
      <c r="C153" s="3" t="s">
        <v>1694</v>
      </c>
      <c r="E153" s="18" t="s">
        <v>274</v>
      </c>
      <c r="G153" s="106">
        <f>G68</f>
        <v>-4316.5</v>
      </c>
      <c r="H153" s="27"/>
      <c r="I153" s="106">
        <f>I68</f>
        <v>-2275</v>
      </c>
      <c r="J153" s="34" t="s">
        <v>274</v>
      </c>
      <c r="K153" s="8"/>
    </row>
    <row r="154" spans="3:11" ht="15">
      <c r="C154" s="3" t="s">
        <v>148</v>
      </c>
      <c r="E154" s="95" t="s">
        <v>163</v>
      </c>
      <c r="G154" s="106">
        <v>0</v>
      </c>
      <c r="H154" s="27"/>
      <c r="I154" s="106">
        <v>0</v>
      </c>
      <c r="J154" s="97" t="s">
        <v>1585</v>
      </c>
      <c r="K154" s="8"/>
    </row>
    <row r="155" spans="3:11" ht="15">
      <c r="C155" s="3" t="s">
        <v>56</v>
      </c>
      <c r="E155" s="18" t="s">
        <v>1403</v>
      </c>
      <c r="G155" s="106">
        <f>G72</f>
        <v>6843.02</v>
      </c>
      <c r="H155" s="27"/>
      <c r="I155" s="106">
        <f>I72</f>
        <v>-44787.7</v>
      </c>
      <c r="J155" s="35" t="s">
        <v>55</v>
      </c>
      <c r="K155" s="8"/>
    </row>
    <row r="156" spans="3:11" ht="15">
      <c r="C156" s="3" t="s">
        <v>1236</v>
      </c>
      <c r="G156" s="109">
        <f>SUM(G140:G155)</f>
        <v>97597.06000000001</v>
      </c>
      <c r="I156" s="109">
        <f>SUM(I140:I155)</f>
        <v>21247.510000000024</v>
      </c>
      <c r="K156" s="8"/>
    </row>
    <row r="157" spans="7:9" ht="15">
      <c r="G157" s="108" t="s">
        <v>1569</v>
      </c>
      <c r="I157" s="108" t="s">
        <v>1569</v>
      </c>
    </row>
    <row r="158" spans="3:11" ht="15.75">
      <c r="C158" s="26" t="s">
        <v>1750</v>
      </c>
      <c r="G158" s="109">
        <f>G124+G126+G128+G131+G132+G135+G136+G156</f>
        <v>37000.56000000001</v>
      </c>
      <c r="I158" s="109">
        <f>I124+I126+I128+I131+I132+I135+I136+I156</f>
        <v>-173948.16999999998</v>
      </c>
      <c r="K158" s="8"/>
    </row>
    <row r="159" spans="7:9" ht="15">
      <c r="G159" s="108"/>
      <c r="I159" s="118"/>
    </row>
    <row r="160" spans="3:11" ht="15.75">
      <c r="C160" s="26" t="s">
        <v>284</v>
      </c>
      <c r="G160" s="110">
        <f>G158+G120</f>
        <v>-360226.05</v>
      </c>
      <c r="I160" s="112">
        <f>I158+I120</f>
        <v>-5215571.6899999995</v>
      </c>
      <c r="J160" s="35" t="s">
        <v>1554</v>
      </c>
      <c r="K160" s="8"/>
    </row>
    <row r="161" spans="3:9" ht="15.75">
      <c r="C161" s="26"/>
      <c r="G161" s="125"/>
      <c r="I161" s="112"/>
    </row>
    <row r="162" spans="2:10" ht="15">
      <c r="B162" s="34" t="s">
        <v>324</v>
      </c>
      <c r="G162" s="106">
        <v>-3648982.83</v>
      </c>
      <c r="I162" s="106">
        <v>-44769093.89</v>
      </c>
      <c r="J162" s="138" t="s">
        <v>1554</v>
      </c>
    </row>
    <row r="163" spans="2:11" ht="15">
      <c r="B163" s="34" t="s">
        <v>1239</v>
      </c>
      <c r="G163" s="107">
        <f>ROUND(G39+G120,0)</f>
        <v>-3648983</v>
      </c>
      <c r="I163" s="107">
        <f>ROUND(I39+I120,0)</f>
        <v>-44769094</v>
      </c>
      <c r="J163" s="98"/>
      <c r="K163" s="8"/>
    </row>
    <row r="164" spans="2:9" ht="15">
      <c r="B164" s="34" t="s">
        <v>252</v>
      </c>
      <c r="G164" s="107">
        <f>G162-G163</f>
        <v>0.1699999999254942</v>
      </c>
      <c r="I164" s="107">
        <f>I162-I163</f>
        <v>0.10999999940395355</v>
      </c>
    </row>
    <row r="165" spans="7:10" ht="15">
      <c r="G165" s="107"/>
      <c r="J165" s="35" t="s">
        <v>1554</v>
      </c>
    </row>
    <row r="166" spans="2:9" ht="15">
      <c r="B166" s="34" t="s">
        <v>684</v>
      </c>
      <c r="G166" s="106">
        <f>1946500.25-352922.84</f>
        <v>1593577.41</v>
      </c>
      <c r="I166" s="106">
        <f>18890223.92-2352586.42</f>
        <v>16537637.500000002</v>
      </c>
    </row>
    <row r="167" spans="2:11" ht="15">
      <c r="B167" s="34" t="s">
        <v>96</v>
      </c>
      <c r="G167" s="107">
        <f>ROUND(G77+G158,0)</f>
        <v>1593577</v>
      </c>
      <c r="I167" s="107">
        <f>ROUND(I77+I158,0)</f>
        <v>16537639</v>
      </c>
      <c r="J167" s="98"/>
      <c r="K167" s="8"/>
    </row>
    <row r="168" spans="2:11" ht="15">
      <c r="B168" s="34" t="s">
        <v>1338</v>
      </c>
      <c r="G168" s="107">
        <f>G166-G167</f>
        <v>0.40999999991618097</v>
      </c>
      <c r="I168" s="107">
        <f>I166-I167</f>
        <v>-1.4999999981373549</v>
      </c>
      <c r="K168" s="8"/>
    </row>
    <row r="169" spans="8:10" ht="15.75" thickBot="1">
      <c r="H169" s="15"/>
      <c r="J169" s="64"/>
    </row>
    <row r="170" spans="6:10" ht="15">
      <c r="F170" s="99"/>
      <c r="G170" s="72"/>
      <c r="H170" s="72"/>
      <c r="I170" s="120" t="s">
        <v>1164</v>
      </c>
      <c r="J170" s="35" t="s">
        <v>1554</v>
      </c>
    </row>
    <row r="171" spans="6:9" ht="15">
      <c r="F171" s="100"/>
      <c r="G171" s="58" t="s">
        <v>1850</v>
      </c>
      <c r="H171" s="58"/>
      <c r="I171" s="121">
        <f>I167</f>
        <v>16537639</v>
      </c>
    </row>
    <row r="172" spans="1:10" ht="16.5" thickBot="1">
      <c r="A172" s="81"/>
      <c r="F172" s="100"/>
      <c r="G172" s="73" t="s">
        <v>67</v>
      </c>
      <c r="H172" s="73"/>
      <c r="I172" s="122">
        <v>0</v>
      </c>
      <c r="J172" s="64"/>
    </row>
    <row r="173" spans="6:9" ht="15.75">
      <c r="F173" s="101"/>
      <c r="G173" s="74"/>
      <c r="H173" s="74"/>
      <c r="I173" s="123">
        <f>SUM(I171:I172)</f>
        <v>16537639</v>
      </c>
    </row>
    <row r="174" spans="6:10" ht="15.75">
      <c r="F174" s="57" t="s">
        <v>68</v>
      </c>
      <c r="G174" s="2"/>
      <c r="H174" s="58"/>
      <c r="I174" s="124">
        <v>0</v>
      </c>
      <c r="J174" s="64">
        <f>I174-I173</f>
        <v>-16537639</v>
      </c>
    </row>
    <row r="175" spans="6:9" ht="16.5" thickBot="1">
      <c r="F175" s="102" t="s">
        <v>182</v>
      </c>
      <c r="G175" s="126" t="s">
        <v>69</v>
      </c>
      <c r="H175" s="73"/>
      <c r="I175" s="122"/>
    </row>
  </sheetData>
  <sheetProtection/>
  <mergeCells count="3">
    <mergeCell ref="C7:E7"/>
    <mergeCell ref="C2:E2"/>
    <mergeCell ref="C84:E84"/>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3"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4" transitionEvaluation="1"/>
  <dimension ref="A1:T135"/>
  <sheetViews>
    <sheetView defaultGridColor="0" zoomScale="75" zoomScaleNormal="75" zoomScalePageLayoutView="0" colorId="22" workbookViewId="0" topLeftCell="A1">
      <selection activeCell="A3" sqref="A3"/>
    </sheetView>
  </sheetViews>
  <sheetFormatPr defaultColWidth="9.7109375" defaultRowHeight="12.75"/>
  <cols>
    <col min="1" max="2" width="9.7109375" style="24" customWidth="1"/>
    <col min="3" max="3" width="11.28125" style="24" customWidth="1"/>
    <col min="4" max="9" width="9.7109375" style="24" customWidth="1"/>
    <col min="10" max="10" width="24.00390625" style="24" customWidth="1"/>
    <col min="11" max="11" width="13.7109375" style="24" customWidth="1"/>
    <col min="12" max="12" width="28.57421875" style="24" customWidth="1"/>
    <col min="13" max="13" width="12.7109375" style="24" bestFit="1" customWidth="1"/>
    <col min="14" max="15" width="9.7109375" style="24" customWidth="1"/>
    <col min="16" max="16" width="19.57421875" style="24" customWidth="1"/>
    <col min="17" max="17" width="21.00390625" style="24" customWidth="1"/>
    <col min="18" max="18" width="6.8515625" style="24" customWidth="1"/>
    <col min="19" max="19" width="9.8515625" style="24" customWidth="1"/>
    <col min="20" max="20" width="14.140625" style="24" customWidth="1"/>
    <col min="21" max="21" width="9.7109375" style="24" customWidth="1"/>
    <col min="22" max="16384" width="9.7109375" style="24" customWidth="1"/>
  </cols>
  <sheetData>
    <row r="1" spans="1:19" ht="15.75">
      <c r="A1" s="83" t="s">
        <v>1621</v>
      </c>
      <c r="B1" s="5"/>
      <c r="C1" s="5"/>
      <c r="D1" s="26" t="s">
        <v>1554</v>
      </c>
      <c r="F1" s="5"/>
      <c r="G1" s="5"/>
      <c r="H1" s="5"/>
      <c r="I1" s="5"/>
      <c r="J1" s="5"/>
      <c r="K1" s="5"/>
      <c r="L1" s="5"/>
      <c r="M1" s="139" t="s">
        <v>312</v>
      </c>
      <c r="N1" s="139"/>
      <c r="O1" s="139"/>
      <c r="P1" s="183" t="s">
        <v>309</v>
      </c>
      <c r="Q1" s="183"/>
      <c r="R1" s="24">
        <v>0</v>
      </c>
      <c r="S1" s="24" t="s">
        <v>1217</v>
      </c>
    </row>
    <row r="2" spans="1:19" ht="18">
      <c r="A2" s="5"/>
      <c r="B2" s="5"/>
      <c r="C2" s="5"/>
      <c r="D2" s="83"/>
      <c r="E2" s="5"/>
      <c r="F2" s="5"/>
      <c r="G2" s="5"/>
      <c r="H2" s="5"/>
      <c r="I2" s="5"/>
      <c r="J2" s="5"/>
      <c r="K2" s="5"/>
      <c r="L2" s="184" t="s">
        <v>1042</v>
      </c>
      <c r="M2" s="5"/>
      <c r="N2" s="185"/>
      <c r="R2" s="24">
        <v>1</v>
      </c>
      <c r="S2" s="24" t="s">
        <v>788</v>
      </c>
    </row>
    <row r="3" spans="1:19" ht="18">
      <c r="A3" s="83" t="s">
        <v>238</v>
      </c>
      <c r="B3" s="5"/>
      <c r="C3" s="5"/>
      <c r="D3" s="83"/>
      <c r="E3" s="5"/>
      <c r="F3" s="5"/>
      <c r="G3" s="5"/>
      <c r="H3" s="5"/>
      <c r="I3" s="5"/>
      <c r="J3" s="5"/>
      <c r="K3" s="5"/>
      <c r="L3" s="186">
        <v>1</v>
      </c>
      <c r="M3" s="32" t="s">
        <v>885</v>
      </c>
      <c r="N3" s="185"/>
      <c r="P3" s="187" t="s">
        <v>1517</v>
      </c>
      <c r="Q3" s="187"/>
      <c r="R3" s="24">
        <v>2</v>
      </c>
      <c r="S3" s="24" t="s">
        <v>789</v>
      </c>
    </row>
    <row r="4" spans="1:19" ht="18">
      <c r="A4" s="83"/>
      <c r="B4" s="5"/>
      <c r="C4" s="5"/>
      <c r="D4" s="83"/>
      <c r="E4" s="5"/>
      <c r="F4" s="5"/>
      <c r="G4" s="5"/>
      <c r="H4" s="5"/>
      <c r="I4" s="5"/>
      <c r="J4" s="5"/>
      <c r="K4" s="5"/>
      <c r="L4" s="188" t="s">
        <v>1937</v>
      </c>
      <c r="M4" s="5" t="s">
        <v>1698</v>
      </c>
      <c r="N4" s="185"/>
      <c r="P4" s="189" t="str">
        <f>"Average Rate for "&amp;VLOOKUP($L$3,MONTHS,2,TRUE)</f>
        <v>Average Rate for January</v>
      </c>
      <c r="Q4" s="190">
        <v>0.007196</v>
      </c>
      <c r="R4" s="24">
        <v>3</v>
      </c>
      <c r="S4" s="24" t="s">
        <v>790</v>
      </c>
    </row>
    <row r="5" spans="1:19" ht="18">
      <c r="A5" s="83" t="s">
        <v>15</v>
      </c>
      <c r="B5" s="5"/>
      <c r="C5" s="5"/>
      <c r="D5" s="83"/>
      <c r="E5" s="5"/>
      <c r="F5" s="5"/>
      <c r="G5" s="5"/>
      <c r="H5" s="5"/>
      <c r="I5" s="5"/>
      <c r="J5" s="5"/>
      <c r="K5" s="5"/>
      <c r="L5" s="191" t="str">
        <f>VLOOKUP(L3-1,R1:S13,2)</f>
        <v>December</v>
      </c>
      <c r="M5" s="5" t="s">
        <v>113</v>
      </c>
      <c r="N5" s="185"/>
      <c r="R5" s="24">
        <v>4</v>
      </c>
      <c r="S5" s="24" t="s">
        <v>929</v>
      </c>
    </row>
    <row r="6" spans="1:19" ht="18">
      <c r="A6" s="5"/>
      <c r="B6" s="5"/>
      <c r="C6" s="5"/>
      <c r="D6" s="5"/>
      <c r="E6" s="5"/>
      <c r="F6" s="5"/>
      <c r="G6" s="5"/>
      <c r="H6" s="5"/>
      <c r="I6" s="5"/>
      <c r="J6" s="5"/>
      <c r="K6" s="5"/>
      <c r="L6" s="192" t="str">
        <f>VLOOKUP(L3,MONTHS,2,TRUE)</f>
        <v>January</v>
      </c>
      <c r="M6" s="32" t="s">
        <v>885</v>
      </c>
      <c r="N6" s="185"/>
      <c r="P6" s="193"/>
      <c r="R6" s="24">
        <v>5</v>
      </c>
      <c r="S6" s="24" t="s">
        <v>930</v>
      </c>
    </row>
    <row r="7" spans="1:19" ht="18">
      <c r="A7" s="5" t="s">
        <v>1212</v>
      </c>
      <c r="B7" s="5"/>
      <c r="C7" s="5"/>
      <c r="D7" s="5"/>
      <c r="E7" s="5"/>
      <c r="F7" s="5"/>
      <c r="G7" s="5"/>
      <c r="H7" s="5"/>
      <c r="I7" s="5"/>
      <c r="J7" s="5"/>
      <c r="K7" s="5"/>
      <c r="L7" s="192" t="str">
        <f>L6&amp;", "&amp;L4</f>
        <v>January, 2016</v>
      </c>
      <c r="M7" s="32" t="s">
        <v>1699</v>
      </c>
      <c r="N7" s="185"/>
      <c r="P7" s="187" t="s">
        <v>633</v>
      </c>
      <c r="Q7" s="187"/>
      <c r="R7" s="24">
        <v>6</v>
      </c>
      <c r="S7" s="24" t="s">
        <v>931</v>
      </c>
    </row>
    <row r="8" spans="1:19" ht="18">
      <c r="A8" s="5" t="s">
        <v>112</v>
      </c>
      <c r="B8" s="5"/>
      <c r="C8" s="5"/>
      <c r="D8" s="5"/>
      <c r="E8" s="5"/>
      <c r="F8" s="5"/>
      <c r="G8" s="5"/>
      <c r="H8" s="5"/>
      <c r="I8" s="5"/>
      <c r="J8" s="5"/>
      <c r="K8" s="5"/>
      <c r="L8" s="186" t="s">
        <v>1635</v>
      </c>
      <c r="M8" s="32"/>
      <c r="N8" s="185"/>
      <c r="P8" s="194" t="s">
        <v>892</v>
      </c>
      <c r="Q8" s="195">
        <v>42409</v>
      </c>
      <c r="R8" s="24">
        <v>7</v>
      </c>
      <c r="S8" s="24" t="s">
        <v>932</v>
      </c>
    </row>
    <row r="9" spans="1:20" ht="18">
      <c r="A9" s="5"/>
      <c r="B9" s="5"/>
      <c r="C9" s="5"/>
      <c r="D9" s="5"/>
      <c r="E9" s="5"/>
      <c r="F9" s="5"/>
      <c r="G9" s="5"/>
      <c r="H9" s="5"/>
      <c r="I9" s="5"/>
      <c r="J9" s="5"/>
      <c r="K9" s="5"/>
      <c r="L9" s="196"/>
      <c r="N9" s="185"/>
      <c r="P9" s="194" t="s">
        <v>1355</v>
      </c>
      <c r="Q9" s="197">
        <f>+Q8+10</f>
        <v>42419</v>
      </c>
      <c r="R9" s="24">
        <v>8</v>
      </c>
      <c r="S9" s="24" t="s">
        <v>933</v>
      </c>
      <c r="T9" s="198">
        <f>WEEKDAY(Q9)</f>
        <v>6</v>
      </c>
    </row>
    <row r="10" spans="1:20" ht="18">
      <c r="A10" s="5" t="s">
        <v>1274</v>
      </c>
      <c r="B10" s="5"/>
      <c r="C10" s="5"/>
      <c r="D10" s="5"/>
      <c r="E10" s="5"/>
      <c r="F10" s="5"/>
      <c r="G10" s="5"/>
      <c r="H10" s="5"/>
      <c r="I10" s="5"/>
      <c r="J10" s="5"/>
      <c r="K10" s="5"/>
      <c r="L10" s="199" t="s">
        <v>13</v>
      </c>
      <c r="N10" s="185"/>
      <c r="P10" s="194" t="s">
        <v>634</v>
      </c>
      <c r="Q10" s="195">
        <f>Q9+2</f>
        <v>42421</v>
      </c>
      <c r="R10" s="24">
        <v>9</v>
      </c>
      <c r="S10" s="24" t="s">
        <v>1240</v>
      </c>
      <c r="T10" s="198">
        <f>WEEKDAY(Q10)</f>
        <v>1</v>
      </c>
    </row>
    <row r="11" spans="1:19" ht="18">
      <c r="A11" s="5" t="s">
        <v>73</v>
      </c>
      <c r="B11" s="5"/>
      <c r="C11" s="5"/>
      <c r="D11" s="5"/>
      <c r="E11" s="5"/>
      <c r="F11" s="5"/>
      <c r="G11" s="5"/>
      <c r="H11" s="5"/>
      <c r="I11" s="5"/>
      <c r="J11" s="5"/>
      <c r="K11" s="5"/>
      <c r="L11" s="200">
        <f>+Q9</f>
        <v>42419</v>
      </c>
      <c r="M11" s="201"/>
      <c r="N11" s="185"/>
      <c r="R11" s="24">
        <v>10</v>
      </c>
      <c r="S11" s="24" t="s">
        <v>1215</v>
      </c>
    </row>
    <row r="12" spans="1:19" ht="18">
      <c r="A12" s="5" t="s">
        <v>245</v>
      </c>
      <c r="B12" s="5"/>
      <c r="C12" s="5"/>
      <c r="D12" s="5"/>
      <c r="E12" s="5"/>
      <c r="F12" s="5"/>
      <c r="G12" s="5"/>
      <c r="H12" s="5"/>
      <c r="I12" s="5"/>
      <c r="J12" s="5"/>
      <c r="K12" s="5"/>
      <c r="N12" s="185"/>
      <c r="R12" s="24">
        <v>11</v>
      </c>
      <c r="S12" s="24" t="s">
        <v>1216</v>
      </c>
    </row>
    <row r="13" spans="1:19" ht="18">
      <c r="A13" s="5"/>
      <c r="B13" s="5"/>
      <c r="C13" s="5"/>
      <c r="D13" s="5"/>
      <c r="E13" s="5"/>
      <c r="F13" s="5"/>
      <c r="G13" s="5"/>
      <c r="H13" s="5"/>
      <c r="I13" s="5"/>
      <c r="J13" s="5"/>
      <c r="K13" s="5"/>
      <c r="L13" s="201"/>
      <c r="M13" s="201"/>
      <c r="N13" s="185"/>
      <c r="P13" s="24" t="s">
        <v>910</v>
      </c>
      <c r="Q13" s="202" t="s">
        <v>369</v>
      </c>
      <c r="R13" s="24">
        <v>12</v>
      </c>
      <c r="S13" s="24" t="s">
        <v>1217</v>
      </c>
    </row>
    <row r="14" spans="1:14" ht="18">
      <c r="A14" s="5" t="s">
        <v>164</v>
      </c>
      <c r="B14" s="5"/>
      <c r="C14" s="5"/>
      <c r="D14" s="5"/>
      <c r="E14" s="5"/>
      <c r="F14" s="5"/>
      <c r="G14" s="5"/>
      <c r="H14" s="5"/>
      <c r="I14" s="5"/>
      <c r="J14" s="5"/>
      <c r="K14" s="5"/>
      <c r="L14" s="184" t="s">
        <v>1042</v>
      </c>
      <c r="M14" s="201"/>
      <c r="N14" s="185"/>
    </row>
    <row r="15" spans="1:14" ht="18">
      <c r="A15" s="5" t="s">
        <v>1270</v>
      </c>
      <c r="B15" s="5"/>
      <c r="C15" s="5"/>
      <c r="D15" s="5"/>
      <c r="E15" s="5"/>
      <c r="F15" s="5"/>
      <c r="G15" s="5"/>
      <c r="H15" s="5"/>
      <c r="I15" s="5"/>
      <c r="J15" s="5"/>
      <c r="K15" s="5"/>
      <c r="L15" s="186">
        <v>31</v>
      </c>
      <c r="M15" s="32" t="s">
        <v>1910</v>
      </c>
      <c r="N15" s="185"/>
    </row>
    <row r="16" spans="1:14" ht="18">
      <c r="A16" s="5" t="s">
        <v>1872</v>
      </c>
      <c r="B16" s="5"/>
      <c r="C16" s="5"/>
      <c r="D16" s="5"/>
      <c r="E16" s="5"/>
      <c r="F16" s="5"/>
      <c r="G16" s="5"/>
      <c r="H16" s="5"/>
      <c r="I16" s="5"/>
      <c r="J16" s="5"/>
      <c r="K16" s="5"/>
      <c r="L16" s="186">
        <v>366</v>
      </c>
      <c r="M16" s="32" t="s">
        <v>1911</v>
      </c>
      <c r="N16" s="185"/>
    </row>
    <row r="17" spans="1:14" ht="18">
      <c r="A17" s="5" t="s">
        <v>1430</v>
      </c>
      <c r="B17" s="5"/>
      <c r="C17" s="5"/>
      <c r="D17" s="5"/>
      <c r="E17" s="5"/>
      <c r="F17" s="5"/>
      <c r="G17" s="5"/>
      <c r="H17" s="5"/>
      <c r="I17" s="5"/>
      <c r="J17" s="5"/>
      <c r="K17" s="5"/>
      <c r="L17" s="5"/>
      <c r="M17" s="201"/>
      <c r="N17" s="185"/>
    </row>
    <row r="18" spans="11:14" ht="18">
      <c r="K18" s="5"/>
      <c r="L18" s="5"/>
      <c r="M18" s="201"/>
      <c r="N18" s="185"/>
    </row>
    <row r="19" spans="1:14" ht="18">
      <c r="A19" s="5" t="s">
        <v>142</v>
      </c>
      <c r="K19" s="5"/>
      <c r="L19" s="26" t="s">
        <v>1440</v>
      </c>
      <c r="M19" s="203">
        <v>0.7</v>
      </c>
      <c r="N19" s="185"/>
    </row>
    <row r="20" spans="1:14" ht="18">
      <c r="A20" s="5" t="s">
        <v>157</v>
      </c>
      <c r="K20" s="5"/>
      <c r="L20" s="26" t="s">
        <v>1441</v>
      </c>
      <c r="M20" s="203">
        <v>0.3</v>
      </c>
      <c r="N20" s="185"/>
    </row>
    <row r="21" spans="1:14" ht="18">
      <c r="A21" s="5"/>
      <c r="B21" s="5"/>
      <c r="C21" s="5"/>
      <c r="D21" s="5"/>
      <c r="E21" s="5"/>
      <c r="F21" s="5"/>
      <c r="G21" s="5"/>
      <c r="H21" s="5"/>
      <c r="I21" s="5"/>
      <c r="J21" s="5"/>
      <c r="K21" s="5"/>
      <c r="L21" s="5"/>
      <c r="M21" s="201"/>
      <c r="N21" s="185"/>
    </row>
    <row r="22" spans="1:14" ht="18">
      <c r="A22" s="5" t="s">
        <v>837</v>
      </c>
      <c r="B22" s="5"/>
      <c r="C22" s="5"/>
      <c r="D22" s="5"/>
      <c r="E22" s="5"/>
      <c r="F22" s="5"/>
      <c r="G22" s="5"/>
      <c r="H22" s="5"/>
      <c r="I22" s="5"/>
      <c r="J22" s="5"/>
      <c r="K22" s="5"/>
      <c r="L22" s="5"/>
      <c r="M22" s="201"/>
      <c r="N22" s="185"/>
    </row>
    <row r="23" spans="2:14" ht="18">
      <c r="B23" s="5"/>
      <c r="C23" s="5"/>
      <c r="D23" s="5"/>
      <c r="E23" s="5"/>
      <c r="F23" s="5"/>
      <c r="G23" s="5"/>
      <c r="H23" s="5"/>
      <c r="I23" s="5"/>
      <c r="J23" s="5"/>
      <c r="K23" s="5"/>
      <c r="L23" s="5"/>
      <c r="M23" s="201"/>
      <c r="N23" s="185"/>
    </row>
    <row r="24" spans="1:13" ht="12.75">
      <c r="A24" s="5" t="s">
        <v>358</v>
      </c>
      <c r="B24" s="5"/>
      <c r="C24" s="5"/>
      <c r="D24" s="5"/>
      <c r="E24" s="5"/>
      <c r="F24" s="5"/>
      <c r="G24" s="5"/>
      <c r="H24" s="5"/>
      <c r="I24" s="5"/>
      <c r="J24" s="5"/>
      <c r="K24" s="5"/>
      <c r="L24" s="5"/>
      <c r="M24" s="5"/>
    </row>
    <row r="25" spans="2:13" ht="12.75">
      <c r="B25" s="5"/>
      <c r="C25" s="5"/>
      <c r="D25" s="5"/>
      <c r="E25" s="5"/>
      <c r="F25" s="5"/>
      <c r="G25" s="5"/>
      <c r="H25" s="5"/>
      <c r="I25" s="5"/>
      <c r="J25" s="5"/>
      <c r="K25" s="5"/>
      <c r="L25" s="5"/>
      <c r="M25" s="5"/>
    </row>
    <row r="26" spans="1:13" ht="12.75">
      <c r="A26" s="5"/>
      <c r="B26" s="5"/>
      <c r="C26" s="5"/>
      <c r="D26" s="5"/>
      <c r="E26" s="5"/>
      <c r="F26" s="5"/>
      <c r="G26" s="5"/>
      <c r="H26" s="5"/>
      <c r="I26" s="5"/>
      <c r="J26" s="5"/>
      <c r="K26" s="5"/>
      <c r="L26" s="5"/>
      <c r="M26" s="5"/>
    </row>
    <row r="27" spans="1:13" ht="15.75">
      <c r="A27" s="83" t="s">
        <v>359</v>
      </c>
      <c r="B27" s="5"/>
      <c r="C27" s="5"/>
      <c r="D27" s="5"/>
      <c r="E27" s="5"/>
      <c r="F27" s="5"/>
      <c r="G27" s="5"/>
      <c r="H27" s="5"/>
      <c r="I27" s="5"/>
      <c r="J27" s="5"/>
      <c r="K27" s="5"/>
      <c r="L27" s="5"/>
      <c r="M27" s="5"/>
    </row>
    <row r="28" spans="1:13" ht="12.75">
      <c r="A28" s="5"/>
      <c r="B28" s="5"/>
      <c r="C28" s="5"/>
      <c r="D28" s="5"/>
      <c r="E28" s="5"/>
      <c r="F28" s="5"/>
      <c r="G28" s="5"/>
      <c r="H28" s="5"/>
      <c r="I28" s="5"/>
      <c r="J28" s="5"/>
      <c r="K28" s="5"/>
      <c r="L28" s="5"/>
      <c r="M28" s="5"/>
    </row>
    <row r="29" spans="1:13" ht="18">
      <c r="A29" s="5" t="s">
        <v>98</v>
      </c>
      <c r="B29" s="5"/>
      <c r="C29" s="5"/>
      <c r="D29" s="5"/>
      <c r="E29" s="5"/>
      <c r="F29" s="5"/>
      <c r="G29" s="5"/>
      <c r="H29" s="5"/>
      <c r="I29" s="5"/>
      <c r="J29" s="5"/>
      <c r="K29" s="5"/>
      <c r="L29" s="204" t="str">
        <f>UPPER(L8)</f>
        <v>ESTIMATE</v>
      </c>
      <c r="M29" s="205"/>
    </row>
    <row r="30" spans="1:13" ht="12.75">
      <c r="A30" s="5" t="s">
        <v>1407</v>
      </c>
      <c r="B30" s="5"/>
      <c r="C30" s="5"/>
      <c r="D30" s="5"/>
      <c r="E30" s="5"/>
      <c r="F30" s="5"/>
      <c r="G30" s="5"/>
      <c r="H30" s="5"/>
      <c r="I30" s="5"/>
      <c r="J30" s="5"/>
      <c r="K30" s="5"/>
      <c r="L30" s="5"/>
      <c r="M30" s="5"/>
    </row>
    <row r="31" spans="1:13" ht="12.75">
      <c r="A31" s="5" t="s">
        <v>240</v>
      </c>
      <c r="B31" s="5"/>
      <c r="C31" s="5"/>
      <c r="D31" s="5"/>
      <c r="E31" s="5"/>
      <c r="F31" s="5"/>
      <c r="G31" s="5"/>
      <c r="H31" s="5"/>
      <c r="I31" s="5"/>
      <c r="J31" s="5"/>
      <c r="K31" s="5"/>
      <c r="L31" s="5"/>
      <c r="M31" s="5"/>
    </row>
    <row r="32" spans="1:13" ht="12.75">
      <c r="A32" s="5"/>
      <c r="B32" s="5"/>
      <c r="C32" s="5"/>
      <c r="D32" s="5"/>
      <c r="E32" s="5"/>
      <c r="F32" s="5"/>
      <c r="G32" s="5"/>
      <c r="H32" s="5"/>
      <c r="I32" s="5"/>
      <c r="J32" s="5"/>
      <c r="K32" s="5"/>
      <c r="L32" s="5"/>
      <c r="M32" s="5"/>
    </row>
    <row r="33" spans="1:13" ht="12.75">
      <c r="A33" s="5"/>
      <c r="B33" s="5"/>
      <c r="C33" s="5"/>
      <c r="D33" s="5"/>
      <c r="E33" s="5"/>
      <c r="F33" s="5"/>
      <c r="G33" s="5"/>
      <c r="H33" s="5"/>
      <c r="I33" s="5"/>
      <c r="J33" s="5"/>
      <c r="K33" s="5"/>
      <c r="L33" s="5"/>
      <c r="M33" s="5"/>
    </row>
    <row r="34" spans="1:13" ht="12.75">
      <c r="A34" s="5" t="s">
        <v>414</v>
      </c>
      <c r="B34" s="5"/>
      <c r="C34" s="5"/>
      <c r="D34" s="5"/>
      <c r="E34" s="5"/>
      <c r="F34" s="5"/>
      <c r="G34" s="5"/>
      <c r="H34" s="5"/>
      <c r="I34" s="5"/>
      <c r="J34" s="5"/>
      <c r="K34" s="5"/>
      <c r="L34" s="5"/>
      <c r="M34" s="5"/>
    </row>
    <row r="35" spans="1:13" ht="12.75">
      <c r="A35" s="5" t="s">
        <v>239</v>
      </c>
      <c r="B35" s="5"/>
      <c r="C35" s="5"/>
      <c r="D35" s="5"/>
      <c r="E35" s="5"/>
      <c r="F35" s="5"/>
      <c r="G35" s="5"/>
      <c r="H35" s="5"/>
      <c r="I35" s="5"/>
      <c r="J35" s="5"/>
      <c r="K35" s="5"/>
      <c r="L35" s="5"/>
      <c r="M35" s="5"/>
    </row>
    <row r="36" spans="1:13" ht="12.75">
      <c r="A36" s="5" t="s">
        <v>1851</v>
      </c>
      <c r="B36" s="5"/>
      <c r="C36" s="5"/>
      <c r="D36" s="5"/>
      <c r="E36" s="5"/>
      <c r="F36" s="5"/>
      <c r="G36" s="5"/>
      <c r="H36" s="5"/>
      <c r="I36" s="5"/>
      <c r="J36" s="5"/>
      <c r="K36" s="5"/>
      <c r="L36" s="5"/>
      <c r="M36" s="5"/>
    </row>
    <row r="37" spans="1:13" ht="12.75">
      <c r="A37" s="5" t="s">
        <v>871</v>
      </c>
      <c r="B37" s="5"/>
      <c r="C37" s="5"/>
      <c r="D37" s="5"/>
      <c r="E37" s="5"/>
      <c r="F37" s="5"/>
      <c r="G37" s="5"/>
      <c r="H37" s="5"/>
      <c r="I37" s="5"/>
      <c r="J37" s="5"/>
      <c r="K37" s="5"/>
      <c r="L37" s="5"/>
      <c r="M37" s="5"/>
    </row>
    <row r="38" spans="1:13" ht="12.75">
      <c r="A38" s="5" t="s">
        <v>1158</v>
      </c>
      <c r="B38" s="5"/>
      <c r="C38" s="5"/>
      <c r="D38" s="5"/>
      <c r="E38" s="5"/>
      <c r="F38" s="5"/>
      <c r="G38" s="5"/>
      <c r="H38" s="5"/>
      <c r="I38" s="5"/>
      <c r="J38" s="5"/>
      <c r="K38" s="5"/>
      <c r="L38" s="5"/>
      <c r="M38" s="5"/>
    </row>
    <row r="39" spans="1:13" ht="12.75">
      <c r="A39" s="5" t="s">
        <v>1603</v>
      </c>
      <c r="B39" s="5"/>
      <c r="C39" s="5"/>
      <c r="D39" s="5"/>
      <c r="E39" s="5"/>
      <c r="F39" s="5"/>
      <c r="G39" s="5"/>
      <c r="H39" s="5"/>
      <c r="I39" s="5"/>
      <c r="J39" s="5"/>
      <c r="K39" s="5"/>
      <c r="L39" s="5"/>
      <c r="M39" s="5"/>
    </row>
    <row r="40" spans="1:13" ht="12.75">
      <c r="A40" s="5" t="s">
        <v>1667</v>
      </c>
      <c r="B40" s="5"/>
      <c r="C40" s="5"/>
      <c r="D40" s="5"/>
      <c r="E40" s="5"/>
      <c r="F40" s="5"/>
      <c r="G40" s="5"/>
      <c r="H40" s="5"/>
      <c r="I40" s="5"/>
      <c r="J40" s="5"/>
      <c r="K40" s="5"/>
      <c r="L40" s="5"/>
      <c r="M40" s="5"/>
    </row>
    <row r="41" spans="1:13" ht="12.75">
      <c r="A41" s="5" t="s">
        <v>878</v>
      </c>
      <c r="B41" s="5"/>
      <c r="C41" s="5"/>
      <c r="D41" s="5"/>
      <c r="E41" s="5"/>
      <c r="F41" s="5"/>
      <c r="G41" s="5"/>
      <c r="H41" s="5"/>
      <c r="I41" s="5"/>
      <c r="J41" s="5"/>
      <c r="K41" s="5"/>
      <c r="L41" s="5"/>
      <c r="M41" s="5"/>
    </row>
    <row r="42" spans="1:13" ht="12.75">
      <c r="A42" s="5" t="s">
        <v>1177</v>
      </c>
      <c r="B42" s="5"/>
      <c r="C42" s="5"/>
      <c r="D42" s="5"/>
      <c r="E42" s="5"/>
      <c r="F42" s="5"/>
      <c r="G42" s="5"/>
      <c r="H42" s="5"/>
      <c r="I42" s="5"/>
      <c r="J42" s="5"/>
      <c r="K42" s="5"/>
      <c r="L42" s="5"/>
      <c r="M42" s="5"/>
    </row>
    <row r="43" spans="1:13" ht="12.75">
      <c r="A43" s="5" t="s">
        <v>354</v>
      </c>
      <c r="B43" s="5"/>
      <c r="C43" s="5"/>
      <c r="D43" s="5"/>
      <c r="E43" s="5"/>
      <c r="F43" s="5"/>
      <c r="G43" s="5"/>
      <c r="H43" s="5"/>
      <c r="I43" s="5"/>
      <c r="J43" s="5"/>
      <c r="K43" s="5"/>
      <c r="L43" s="5"/>
      <c r="M43" s="5"/>
    </row>
    <row r="44" spans="1:13" ht="12.75">
      <c r="A44" s="5" t="s">
        <v>33</v>
      </c>
      <c r="B44" s="5"/>
      <c r="C44" s="5"/>
      <c r="D44" s="5"/>
      <c r="E44" s="5"/>
      <c r="F44" s="5"/>
      <c r="G44" s="5"/>
      <c r="H44" s="5"/>
      <c r="I44" s="5"/>
      <c r="J44" s="5"/>
      <c r="K44" s="5"/>
      <c r="L44" s="5"/>
      <c r="M44" s="5"/>
    </row>
    <row r="45" spans="2:13" ht="12.75">
      <c r="B45" s="5"/>
      <c r="C45" s="5"/>
      <c r="D45" s="5"/>
      <c r="E45" s="5"/>
      <c r="F45" s="5"/>
      <c r="G45" s="5"/>
      <c r="H45" s="5"/>
      <c r="I45" s="5"/>
      <c r="J45" s="5"/>
      <c r="K45" s="5"/>
      <c r="L45" s="5"/>
      <c r="M45" s="5"/>
    </row>
    <row r="46" spans="2:13" ht="12.75">
      <c r="B46" s="5"/>
      <c r="C46" s="5"/>
      <c r="D46" s="5"/>
      <c r="E46" s="5"/>
      <c r="F46" s="5"/>
      <c r="G46" s="5"/>
      <c r="H46" s="5"/>
      <c r="I46" s="5"/>
      <c r="J46" s="5"/>
      <c r="K46" s="5"/>
      <c r="L46" s="5"/>
      <c r="M46" s="5"/>
    </row>
    <row r="47" spans="2:13" ht="12.75">
      <c r="B47" s="5"/>
      <c r="C47" s="5"/>
      <c r="D47" s="5"/>
      <c r="E47" s="5"/>
      <c r="F47" s="5"/>
      <c r="G47" s="5"/>
      <c r="H47" s="5"/>
      <c r="I47" s="5"/>
      <c r="J47" s="5"/>
      <c r="K47" s="5"/>
      <c r="L47" s="5"/>
      <c r="M47" s="5"/>
    </row>
    <row r="48" spans="2:13" ht="12.75">
      <c r="B48" s="5"/>
      <c r="C48" s="5"/>
      <c r="D48" s="5"/>
      <c r="E48" s="5"/>
      <c r="F48" s="5"/>
      <c r="G48" s="5"/>
      <c r="H48" s="5"/>
      <c r="I48" s="5"/>
      <c r="J48" s="5"/>
      <c r="K48" s="5"/>
      <c r="L48" s="5"/>
      <c r="M48" s="5"/>
    </row>
    <row r="49" spans="1:13" ht="12.75">
      <c r="A49" s="5"/>
      <c r="B49" s="5"/>
      <c r="C49" s="5"/>
      <c r="D49" s="5"/>
      <c r="E49" s="5"/>
      <c r="F49" s="5"/>
      <c r="G49" s="5"/>
      <c r="H49" s="5"/>
      <c r="I49" s="5"/>
      <c r="J49" s="5"/>
      <c r="K49" s="5"/>
      <c r="L49" s="5"/>
      <c r="M49" s="5"/>
    </row>
    <row r="50" spans="1:13" ht="12.75">
      <c r="A50" s="5"/>
      <c r="B50" s="5"/>
      <c r="C50" s="5"/>
      <c r="D50" s="5"/>
      <c r="E50" s="5"/>
      <c r="F50" s="5"/>
      <c r="G50" s="5"/>
      <c r="H50" s="5"/>
      <c r="I50" s="5"/>
      <c r="J50" s="5"/>
      <c r="K50" s="5"/>
      <c r="L50" s="5"/>
      <c r="M50" s="5"/>
    </row>
    <row r="51" spans="1:13" ht="15.75">
      <c r="A51" s="83" t="s">
        <v>27</v>
      </c>
      <c r="B51" s="5"/>
      <c r="C51" s="5"/>
      <c r="D51" s="5"/>
      <c r="E51" s="5"/>
      <c r="F51" s="5"/>
      <c r="G51" s="5"/>
      <c r="H51" s="5"/>
      <c r="I51" s="5"/>
      <c r="J51" s="5"/>
      <c r="K51" s="5"/>
      <c r="L51" s="5"/>
      <c r="M51" s="5"/>
    </row>
    <row r="52" spans="1:13" ht="15">
      <c r="A52" s="34" t="s">
        <v>109</v>
      </c>
      <c r="B52" s="5"/>
      <c r="C52" s="5"/>
      <c r="D52" s="5"/>
      <c r="E52" s="5"/>
      <c r="F52" s="5"/>
      <c r="G52" s="5"/>
      <c r="H52" s="5"/>
      <c r="I52" s="5"/>
      <c r="J52" s="5"/>
      <c r="K52" s="5"/>
      <c r="L52" s="5"/>
      <c r="M52" s="5"/>
    </row>
    <row r="53" spans="1:13" ht="12.75">
      <c r="A53" s="5" t="s">
        <v>357</v>
      </c>
      <c r="B53" s="5"/>
      <c r="C53" s="5"/>
      <c r="D53" s="5"/>
      <c r="E53" s="5"/>
      <c r="F53" s="5"/>
      <c r="G53" s="5"/>
      <c r="H53" s="5"/>
      <c r="I53" s="5"/>
      <c r="J53" s="5"/>
      <c r="K53" s="5"/>
      <c r="L53" s="5"/>
      <c r="M53" s="5"/>
    </row>
    <row r="54" spans="1:13" ht="12.75">
      <c r="A54" s="5" t="s">
        <v>21</v>
      </c>
      <c r="B54" s="5"/>
      <c r="C54" s="5"/>
      <c r="D54" s="5"/>
      <c r="E54" s="5"/>
      <c r="F54" s="5"/>
      <c r="G54" s="5"/>
      <c r="H54" s="5"/>
      <c r="I54" s="5"/>
      <c r="J54" s="5"/>
      <c r="K54" s="5"/>
      <c r="L54" s="5"/>
      <c r="M54" s="5"/>
    </row>
    <row r="55" spans="1:13" ht="12.75">
      <c r="A55" s="5"/>
      <c r="B55" s="5"/>
      <c r="C55" s="5"/>
      <c r="D55" s="5"/>
      <c r="E55" s="5"/>
      <c r="F55" s="5"/>
      <c r="G55" s="5"/>
      <c r="H55" s="5"/>
      <c r="I55" s="5"/>
      <c r="J55" s="5"/>
      <c r="K55" s="5"/>
      <c r="L55" s="5"/>
      <c r="M55" s="5"/>
    </row>
    <row r="56" spans="1:13" ht="12.75">
      <c r="A56" s="5"/>
      <c r="B56" s="5"/>
      <c r="C56" s="5"/>
      <c r="D56" s="5"/>
      <c r="E56" s="5"/>
      <c r="F56" s="5"/>
      <c r="G56" s="5"/>
      <c r="H56" s="5"/>
      <c r="I56" s="5"/>
      <c r="J56" s="5"/>
      <c r="K56" s="5"/>
      <c r="L56" s="5"/>
      <c r="M56" s="5"/>
    </row>
    <row r="57" spans="1:13" ht="12.75">
      <c r="A57" s="5" t="s">
        <v>1831</v>
      </c>
      <c r="B57" s="5"/>
      <c r="C57" s="5"/>
      <c r="D57" s="5"/>
      <c r="E57" s="5"/>
      <c r="F57" s="5"/>
      <c r="G57" s="5"/>
      <c r="H57" s="5"/>
      <c r="I57" s="5"/>
      <c r="J57" s="5"/>
      <c r="K57" s="5"/>
      <c r="L57" s="5"/>
      <c r="M57" s="5"/>
    </row>
    <row r="58" spans="1:13" ht="12.75">
      <c r="A58" s="5" t="s">
        <v>1888</v>
      </c>
      <c r="B58" s="5"/>
      <c r="C58" s="5"/>
      <c r="D58" s="5"/>
      <c r="E58" s="5"/>
      <c r="F58" s="5"/>
      <c r="G58" s="5"/>
      <c r="H58" s="5"/>
      <c r="I58" s="5"/>
      <c r="J58" s="5"/>
      <c r="K58" s="5"/>
      <c r="L58" s="5"/>
      <c r="M58" s="5"/>
    </row>
    <row r="59" spans="1:13" ht="12.75">
      <c r="A59" s="5" t="s">
        <v>1227</v>
      </c>
      <c r="B59" s="5"/>
      <c r="C59" s="5"/>
      <c r="D59" s="5"/>
      <c r="E59" s="5"/>
      <c r="F59" s="5"/>
      <c r="G59" s="5"/>
      <c r="H59" s="5"/>
      <c r="I59" s="5"/>
      <c r="J59" s="5"/>
      <c r="K59" s="5"/>
      <c r="L59" s="5"/>
      <c r="M59" s="5"/>
    </row>
    <row r="60" spans="1:13" ht="12.75">
      <c r="A60" s="5" t="s">
        <v>111</v>
      </c>
      <c r="B60" s="5"/>
      <c r="C60" s="5"/>
      <c r="D60" s="5"/>
      <c r="E60" s="5"/>
      <c r="F60" s="5"/>
      <c r="G60" s="5"/>
      <c r="H60" s="5"/>
      <c r="I60" s="5"/>
      <c r="J60" s="5"/>
      <c r="K60" s="5"/>
      <c r="L60" s="5"/>
      <c r="M60" s="5"/>
    </row>
    <row r="61" spans="1:13" ht="12.75">
      <c r="A61" s="5"/>
      <c r="B61" s="5"/>
      <c r="C61" s="5"/>
      <c r="D61" s="5"/>
      <c r="E61" s="5"/>
      <c r="F61" s="5"/>
      <c r="G61" s="5"/>
      <c r="H61" s="5"/>
      <c r="I61" s="5"/>
      <c r="J61" s="5"/>
      <c r="K61" s="5"/>
      <c r="L61" s="5"/>
      <c r="M61" s="5"/>
    </row>
    <row r="62" spans="1:13" ht="15.75">
      <c r="A62" s="83" t="s">
        <v>1400</v>
      </c>
      <c r="B62" s="5"/>
      <c r="C62" s="5"/>
      <c r="D62" s="5"/>
      <c r="E62" s="5"/>
      <c r="F62" s="5"/>
      <c r="G62" s="5"/>
      <c r="H62" s="5"/>
      <c r="I62" s="5"/>
      <c r="J62" s="5"/>
      <c r="K62" s="5"/>
      <c r="L62" s="5"/>
      <c r="M62" s="5"/>
    </row>
    <row r="63" spans="1:13" ht="12.75">
      <c r="A63" s="5" t="s">
        <v>392</v>
      </c>
      <c r="B63" s="5"/>
      <c r="C63" s="5"/>
      <c r="D63" s="5"/>
      <c r="E63" s="5"/>
      <c r="F63" s="5"/>
      <c r="G63" s="5"/>
      <c r="H63" s="5"/>
      <c r="I63" s="5"/>
      <c r="J63" s="5"/>
      <c r="K63" s="5"/>
      <c r="L63" s="5"/>
      <c r="M63" s="5"/>
    </row>
    <row r="64" spans="1:13" ht="12.75">
      <c r="A64" s="5" t="s">
        <v>1247</v>
      </c>
      <c r="B64" s="5"/>
      <c r="C64" s="5"/>
      <c r="D64" s="5"/>
      <c r="E64" s="5"/>
      <c r="F64" s="5"/>
      <c r="G64" s="5"/>
      <c r="H64" s="5"/>
      <c r="I64" s="5"/>
      <c r="J64" s="5"/>
      <c r="K64" s="5"/>
      <c r="L64" s="5"/>
      <c r="M64" s="5"/>
    </row>
    <row r="65" spans="1:13" ht="12.75">
      <c r="A65" s="5"/>
      <c r="B65" s="5"/>
      <c r="C65" s="5"/>
      <c r="D65" s="5"/>
      <c r="E65" s="5"/>
      <c r="F65" s="5"/>
      <c r="G65" s="5"/>
      <c r="H65" s="5"/>
      <c r="I65" s="5"/>
      <c r="J65" s="5"/>
      <c r="K65" s="5"/>
      <c r="L65" s="5"/>
      <c r="M65" s="5"/>
    </row>
    <row r="66" spans="1:13" ht="12.75">
      <c r="A66" s="5"/>
      <c r="B66" s="5"/>
      <c r="C66" s="5"/>
      <c r="D66" s="5"/>
      <c r="E66" s="5"/>
      <c r="F66" s="5"/>
      <c r="G66" s="5"/>
      <c r="H66" s="5"/>
      <c r="I66" s="5"/>
      <c r="J66" s="5"/>
      <c r="K66" s="5"/>
      <c r="L66" s="5"/>
      <c r="M66" s="5"/>
    </row>
    <row r="67" spans="1:13" ht="15.75">
      <c r="A67" s="83" t="s">
        <v>1248</v>
      </c>
      <c r="B67" s="5"/>
      <c r="C67" s="5"/>
      <c r="D67" s="5"/>
      <c r="E67" s="5"/>
      <c r="F67" s="5"/>
      <c r="G67" s="5"/>
      <c r="H67" s="5"/>
      <c r="I67" s="5"/>
      <c r="J67" s="5"/>
      <c r="K67" s="5"/>
      <c r="L67" s="5"/>
      <c r="M67" s="5"/>
    </row>
    <row r="68" spans="1:13" ht="12.75">
      <c r="A68" s="5" t="s">
        <v>1271</v>
      </c>
      <c r="B68" s="5"/>
      <c r="C68" s="5"/>
      <c r="D68" s="5"/>
      <c r="E68" s="5"/>
      <c r="F68" s="5"/>
      <c r="G68" s="5"/>
      <c r="H68" s="5"/>
      <c r="I68" s="5"/>
      <c r="J68" s="5"/>
      <c r="K68" s="5"/>
      <c r="L68" s="5"/>
      <c r="M68" s="5"/>
    </row>
    <row r="69" spans="1:13" ht="12.75">
      <c r="A69" s="5" t="s">
        <v>1008</v>
      </c>
      <c r="B69" s="5"/>
      <c r="C69" s="5"/>
      <c r="D69" s="5"/>
      <c r="E69" s="5"/>
      <c r="F69" s="5"/>
      <c r="G69" s="5"/>
      <c r="H69" s="5"/>
      <c r="I69" s="5"/>
      <c r="J69" s="5"/>
      <c r="K69" s="5"/>
      <c r="L69" s="5"/>
      <c r="M69" s="5"/>
    </row>
    <row r="70" spans="1:13" ht="12.75">
      <c r="A70" s="5" t="s">
        <v>1252</v>
      </c>
      <c r="B70" s="5"/>
      <c r="C70" s="5"/>
      <c r="D70" s="5"/>
      <c r="E70" s="5"/>
      <c r="F70" s="5"/>
      <c r="G70" s="5"/>
      <c r="H70" s="5"/>
      <c r="I70" s="5"/>
      <c r="J70" s="5"/>
      <c r="K70" s="5"/>
      <c r="L70" s="5"/>
      <c r="M70" s="5"/>
    </row>
    <row r="71" spans="1:13" ht="12.75">
      <c r="A71" s="5" t="s">
        <v>31</v>
      </c>
      <c r="B71" s="5"/>
      <c r="C71" s="5"/>
      <c r="D71" s="5"/>
      <c r="E71" s="5"/>
      <c r="F71" s="5"/>
      <c r="G71" s="5"/>
      <c r="H71" s="5"/>
      <c r="I71" s="5"/>
      <c r="J71" s="5"/>
      <c r="K71" s="5"/>
      <c r="L71" s="5"/>
      <c r="M71" s="5"/>
    </row>
    <row r="72" spans="1:13" ht="12.75">
      <c r="A72" s="5" t="s">
        <v>1839</v>
      </c>
      <c r="B72" s="5"/>
      <c r="C72" s="5"/>
      <c r="D72" s="5"/>
      <c r="E72" s="5"/>
      <c r="F72" s="5"/>
      <c r="G72" s="5"/>
      <c r="H72" s="5"/>
      <c r="I72" s="5"/>
      <c r="J72" s="5"/>
      <c r="K72" s="5"/>
      <c r="L72" s="5"/>
      <c r="M72" s="5"/>
    </row>
    <row r="73" spans="1:13" ht="12.75">
      <c r="A73" s="5" t="s">
        <v>279</v>
      </c>
      <c r="B73" s="5"/>
      <c r="C73" s="5"/>
      <c r="D73" s="5"/>
      <c r="E73" s="5"/>
      <c r="F73" s="5"/>
      <c r="G73" s="5"/>
      <c r="H73" s="5"/>
      <c r="I73" s="5"/>
      <c r="J73" s="5"/>
      <c r="K73" s="5"/>
      <c r="L73" s="5"/>
      <c r="M73" s="5"/>
    </row>
    <row r="74" spans="1:13" ht="12.75">
      <c r="A74" s="5" t="s">
        <v>855</v>
      </c>
      <c r="B74" s="5"/>
      <c r="C74" s="5"/>
      <c r="D74" s="5"/>
      <c r="E74" s="5"/>
      <c r="F74" s="5"/>
      <c r="G74" s="5"/>
      <c r="H74" s="5"/>
      <c r="I74" s="5"/>
      <c r="J74" s="5"/>
      <c r="K74" s="5"/>
      <c r="L74" s="5"/>
      <c r="M74" s="5"/>
    </row>
    <row r="75" spans="1:13" ht="12.75">
      <c r="A75" s="5"/>
      <c r="B75" s="5"/>
      <c r="C75" s="5"/>
      <c r="D75" s="5"/>
      <c r="E75" s="5"/>
      <c r="F75" s="5"/>
      <c r="G75" s="5"/>
      <c r="H75" s="5"/>
      <c r="I75" s="5"/>
      <c r="J75" s="5"/>
      <c r="K75" s="5"/>
      <c r="L75" s="5"/>
      <c r="M75" s="5"/>
    </row>
    <row r="76" spans="1:13" ht="12.75">
      <c r="A76" s="5" t="s">
        <v>499</v>
      </c>
      <c r="B76" s="5"/>
      <c r="C76" s="5"/>
      <c r="D76" s="5"/>
      <c r="E76" s="5"/>
      <c r="F76" s="5"/>
      <c r="G76" s="5"/>
      <c r="H76" s="5"/>
      <c r="I76" s="5"/>
      <c r="J76" s="5"/>
      <c r="K76" s="5"/>
      <c r="L76" s="5"/>
      <c r="M76" s="5"/>
    </row>
    <row r="77" spans="1:13" ht="12.75">
      <c r="A77" s="5"/>
      <c r="B77" s="5"/>
      <c r="C77" s="5"/>
      <c r="D77" s="5"/>
      <c r="E77" s="5"/>
      <c r="F77" s="5"/>
      <c r="G77" s="5"/>
      <c r="H77" s="5"/>
      <c r="I77" s="5"/>
      <c r="J77" s="5"/>
      <c r="K77" s="5"/>
      <c r="L77" s="5"/>
      <c r="M77" s="5"/>
    </row>
    <row r="78" spans="1:13" ht="12.75">
      <c r="A78" s="5" t="s">
        <v>1268</v>
      </c>
      <c r="B78" s="5"/>
      <c r="C78" s="5"/>
      <c r="D78" s="5"/>
      <c r="E78" s="5"/>
      <c r="F78" s="5"/>
      <c r="G78" s="5"/>
      <c r="H78" s="5"/>
      <c r="I78" s="5"/>
      <c r="J78" s="5"/>
      <c r="K78" s="5"/>
      <c r="L78" s="5"/>
      <c r="M78" s="5"/>
    </row>
    <row r="79" spans="1:13" ht="12.75">
      <c r="A79" s="5" t="s">
        <v>355</v>
      </c>
      <c r="B79" s="5"/>
      <c r="C79" s="5"/>
      <c r="D79" s="5"/>
      <c r="E79" s="5"/>
      <c r="F79" s="5"/>
      <c r="G79" s="5"/>
      <c r="H79" s="5"/>
      <c r="I79" s="5"/>
      <c r="J79" s="5"/>
      <c r="K79" s="5"/>
      <c r="L79" s="5"/>
      <c r="M79" s="5"/>
    </row>
    <row r="80" spans="1:13" ht="12.75">
      <c r="A80" s="5"/>
      <c r="B80" s="5"/>
      <c r="C80" s="5"/>
      <c r="D80" s="5"/>
      <c r="E80" s="5"/>
      <c r="F80" s="5"/>
      <c r="G80" s="5"/>
      <c r="H80" s="5"/>
      <c r="I80" s="5"/>
      <c r="J80" s="5"/>
      <c r="K80" s="5"/>
      <c r="L80" s="5"/>
      <c r="M80" s="5"/>
    </row>
    <row r="81" spans="1:13" ht="15.75">
      <c r="A81" s="83" t="s">
        <v>249</v>
      </c>
      <c r="B81" s="5"/>
      <c r="C81" s="5"/>
      <c r="D81" s="5"/>
      <c r="E81" s="5"/>
      <c r="F81" s="5"/>
      <c r="G81" s="5"/>
      <c r="H81" s="5"/>
      <c r="I81" s="5"/>
      <c r="J81" s="5"/>
      <c r="K81" s="5"/>
      <c r="L81" s="5"/>
      <c r="M81" s="5"/>
    </row>
    <row r="82" spans="1:13" ht="12.75">
      <c r="A82" s="5" t="s">
        <v>1857</v>
      </c>
      <c r="B82" s="5"/>
      <c r="C82" s="5"/>
      <c r="D82" s="5"/>
      <c r="E82" s="5"/>
      <c r="F82" s="5"/>
      <c r="G82" s="5"/>
      <c r="H82" s="5"/>
      <c r="I82" s="5"/>
      <c r="J82" s="5"/>
      <c r="K82" s="5"/>
      <c r="L82" s="5"/>
      <c r="M82" s="5"/>
    </row>
    <row r="83" spans="1:13" ht="12.75">
      <c r="A83" s="5" t="s">
        <v>1871</v>
      </c>
      <c r="B83" s="5"/>
      <c r="C83" s="5"/>
      <c r="D83" s="5"/>
      <c r="E83" s="5"/>
      <c r="F83" s="5"/>
      <c r="G83" s="5"/>
      <c r="H83" s="5"/>
      <c r="I83" s="5"/>
      <c r="J83" s="5"/>
      <c r="K83" s="5"/>
      <c r="L83" s="5"/>
      <c r="M83" s="5"/>
    </row>
    <row r="84" spans="1:13" ht="12.75">
      <c r="A84" s="5"/>
      <c r="B84" s="5"/>
      <c r="C84" s="5"/>
      <c r="D84" s="5"/>
      <c r="E84" s="5"/>
      <c r="F84" s="5"/>
      <c r="G84" s="5"/>
      <c r="H84" s="5"/>
      <c r="I84" s="5"/>
      <c r="J84" s="5"/>
      <c r="K84" s="5"/>
      <c r="L84" s="5"/>
      <c r="M84" s="5"/>
    </row>
    <row r="85" spans="1:13" ht="12.75">
      <c r="A85" s="5"/>
      <c r="B85" s="5"/>
      <c r="C85" s="5"/>
      <c r="D85" s="5"/>
      <c r="E85" s="5"/>
      <c r="F85" s="5"/>
      <c r="G85" s="5"/>
      <c r="H85" s="5"/>
      <c r="I85" s="5"/>
      <c r="J85" s="5"/>
      <c r="K85" s="5"/>
      <c r="L85" s="5"/>
      <c r="M85" s="5"/>
    </row>
    <row r="86" spans="1:13" ht="12.75">
      <c r="A86" s="5" t="s">
        <v>1553</v>
      </c>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t="s">
        <v>780</v>
      </c>
      <c r="B88" s="5"/>
      <c r="C88" s="5"/>
      <c r="D88" s="5"/>
      <c r="E88" s="5"/>
      <c r="F88" s="5"/>
      <c r="G88" s="5"/>
      <c r="H88" s="5"/>
      <c r="I88" s="5"/>
      <c r="J88" s="5"/>
      <c r="K88" s="5"/>
      <c r="L88" s="5"/>
      <c r="M88" s="5"/>
    </row>
    <row r="89" spans="1:13" ht="12.75">
      <c r="A89" s="5" t="s">
        <v>51</v>
      </c>
      <c r="B89" s="5"/>
      <c r="C89" s="5"/>
      <c r="D89" s="5"/>
      <c r="E89" s="5"/>
      <c r="F89" s="5"/>
      <c r="G89" s="5"/>
      <c r="H89" s="5"/>
      <c r="I89" s="5"/>
      <c r="J89" s="5"/>
      <c r="K89" s="5"/>
      <c r="L89" s="5"/>
      <c r="M89" s="5"/>
    </row>
    <row r="90" spans="1:13" ht="12.75">
      <c r="A90" s="5" t="s">
        <v>470</v>
      </c>
      <c r="B90" s="5"/>
      <c r="C90" s="5"/>
      <c r="D90" s="5"/>
      <c r="E90" s="5"/>
      <c r="F90" s="5"/>
      <c r="G90" s="5"/>
      <c r="H90" s="5"/>
      <c r="I90" s="5"/>
      <c r="J90" s="5"/>
      <c r="K90" s="5"/>
      <c r="L90" s="5"/>
      <c r="M90" s="5"/>
    </row>
    <row r="91" spans="1:13" ht="12.75">
      <c r="A91" s="5" t="s">
        <v>1539</v>
      </c>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t="s">
        <v>967</v>
      </c>
      <c r="B93" s="5"/>
      <c r="C93" s="5"/>
      <c r="D93" s="5"/>
      <c r="E93" s="5"/>
      <c r="F93" s="5"/>
      <c r="G93" s="5"/>
      <c r="H93" s="5"/>
      <c r="I93" s="5"/>
      <c r="J93" s="5"/>
      <c r="K93" s="5"/>
      <c r="L93" s="5"/>
      <c r="M93" s="5"/>
    </row>
    <row r="94" spans="1:13" ht="12.75">
      <c r="A94" s="5" t="s">
        <v>1871</v>
      </c>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t="s">
        <v>361</v>
      </c>
      <c r="B96" s="5"/>
      <c r="C96" s="5"/>
      <c r="D96" s="5"/>
      <c r="E96" s="5"/>
      <c r="F96" s="5"/>
      <c r="G96" s="5"/>
      <c r="H96" s="5"/>
      <c r="I96" s="5"/>
      <c r="J96" s="5"/>
      <c r="K96" s="5"/>
      <c r="L96" s="5"/>
      <c r="M96" s="5"/>
    </row>
    <row r="97" spans="1:13" ht="12.75">
      <c r="A97" s="5" t="s">
        <v>1553</v>
      </c>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t="s">
        <v>57</v>
      </c>
      <c r="B99" s="5"/>
      <c r="C99" s="5"/>
      <c r="D99" s="5"/>
      <c r="E99" s="5"/>
      <c r="F99" s="5"/>
      <c r="G99" s="5"/>
      <c r="H99" s="5"/>
      <c r="I99" s="5"/>
      <c r="J99" s="5"/>
      <c r="K99" s="5"/>
      <c r="L99" s="5"/>
      <c r="M99" s="5"/>
    </row>
    <row r="100" spans="1:13" ht="12.75">
      <c r="A100" s="5" t="s">
        <v>61</v>
      </c>
      <c r="B100" s="5"/>
      <c r="C100" s="5"/>
      <c r="D100" s="5"/>
      <c r="E100" s="5"/>
      <c r="F100" s="5"/>
      <c r="G100" s="5"/>
      <c r="H100" s="5"/>
      <c r="I100" s="5"/>
      <c r="J100" s="5"/>
      <c r="K100" s="5"/>
      <c r="L100" s="5"/>
      <c r="M100" s="5"/>
    </row>
    <row r="101" spans="1:13" ht="12.75">
      <c r="A101" s="5" t="s">
        <v>184</v>
      </c>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t="s">
        <v>661</v>
      </c>
      <c r="B103" s="5"/>
      <c r="C103" s="5"/>
      <c r="D103" s="5"/>
      <c r="E103" s="5"/>
      <c r="F103" s="5"/>
      <c r="G103" s="5"/>
      <c r="H103" s="5"/>
      <c r="I103" s="5"/>
      <c r="J103" s="5"/>
      <c r="K103" s="5"/>
      <c r="L103" s="5"/>
      <c r="M103" s="5"/>
    </row>
    <row r="104" spans="1:13" ht="12.75">
      <c r="A104" s="5" t="s">
        <v>1435</v>
      </c>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t="s">
        <v>1095</v>
      </c>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5.75">
      <c r="A109" s="83" t="s">
        <v>1096</v>
      </c>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t="s">
        <v>1241</v>
      </c>
      <c r="B111" s="5"/>
      <c r="C111" s="5"/>
      <c r="D111" s="5"/>
      <c r="E111" s="5"/>
      <c r="F111" s="5"/>
      <c r="G111" s="5"/>
      <c r="H111" s="5"/>
      <c r="I111" s="5"/>
      <c r="J111" s="5"/>
      <c r="K111" s="5"/>
      <c r="L111" s="5"/>
      <c r="M111" s="5"/>
    </row>
    <row r="112" spans="1:13" ht="12.75">
      <c r="A112" s="5" t="s">
        <v>552</v>
      </c>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5.75">
      <c r="A115" s="83" t="s">
        <v>390</v>
      </c>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t="s">
        <v>1029</v>
      </c>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t="s">
        <v>660</v>
      </c>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t="s">
        <v>1048</v>
      </c>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t="s">
        <v>1160</v>
      </c>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t="s">
        <v>1027</v>
      </c>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t="s">
        <v>266</v>
      </c>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t="s">
        <v>242</v>
      </c>
      <c r="B129" s="5"/>
      <c r="C129" s="5"/>
      <c r="D129" s="5"/>
      <c r="E129" s="5"/>
      <c r="F129" s="5"/>
      <c r="G129" s="5"/>
      <c r="H129" s="5"/>
      <c r="I129" s="5"/>
      <c r="J129" s="5"/>
      <c r="K129" s="5"/>
      <c r="L129" s="5"/>
      <c r="M129" s="5"/>
    </row>
    <row r="130" spans="1:13" ht="12.75">
      <c r="A130" s="5" t="s">
        <v>425</v>
      </c>
      <c r="B130" s="5"/>
      <c r="C130" s="5"/>
      <c r="D130" s="5"/>
      <c r="E130" s="5"/>
      <c r="F130" s="5"/>
      <c r="G130" s="5"/>
      <c r="H130" s="5"/>
      <c r="I130" s="5"/>
      <c r="J130" s="5"/>
      <c r="K130" s="5"/>
      <c r="L130" s="5"/>
      <c r="M130" s="5"/>
    </row>
    <row r="131" spans="1:13" ht="12.75">
      <c r="A131" s="5" t="s">
        <v>1126</v>
      </c>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t="s">
        <v>1769</v>
      </c>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t="s">
        <v>344</v>
      </c>
      <c r="B135" s="5"/>
      <c r="C135" s="5"/>
      <c r="D135" s="5"/>
      <c r="E135" s="5"/>
      <c r="F135" s="5"/>
      <c r="G135" s="5"/>
      <c r="H135" s="5"/>
      <c r="I135" s="5"/>
      <c r="J135" s="5"/>
      <c r="K135" s="5"/>
      <c r="L135" s="5"/>
      <c r="M135" s="5"/>
    </row>
  </sheetData>
  <sheetProtection/>
  <mergeCells count="4">
    <mergeCell ref="P3:Q3"/>
    <mergeCell ref="P7:Q7"/>
    <mergeCell ref="M1:O1"/>
    <mergeCell ref="P1:Q1"/>
  </mergeCells>
  <printOptions horizontalCentered="1"/>
  <pageMargins left="0.5" right="0.25" top="0.35" bottom="0.52" header="0.52" footer="0.5"/>
  <pageSetup horizontalDpi="600" verticalDpi="600" orientation="portrait" scale="90" r:id="rId3"/>
  <headerFooter alignWithMargins="0">
    <oddFooter>&amp;C&amp;Z&amp;F</oddFoot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G35"/>
  <sheetViews>
    <sheetView zoomScalePageLayoutView="0" workbookViewId="0" topLeftCell="A7">
      <selection activeCell="A3" sqref="A3"/>
    </sheetView>
  </sheetViews>
  <sheetFormatPr defaultColWidth="9.140625" defaultRowHeight="12.75"/>
  <cols>
    <col min="1" max="1" width="26.140625" style="24" bestFit="1" customWidth="1"/>
    <col min="2" max="2" width="44.8515625" style="24" bestFit="1" customWidth="1"/>
    <col min="3" max="3" width="16.421875" style="24" customWidth="1"/>
    <col min="4" max="4" width="9.140625" style="24" customWidth="1"/>
    <col min="5" max="5" width="16.57421875" style="24" customWidth="1"/>
    <col min="6" max="6" width="14.00390625" style="24" bestFit="1" customWidth="1"/>
    <col min="7" max="7" width="12.140625" style="24" customWidth="1"/>
    <col min="8" max="16384" width="9.140625" style="24" customWidth="1"/>
  </cols>
  <sheetData>
    <row r="1" spans="1:2" ht="15">
      <c r="A1" s="34" t="s">
        <v>925</v>
      </c>
      <c r="B1" s="3"/>
    </row>
    <row r="2" spans="1:6" ht="15">
      <c r="A2" s="3"/>
      <c r="B2" s="3"/>
      <c r="E2" s="24" t="s">
        <v>1930</v>
      </c>
      <c r="F2" s="24" t="s">
        <v>1931</v>
      </c>
    </row>
    <row r="3" spans="1:7" ht="15">
      <c r="A3" s="3"/>
      <c r="B3" s="3" t="s">
        <v>560</v>
      </c>
      <c r="C3" s="181">
        <f>'UNIT 1 PWR BILL'!C28+'UNIT 1 PWR BILL'!G28+'UNIT 2 PWR BILL'!C28+'UNIT 2 PWR BILL'!G28</f>
        <v>760368</v>
      </c>
      <c r="E3" s="182">
        <v>547649</v>
      </c>
      <c r="F3" s="182">
        <f>C3-E3</f>
        <v>212719</v>
      </c>
      <c r="G3" s="181"/>
    </row>
    <row r="4" spans="1:7" ht="15">
      <c r="A4" s="3"/>
      <c r="B4" s="3"/>
      <c r="C4" s="181"/>
      <c r="E4" s="182"/>
      <c r="F4" s="182">
        <f aca="true" t="shared" si="0" ref="F4:F15">C4-E4</f>
        <v>0</v>
      </c>
      <c r="G4" s="181"/>
    </row>
    <row r="5" spans="1:7" ht="15">
      <c r="A5" s="3"/>
      <c r="B5" s="3" t="s">
        <v>1353</v>
      </c>
      <c r="C5" s="181">
        <f>'UNIT 1 PWR BILL'!C30+'UNIT 1 PWR BILL'!G30+'UNIT 2 PWR BILL'!C30+'UNIT 2 PWR BILL'!G30</f>
        <v>211998</v>
      </c>
      <c r="E5" s="182">
        <v>104605</v>
      </c>
      <c r="F5" s="182">
        <f t="shared" si="0"/>
        <v>107393</v>
      </c>
      <c r="G5" s="181"/>
    </row>
    <row r="6" spans="1:7" ht="15">
      <c r="A6" s="3"/>
      <c r="B6" s="3"/>
      <c r="C6" s="181"/>
      <c r="E6" s="182"/>
      <c r="F6" s="182">
        <f t="shared" si="0"/>
        <v>0</v>
      </c>
      <c r="G6" s="181"/>
    </row>
    <row r="7" spans="1:7" ht="15">
      <c r="A7" s="3"/>
      <c r="B7" s="3" t="s">
        <v>766</v>
      </c>
      <c r="C7" s="181">
        <f>C3+C5</f>
        <v>972366</v>
      </c>
      <c r="D7" s="181"/>
      <c r="E7" s="182">
        <f>E3+E5</f>
        <v>652254</v>
      </c>
      <c r="F7" s="182">
        <f t="shared" si="0"/>
        <v>320112</v>
      </c>
      <c r="G7" s="181"/>
    </row>
    <row r="8" spans="1:7" ht="15">
      <c r="A8" s="3"/>
      <c r="B8" s="3"/>
      <c r="C8" s="181"/>
      <c r="E8" s="182"/>
      <c r="F8" s="182">
        <f t="shared" si="0"/>
        <v>0</v>
      </c>
      <c r="G8" s="181"/>
    </row>
    <row r="9" spans="1:7" ht="15">
      <c r="A9" s="3"/>
      <c r="B9" s="3" t="s">
        <v>1651</v>
      </c>
      <c r="C9" s="181">
        <f>'UNIT 1 PWR BILL'!C34+'UNIT 1 PWR BILL'!G34+'UNIT 2 PWR BILL'!C34+'UNIT 2 PWR BILL'!G34</f>
        <v>10428127.72</v>
      </c>
      <c r="E9" s="182">
        <v>18637607</v>
      </c>
      <c r="F9" s="182">
        <f t="shared" si="0"/>
        <v>-8209479.279999999</v>
      </c>
      <c r="G9" s="181"/>
    </row>
    <row r="10" spans="1:7" ht="15">
      <c r="A10" s="3"/>
      <c r="B10" s="3" t="s">
        <v>839</v>
      </c>
      <c r="C10" s="181">
        <f>'UNIT 1 PWR BILL'!C35+'UNIT 1 PWR BILL'!G35+'UNIT 2 PWR BILL'!C35+'UNIT 2 PWR BILL'!G35</f>
        <v>0</v>
      </c>
      <c r="E10" s="182"/>
      <c r="F10" s="182">
        <f t="shared" si="0"/>
        <v>0</v>
      </c>
      <c r="G10" s="181"/>
    </row>
    <row r="11" spans="1:7" ht="15">
      <c r="A11" s="3"/>
      <c r="B11" s="3" t="s">
        <v>840</v>
      </c>
      <c r="C11" s="181">
        <f>'UNIT 1 PWR BILL'!C36+'UNIT 1 PWR BILL'!G36+'UNIT 2 PWR BILL'!C36+'UNIT 2 PWR BILL'!G36</f>
        <v>-17500</v>
      </c>
      <c r="E11" s="182">
        <v>-17500</v>
      </c>
      <c r="F11" s="182">
        <f t="shared" si="0"/>
        <v>0</v>
      </c>
      <c r="G11" s="181"/>
    </row>
    <row r="12" spans="1:7" ht="15">
      <c r="A12" s="3"/>
      <c r="B12" s="3" t="s">
        <v>781</v>
      </c>
      <c r="C12" s="181">
        <f>'UNIT 1 PWR BILL'!C37+'UNIT 1 PWR BILL'!G37+'UNIT 2 PWR BILL'!C37+'UNIT 2 PWR BILL'!G37</f>
        <v>10215407.48</v>
      </c>
      <c r="E12" s="182">
        <v>8025650</v>
      </c>
      <c r="F12" s="182">
        <f t="shared" si="0"/>
        <v>2189757.4800000004</v>
      </c>
      <c r="G12" s="181"/>
    </row>
    <row r="13" spans="1:7" ht="15">
      <c r="A13" s="3"/>
      <c r="B13" s="3" t="s">
        <v>141</v>
      </c>
      <c r="C13" s="181">
        <f>'UNIT 1 PWR BILL'!C38+'UNIT 1 PWR BILL'!G38+'UNIT 2 PWR BILL'!C38+'UNIT 2 PWR BILL'!G38</f>
        <v>3072543.2</v>
      </c>
      <c r="E13" s="182">
        <v>2692264</v>
      </c>
      <c r="F13" s="182">
        <f t="shared" si="0"/>
        <v>380279.2000000002</v>
      </c>
      <c r="G13" s="181"/>
    </row>
    <row r="14" spans="1:7" ht="15">
      <c r="A14" s="3"/>
      <c r="B14" s="3" t="s">
        <v>136</v>
      </c>
      <c r="C14" s="181">
        <f>'UNIT 1 PWR BILL'!C39+'UNIT 1 PWR BILL'!G39+'UNIT 2 PWR BILL'!C39+'UNIT 2 PWR BILL'!G39</f>
        <v>309810.78</v>
      </c>
      <c r="E14" s="182">
        <v>339394</v>
      </c>
      <c r="F14" s="182">
        <f t="shared" si="0"/>
        <v>-29583.219999999972</v>
      </c>
      <c r="G14" s="181"/>
    </row>
    <row r="15" spans="1:7" ht="15">
      <c r="A15" s="3"/>
      <c r="B15" s="3" t="s">
        <v>383</v>
      </c>
      <c r="C15" s="181">
        <f>'UNIT 1 PWR BILL'!C40+'UNIT 1 PWR BILL'!G40+'UNIT 2 PWR BILL'!C40+'UNIT 2 PWR BILL'!G40</f>
        <v>896250</v>
      </c>
      <c r="E15" s="182">
        <v>690676</v>
      </c>
      <c r="F15" s="182">
        <f t="shared" si="0"/>
        <v>205574</v>
      </c>
      <c r="G15" s="181"/>
    </row>
    <row r="16" spans="1:7" ht="15">
      <c r="A16" s="3"/>
      <c r="B16" s="3"/>
      <c r="C16" s="181"/>
      <c r="E16" s="182"/>
      <c r="F16" s="182"/>
      <c r="G16" s="181"/>
    </row>
    <row r="17" spans="1:7" ht="15">
      <c r="A17" s="3"/>
      <c r="B17" s="18" t="s">
        <v>1687</v>
      </c>
      <c r="C17" s="181">
        <f>C7+C9+C10+C11+C12+C13+C14+C15</f>
        <v>25877005.180000003</v>
      </c>
      <c r="D17" s="181"/>
      <c r="E17" s="182">
        <f>E7+E9+E10+E11+E12+E13+E14+E15</f>
        <v>31020345</v>
      </c>
      <c r="F17" s="182">
        <f>F7+F9+F10+F11+F12+F13+F14+F15</f>
        <v>-5143339.819999998</v>
      </c>
      <c r="G17" s="181"/>
    </row>
    <row r="18" spans="1:7" ht="15">
      <c r="A18" s="3"/>
      <c r="B18" s="3"/>
      <c r="C18" s="181"/>
      <c r="E18" s="182"/>
      <c r="F18" s="182"/>
      <c r="G18" s="181"/>
    </row>
    <row r="19" spans="1:7" ht="15">
      <c r="A19" s="3"/>
      <c r="B19" s="3"/>
      <c r="C19" s="181"/>
      <c r="E19" s="182"/>
      <c r="F19" s="182"/>
      <c r="G19" s="181"/>
    </row>
    <row r="20" spans="1:7" ht="15">
      <c r="A20" s="34" t="s">
        <v>1244</v>
      </c>
      <c r="B20" s="3"/>
      <c r="C20" s="181"/>
      <c r="E20" s="182"/>
      <c r="F20" s="182"/>
      <c r="G20" s="181"/>
    </row>
    <row r="21" spans="1:7" ht="15">
      <c r="A21" s="3"/>
      <c r="B21" s="3" t="s">
        <v>1499</v>
      </c>
      <c r="C21" s="181">
        <f>'UNIT 1 PWR BILL'!C46+'UNIT 1 PWR BILL'!G46+'UNIT 2 PWR BILL'!C46+'UNIT 2 PWR BILL'!G46</f>
        <v>0</v>
      </c>
      <c r="E21" s="182"/>
      <c r="F21" s="182"/>
      <c r="G21" s="181"/>
    </row>
    <row r="22" spans="1:7" ht="15">
      <c r="A22" s="3"/>
      <c r="B22" s="3" t="s">
        <v>938</v>
      </c>
      <c r="C22" s="181">
        <f>'UNIT 1 PWR BILL'!C47+'UNIT 1 PWR BILL'!G47+'UNIT 2 PWR BILL'!C47+'UNIT 2 PWR BILL'!G47</f>
        <v>0</v>
      </c>
      <c r="E22" s="182"/>
      <c r="F22" s="182"/>
      <c r="G22" s="181"/>
    </row>
    <row r="23" spans="1:7" ht="15">
      <c r="A23" s="3"/>
      <c r="B23" s="3" t="s">
        <v>1280</v>
      </c>
      <c r="C23" s="181">
        <f>'UNIT 1 PWR BILL'!C48+'UNIT 1 PWR BILL'!G48+'UNIT 2 PWR BILL'!C48+'UNIT 2 PWR BILL'!G48</f>
        <v>126443</v>
      </c>
      <c r="E23" s="182">
        <f>-747201+696829</f>
        <v>-50372</v>
      </c>
      <c r="F23" s="182">
        <f>C23-E23</f>
        <v>176815</v>
      </c>
      <c r="G23" s="181"/>
    </row>
    <row r="24" spans="1:7" ht="15">
      <c r="A24" s="3"/>
      <c r="B24" s="3"/>
      <c r="C24" s="181"/>
      <c r="E24" s="182"/>
      <c r="F24" s="182"/>
      <c r="G24" s="181"/>
    </row>
    <row r="25" spans="1:7" ht="15">
      <c r="A25" s="3"/>
      <c r="B25" s="3"/>
      <c r="C25" s="181"/>
      <c r="E25" s="182"/>
      <c r="F25" s="182"/>
      <c r="G25" s="181"/>
    </row>
    <row r="26" spans="1:7" ht="15">
      <c r="A26" s="3"/>
      <c r="B26" s="18" t="s">
        <v>1210</v>
      </c>
      <c r="C26" s="181">
        <f>C21+C22+C23</f>
        <v>126443</v>
      </c>
      <c r="D26" s="181"/>
      <c r="E26" s="182">
        <f>E21+E22+E23</f>
        <v>-50372</v>
      </c>
      <c r="F26" s="182">
        <f>F21+F22+F23</f>
        <v>176815</v>
      </c>
      <c r="G26" s="181"/>
    </row>
    <row r="27" spans="1:7" ht="15">
      <c r="A27" s="3"/>
      <c r="B27" s="3"/>
      <c r="C27" s="181"/>
      <c r="E27" s="182"/>
      <c r="F27" s="182"/>
      <c r="G27" s="181"/>
    </row>
    <row r="28" spans="1:7" ht="15">
      <c r="A28" s="3"/>
      <c r="B28" s="3"/>
      <c r="C28" s="181"/>
      <c r="E28" s="182"/>
      <c r="F28" s="182"/>
      <c r="G28" s="181"/>
    </row>
    <row r="29" spans="1:7" ht="15">
      <c r="A29" s="3"/>
      <c r="B29" s="3"/>
      <c r="C29" s="181"/>
      <c r="E29" s="182"/>
      <c r="F29" s="182"/>
      <c r="G29" s="181"/>
    </row>
    <row r="30" spans="1:7" ht="15">
      <c r="A30" s="3"/>
      <c r="B30" s="3"/>
      <c r="C30" s="181"/>
      <c r="E30" s="182"/>
      <c r="F30" s="182"/>
      <c r="G30" s="181"/>
    </row>
    <row r="31" spans="1:7" ht="15">
      <c r="A31" s="3"/>
      <c r="B31" s="3"/>
      <c r="C31" s="181"/>
      <c r="E31" s="182"/>
      <c r="F31" s="182"/>
      <c r="G31" s="181"/>
    </row>
    <row r="32" spans="1:7" ht="15">
      <c r="A32" s="3"/>
      <c r="B32" s="3"/>
      <c r="C32" s="181"/>
      <c r="E32" s="182"/>
      <c r="F32" s="182"/>
      <c r="G32" s="181"/>
    </row>
    <row r="33" spans="1:7" ht="15">
      <c r="A33" s="3"/>
      <c r="B33" s="18"/>
      <c r="C33" s="181"/>
      <c r="E33" s="182"/>
      <c r="F33" s="182"/>
      <c r="G33" s="181"/>
    </row>
    <row r="34" spans="1:7" ht="15">
      <c r="A34" s="3"/>
      <c r="B34" s="3"/>
      <c r="C34" s="181"/>
      <c r="E34" s="182"/>
      <c r="F34" s="182"/>
      <c r="G34" s="181"/>
    </row>
    <row r="35" spans="1:7" ht="15">
      <c r="A35" s="3"/>
      <c r="B35" s="18" t="s">
        <v>77</v>
      </c>
      <c r="C35" s="181">
        <f>C17+C26</f>
        <v>26003448.180000003</v>
      </c>
      <c r="D35" s="181"/>
      <c r="E35" s="182">
        <f>E17+E26</f>
        <v>30969973</v>
      </c>
      <c r="F35" s="182">
        <f>F17+F26</f>
        <v>-4966524.819999998</v>
      </c>
      <c r="G35" s="181"/>
    </row>
  </sheetData>
  <sheetProtection/>
  <printOptions/>
  <pageMargins left="0.7" right="0.7" top="0.75" bottom="0.75" header="0.3" footer="0.3"/>
  <pageSetup fitToHeight="1" fitToWidth="1" horizontalDpi="600" verticalDpi="600" orientation="landscape" scale="94"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
    </sheetView>
  </sheetViews>
  <sheetFormatPr defaultColWidth="9.140625" defaultRowHeight="12.75"/>
  <cols>
    <col min="1" max="16384" width="9.140625" style="24" customWidth="1"/>
  </cols>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3" sqref="A3"/>
    </sheetView>
  </sheetViews>
  <sheetFormatPr defaultColWidth="9.140625" defaultRowHeight="12.75"/>
  <cols>
    <col min="1" max="1" width="20.7109375" style="24" customWidth="1"/>
    <col min="2" max="2" width="81.28125" style="24" bestFit="1" customWidth="1"/>
    <col min="3" max="3" width="20.7109375" style="24" customWidth="1"/>
    <col min="4" max="4" width="13.7109375" style="24" customWidth="1"/>
    <col min="5" max="6" width="20.7109375" style="24" customWidth="1"/>
    <col min="7" max="7" width="9.140625" style="24" customWidth="1"/>
    <col min="8" max="8" width="13.7109375" style="24" customWidth="1"/>
    <col min="9" max="10" width="30.7109375" style="24" customWidth="1"/>
    <col min="11" max="16384" width="9.140625" style="24" customWidth="1"/>
  </cols>
  <sheetData>
    <row r="1" spans="1:10" ht="15.75">
      <c r="A1" s="379" t="s">
        <v>1533</v>
      </c>
      <c r="B1" s="379"/>
      <c r="C1" s="379"/>
      <c r="D1" s="379"/>
      <c r="E1" s="379"/>
      <c r="F1" s="379"/>
      <c r="G1" s="379"/>
      <c r="H1" s="379"/>
      <c r="I1" s="379"/>
      <c r="J1" s="379"/>
    </row>
    <row r="3" spans="1:10" ht="12.75">
      <c r="A3" s="380" t="s">
        <v>1030</v>
      </c>
      <c r="B3" s="381" t="s">
        <v>1916</v>
      </c>
      <c r="C3" s="381"/>
      <c r="D3" s="381"/>
      <c r="E3" s="381"/>
      <c r="F3" s="381"/>
      <c r="G3" s="381"/>
      <c r="H3" s="381"/>
      <c r="I3" s="381"/>
      <c r="J3" s="381"/>
    </row>
    <row r="4" spans="1:2" ht="12.75">
      <c r="A4" s="380" t="s">
        <v>1146</v>
      </c>
      <c r="B4" s="24" t="s">
        <v>636</v>
      </c>
    </row>
    <row r="5" spans="1:2" ht="25.5">
      <c r="A5" s="380" t="s">
        <v>1147</v>
      </c>
      <c r="B5" s="24" t="s">
        <v>521</v>
      </c>
    </row>
    <row r="6" ht="12.75">
      <c r="A6" s="25"/>
    </row>
    <row r="7" spans="1:10" ht="25.5">
      <c r="A7" s="380" t="s">
        <v>352</v>
      </c>
      <c r="B7" s="382" t="s">
        <v>678</v>
      </c>
      <c r="C7" s="382"/>
      <c r="D7" s="382"/>
      <c r="E7" s="382"/>
      <c r="F7" s="382"/>
      <c r="G7" s="382"/>
      <c r="H7" s="382"/>
      <c r="I7" s="382"/>
      <c r="J7" s="382"/>
    </row>
    <row r="8" ht="12.75">
      <c r="A8" s="380"/>
    </row>
    <row r="9" spans="1:10" ht="38.25">
      <c r="A9" s="380" t="s">
        <v>679</v>
      </c>
      <c r="B9" s="381"/>
      <c r="C9" s="381"/>
      <c r="D9" s="381"/>
      <c r="E9" s="381"/>
      <c r="F9" s="381"/>
      <c r="G9" s="381"/>
      <c r="H9" s="381"/>
      <c r="I9" s="381"/>
      <c r="J9" s="381"/>
    </row>
    <row r="10" ht="12.75">
      <c r="A10" s="380"/>
    </row>
    <row r="11" spans="1:10" ht="38.25">
      <c r="A11" s="380" t="s">
        <v>680</v>
      </c>
      <c r="B11" s="383" t="s">
        <v>1561</v>
      </c>
      <c r="C11" s="382"/>
      <c r="D11" s="382"/>
      <c r="E11" s="382"/>
      <c r="F11" s="382"/>
      <c r="G11" s="382"/>
      <c r="H11" s="382"/>
      <c r="I11" s="382"/>
      <c r="J11" s="382"/>
    </row>
    <row r="12" spans="1:2" ht="12.75">
      <c r="A12" s="384"/>
      <c r="B12" s="334"/>
    </row>
    <row r="13" spans="1:10" ht="25.5">
      <c r="A13" s="380" t="s">
        <v>681</v>
      </c>
      <c r="B13" s="383"/>
      <c r="C13" s="382"/>
      <c r="D13" s="382"/>
      <c r="E13" s="382"/>
      <c r="F13" s="382"/>
      <c r="G13" s="382"/>
      <c r="H13" s="382"/>
      <c r="I13" s="382"/>
      <c r="J13" s="382"/>
    </row>
    <row r="14" spans="1:2" ht="12.75">
      <c r="A14" s="25"/>
      <c r="B14" s="334"/>
    </row>
    <row r="15" spans="1:10" ht="15.75">
      <c r="A15" s="385" t="s">
        <v>682</v>
      </c>
      <c r="B15" s="385"/>
      <c r="C15" s="385"/>
      <c r="D15" s="385"/>
      <c r="E15" s="385"/>
      <c r="F15" s="385"/>
      <c r="G15" s="385"/>
      <c r="H15" s="385"/>
      <c r="I15" s="385"/>
      <c r="J15" s="385"/>
    </row>
    <row r="16" spans="1:10" ht="89.25">
      <c r="A16" s="386" t="s">
        <v>1485</v>
      </c>
      <c r="B16" s="386" t="s">
        <v>1486</v>
      </c>
      <c r="C16" s="386" t="s">
        <v>1487</v>
      </c>
      <c r="D16" s="386" t="s">
        <v>1488</v>
      </c>
      <c r="E16" s="386" t="s">
        <v>1489</v>
      </c>
      <c r="F16" s="386" t="s">
        <v>1490</v>
      </c>
      <c r="G16" s="386" t="s">
        <v>1491</v>
      </c>
      <c r="H16" s="386" t="s">
        <v>250</v>
      </c>
      <c r="I16" s="386" t="s">
        <v>494</v>
      </c>
      <c r="J16" s="386" t="s">
        <v>495</v>
      </c>
    </row>
    <row r="17" spans="1:10" ht="63.75">
      <c r="A17" s="104" t="s">
        <v>1552</v>
      </c>
      <c r="B17" s="105" t="s">
        <v>311</v>
      </c>
      <c r="C17" s="104"/>
      <c r="D17" s="387"/>
      <c r="E17" s="104" t="s">
        <v>1796</v>
      </c>
      <c r="F17" s="104" t="s">
        <v>1552</v>
      </c>
      <c r="G17" s="387"/>
      <c r="H17" s="388" t="s">
        <v>87</v>
      </c>
      <c r="I17" s="389" t="s">
        <v>983</v>
      </c>
      <c r="J17" s="389" t="s">
        <v>1532</v>
      </c>
    </row>
    <row r="18" spans="1:10" ht="12.75">
      <c r="A18" s="104"/>
      <c r="B18" s="104" t="s">
        <v>50</v>
      </c>
      <c r="C18" s="104"/>
      <c r="D18" s="390">
        <v>40452</v>
      </c>
      <c r="E18" s="104" t="s">
        <v>1796</v>
      </c>
      <c r="F18" s="104"/>
      <c r="G18" s="104"/>
      <c r="H18" s="391" t="s">
        <v>500</v>
      </c>
      <c r="I18" s="104"/>
      <c r="J18" s="104"/>
    </row>
    <row r="19" spans="1:10" ht="12.75">
      <c r="A19" s="104"/>
      <c r="B19" s="104"/>
      <c r="C19" s="104"/>
      <c r="D19" s="104"/>
      <c r="E19" s="104"/>
      <c r="F19" s="104"/>
      <c r="G19" s="104"/>
      <c r="H19" s="104"/>
      <c r="I19" s="104"/>
      <c r="J19" s="104"/>
    </row>
    <row r="20" spans="1:10" ht="76.5">
      <c r="A20" s="104" t="s">
        <v>1796</v>
      </c>
      <c r="B20" s="105" t="s">
        <v>194</v>
      </c>
      <c r="C20" s="104" t="s">
        <v>1552</v>
      </c>
      <c r="D20" s="392">
        <v>40603</v>
      </c>
      <c r="E20" s="104" t="s">
        <v>1796</v>
      </c>
      <c r="F20" s="104" t="s">
        <v>1552</v>
      </c>
      <c r="G20" s="104"/>
      <c r="H20" s="388" t="s">
        <v>87</v>
      </c>
      <c r="I20" s="105" t="s">
        <v>1420</v>
      </c>
      <c r="J20" s="105" t="s">
        <v>851</v>
      </c>
    </row>
    <row r="21" spans="1:10" ht="76.5">
      <c r="A21" s="104" t="s">
        <v>636</v>
      </c>
      <c r="B21" s="105" t="s">
        <v>852</v>
      </c>
      <c r="C21" s="104" t="s">
        <v>1552</v>
      </c>
      <c r="D21" s="392">
        <v>40664</v>
      </c>
      <c r="E21" s="104" t="s">
        <v>636</v>
      </c>
      <c r="F21" s="104" t="s">
        <v>1552</v>
      </c>
      <c r="G21" s="104"/>
      <c r="H21" s="388" t="s">
        <v>87</v>
      </c>
      <c r="I21" s="105" t="s">
        <v>1420</v>
      </c>
      <c r="J21" s="105" t="s">
        <v>851</v>
      </c>
    </row>
    <row r="22" spans="1:12" ht="63.75">
      <c r="A22" s="104" t="s">
        <v>636</v>
      </c>
      <c r="B22" s="105" t="s">
        <v>1782</v>
      </c>
      <c r="C22" s="104" t="s">
        <v>1552</v>
      </c>
      <c r="D22" s="392">
        <v>40967</v>
      </c>
      <c r="E22" s="104" t="s">
        <v>636</v>
      </c>
      <c r="F22" s="104" t="s">
        <v>1552</v>
      </c>
      <c r="G22" s="392">
        <v>40967</v>
      </c>
      <c r="H22" s="388" t="s">
        <v>87</v>
      </c>
      <c r="I22" s="105" t="s">
        <v>1783</v>
      </c>
      <c r="J22" s="105" t="s">
        <v>919</v>
      </c>
      <c r="L22" s="393" t="s">
        <v>1554</v>
      </c>
    </row>
    <row r="23" spans="1:10" ht="71.25" customHeight="1">
      <c r="A23" s="104" t="s">
        <v>636</v>
      </c>
      <c r="B23" s="105" t="s">
        <v>80</v>
      </c>
      <c r="C23" s="104" t="s">
        <v>1552</v>
      </c>
      <c r="D23" s="392">
        <v>41091</v>
      </c>
      <c r="E23" s="104" t="s">
        <v>636</v>
      </c>
      <c r="F23" s="104" t="s">
        <v>1552</v>
      </c>
      <c r="G23" s="392">
        <v>41091</v>
      </c>
      <c r="H23" s="388" t="s">
        <v>87</v>
      </c>
      <c r="I23" s="105" t="s">
        <v>79</v>
      </c>
      <c r="J23" s="105" t="s">
        <v>919</v>
      </c>
    </row>
    <row r="24" spans="1:10" ht="63.75">
      <c r="A24" s="104" t="s">
        <v>636</v>
      </c>
      <c r="B24" s="105" t="s">
        <v>1388</v>
      </c>
      <c r="C24" s="394" t="s">
        <v>1915</v>
      </c>
      <c r="D24" s="392">
        <v>41306</v>
      </c>
      <c r="E24" s="104" t="s">
        <v>636</v>
      </c>
      <c r="F24" s="394" t="s">
        <v>1915</v>
      </c>
      <c r="G24" s="392">
        <v>41306</v>
      </c>
      <c r="H24" s="388" t="s">
        <v>87</v>
      </c>
      <c r="I24" s="394" t="s">
        <v>1917</v>
      </c>
      <c r="J24" s="395" t="s">
        <v>1918</v>
      </c>
    </row>
    <row r="25" spans="1:10" ht="63.75">
      <c r="A25" s="104" t="s">
        <v>636</v>
      </c>
      <c r="B25" s="105" t="s">
        <v>1390</v>
      </c>
      <c r="C25" s="394" t="s">
        <v>1915</v>
      </c>
      <c r="D25" s="392">
        <v>41306</v>
      </c>
      <c r="E25" s="104" t="s">
        <v>636</v>
      </c>
      <c r="F25" s="394" t="s">
        <v>1915</v>
      </c>
      <c r="G25" s="392">
        <v>41306</v>
      </c>
      <c r="H25" s="388" t="s">
        <v>87</v>
      </c>
      <c r="I25" s="394" t="s">
        <v>1917</v>
      </c>
      <c r="J25" s="395" t="s">
        <v>1918</v>
      </c>
    </row>
    <row r="26" spans="1:10" ht="63.75">
      <c r="A26" s="104" t="s">
        <v>636</v>
      </c>
      <c r="B26" s="105" t="s">
        <v>1389</v>
      </c>
      <c r="C26" s="394" t="s">
        <v>1915</v>
      </c>
      <c r="D26" s="392">
        <v>41306</v>
      </c>
      <c r="E26" s="104" t="s">
        <v>636</v>
      </c>
      <c r="F26" s="394" t="s">
        <v>1915</v>
      </c>
      <c r="G26" s="392">
        <v>41306</v>
      </c>
      <c r="H26" s="388" t="s">
        <v>87</v>
      </c>
      <c r="I26" s="394" t="s">
        <v>1917</v>
      </c>
      <c r="J26" s="395" t="s">
        <v>1918</v>
      </c>
    </row>
    <row r="27" spans="1:10" ht="63.75">
      <c r="A27" s="104" t="s">
        <v>636</v>
      </c>
      <c r="B27" s="105" t="s">
        <v>1391</v>
      </c>
      <c r="C27" s="394" t="s">
        <v>1915</v>
      </c>
      <c r="D27" s="392">
        <v>41306</v>
      </c>
      <c r="E27" s="104" t="s">
        <v>636</v>
      </c>
      <c r="F27" s="394" t="s">
        <v>1915</v>
      </c>
      <c r="G27" s="392">
        <v>41306</v>
      </c>
      <c r="H27" s="388" t="s">
        <v>87</v>
      </c>
      <c r="I27" s="394" t="s">
        <v>1917</v>
      </c>
      <c r="J27" s="395" t="s">
        <v>1918</v>
      </c>
    </row>
    <row r="28" spans="1:10" ht="63.75">
      <c r="A28" s="104" t="s">
        <v>636</v>
      </c>
      <c r="B28" s="105" t="s">
        <v>1392</v>
      </c>
      <c r="C28" s="394" t="s">
        <v>1915</v>
      </c>
      <c r="D28" s="392">
        <v>41306</v>
      </c>
      <c r="E28" s="104" t="s">
        <v>636</v>
      </c>
      <c r="F28" s="394" t="s">
        <v>1915</v>
      </c>
      <c r="G28" s="392">
        <v>41306</v>
      </c>
      <c r="H28" s="388" t="s">
        <v>87</v>
      </c>
      <c r="I28" s="394" t="s">
        <v>1917</v>
      </c>
      <c r="J28" s="395" t="s">
        <v>1918</v>
      </c>
    </row>
    <row r="29" spans="1:10" ht="63.75">
      <c r="A29" s="104" t="s">
        <v>636</v>
      </c>
      <c r="B29" s="105" t="s">
        <v>1393</v>
      </c>
      <c r="C29" s="394" t="s">
        <v>1915</v>
      </c>
      <c r="D29" s="392">
        <v>41306</v>
      </c>
      <c r="E29" s="104" t="s">
        <v>636</v>
      </c>
      <c r="F29" s="394" t="s">
        <v>1915</v>
      </c>
      <c r="G29" s="392">
        <v>41306</v>
      </c>
      <c r="H29" s="388" t="s">
        <v>87</v>
      </c>
      <c r="I29" s="394" t="s">
        <v>1917</v>
      </c>
      <c r="J29" s="395" t="s">
        <v>1918</v>
      </c>
    </row>
    <row r="30" spans="1:10" ht="63.75">
      <c r="A30" s="104" t="s">
        <v>636</v>
      </c>
      <c r="B30" s="105" t="s">
        <v>1394</v>
      </c>
      <c r="C30" s="394" t="s">
        <v>1915</v>
      </c>
      <c r="D30" s="392">
        <v>41306</v>
      </c>
      <c r="E30" s="104" t="s">
        <v>636</v>
      </c>
      <c r="F30" s="394" t="s">
        <v>1915</v>
      </c>
      <c r="G30" s="392">
        <v>41306</v>
      </c>
      <c r="H30" s="388" t="s">
        <v>87</v>
      </c>
      <c r="I30" s="394" t="s">
        <v>1917</v>
      </c>
      <c r="J30" s="395" t="s">
        <v>1918</v>
      </c>
    </row>
    <row r="33" ht="12.75">
      <c r="B33" s="24" t="s">
        <v>1554</v>
      </c>
    </row>
    <row r="34" ht="12.75">
      <c r="F34" s="393" t="s">
        <v>1554</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tabSelected="1" defaultGridColor="0" zoomScale="70" zoomScaleNormal="70" zoomScalePageLayoutView="0" colorId="22" workbookViewId="0" topLeftCell="A1">
      <selection activeCell="A3" sqref="A3"/>
    </sheetView>
  </sheetViews>
  <sheetFormatPr defaultColWidth="9.7109375" defaultRowHeight="12.75"/>
  <cols>
    <col min="1" max="1" width="19.7109375" style="24" customWidth="1"/>
    <col min="2" max="2" width="66.8515625" style="24" customWidth="1"/>
    <col min="3" max="3" width="20.8515625" style="24" customWidth="1"/>
    <col min="4" max="4" width="15.421875" style="24" customWidth="1"/>
    <col min="5" max="5" width="20.28125" style="24" customWidth="1"/>
    <col min="6" max="6" width="66.7109375" style="24" customWidth="1"/>
    <col min="7" max="7" width="22.28125" style="24" customWidth="1"/>
    <col min="8" max="8" width="20.140625" style="24" customWidth="1"/>
    <col min="9" max="9" width="45.28125" style="24" customWidth="1"/>
    <col min="10" max="10" width="21.8515625" style="24" customWidth="1"/>
    <col min="11" max="11" width="21.421875" style="24" customWidth="1"/>
    <col min="12" max="12" width="20.28125" style="24" customWidth="1"/>
    <col min="13" max="13" width="15.421875" style="24" customWidth="1"/>
    <col min="14" max="14" width="10.28125" style="24" customWidth="1"/>
    <col min="15" max="15" width="9.7109375" style="24" customWidth="1"/>
    <col min="16" max="16" width="69.7109375" style="24" customWidth="1"/>
    <col min="17" max="17" width="16.7109375" style="24" customWidth="1"/>
    <col min="18" max="18" width="10.28125" style="24" customWidth="1"/>
    <col min="19" max="19" width="9.7109375" style="3" customWidth="1"/>
    <col min="20" max="20" width="61.7109375" style="3" customWidth="1"/>
    <col min="21" max="21" width="15.7109375" style="3" customWidth="1"/>
    <col min="22" max="22" width="10.28125" style="24" customWidth="1"/>
    <col min="23" max="23" width="9.7109375" style="3" customWidth="1"/>
    <col min="24" max="24" width="53.57421875" style="3" customWidth="1"/>
    <col min="25" max="25" width="19.7109375" style="3" customWidth="1"/>
    <col min="26" max="26" width="10.28125" style="24" customWidth="1"/>
    <col min="27" max="27" width="9.7109375" style="3" customWidth="1"/>
    <col min="28" max="28" width="49.57421875" style="3" customWidth="1"/>
    <col min="29" max="29" width="28.421875" style="3" customWidth="1"/>
    <col min="30" max="30" width="12.421875" style="3" customWidth="1"/>
    <col min="31" max="31" width="8.7109375" style="3" customWidth="1"/>
    <col min="32" max="32" width="65.7109375" style="3" customWidth="1"/>
    <col min="33" max="33" width="27.00390625" style="3" customWidth="1"/>
    <col min="34" max="34" width="14.421875" style="3" customWidth="1"/>
    <col min="35" max="35" width="9.7109375" style="3" customWidth="1"/>
    <col min="36" max="36" width="13.00390625" style="3" customWidth="1"/>
    <col min="37" max="37" width="57.28125" style="3" bestFit="1" customWidth="1"/>
    <col min="38" max="38" width="15.00390625" style="3" customWidth="1"/>
    <col min="39" max="39" width="13.7109375" style="3" customWidth="1"/>
    <col min="40" max="40" width="12.140625" style="3" customWidth="1"/>
    <col min="41" max="41" width="14.8515625" style="3" bestFit="1" customWidth="1"/>
    <col min="42" max="42" width="48.421875" style="3" customWidth="1"/>
    <col min="43" max="43" width="21.8515625" style="3" customWidth="1"/>
    <col min="44" max="44" width="23.57421875" style="3" bestFit="1" customWidth="1"/>
    <col min="45" max="46" width="9.7109375" style="3" customWidth="1"/>
    <col min="47" max="47" width="53.140625" style="3" customWidth="1"/>
    <col min="48" max="48" width="19.421875" style="3" bestFit="1" customWidth="1"/>
    <col min="49" max="49" width="13.57421875" style="3" bestFit="1" customWidth="1"/>
    <col min="50" max="51" width="9.7109375" style="3" customWidth="1"/>
    <col min="52" max="52" width="50.8515625" style="3" customWidth="1"/>
    <col min="53" max="53" width="17.00390625" style="3" customWidth="1"/>
    <col min="54" max="54" width="12.7109375" style="3" customWidth="1"/>
    <col min="55" max="55" width="12.57421875" style="3" customWidth="1"/>
    <col min="56" max="56" width="14.421875" style="3" customWidth="1"/>
    <col min="57" max="57" width="42.8515625" style="3" customWidth="1"/>
    <col min="58" max="58" width="15.00390625" style="3" customWidth="1"/>
    <col min="59" max="59" width="14.28125" style="3" customWidth="1"/>
    <col min="60" max="60" width="16.28125" style="3" customWidth="1"/>
    <col min="61" max="61" width="17.7109375" style="3" customWidth="1"/>
    <col min="62" max="62" width="15.421875" style="3" bestFit="1" customWidth="1"/>
    <col min="63" max="64" width="9.7109375" style="3" customWidth="1"/>
    <col min="65" max="65" width="46.28125" style="3" customWidth="1"/>
    <col min="66" max="66" width="20.7109375" style="3" customWidth="1"/>
    <col min="67" max="67" width="14.8515625" style="3" bestFit="1" customWidth="1"/>
    <col min="68" max="69" width="9.7109375" style="3" customWidth="1"/>
    <col min="70" max="70" width="47.8515625" style="3" customWidth="1"/>
    <col min="71" max="71" width="19.421875" style="3" customWidth="1"/>
    <col min="72" max="72" width="15.421875" style="3" bestFit="1" customWidth="1"/>
    <col min="73" max="74" width="9.7109375" style="3" customWidth="1"/>
    <col min="75" max="75" width="49.28125" style="3" customWidth="1"/>
    <col min="76" max="76" width="18.421875" style="3" customWidth="1"/>
    <col min="77" max="77" width="14.140625" style="3" customWidth="1"/>
    <col min="78" max="78" width="9.7109375" style="3" customWidth="1"/>
    <col min="79" max="79" width="10.7109375" style="3" customWidth="1"/>
    <col min="80" max="80" width="70.421875" style="3" customWidth="1"/>
    <col min="81" max="81" width="16.421875" style="3" customWidth="1"/>
    <col min="82" max="82" width="16.8515625" style="3" customWidth="1"/>
    <col min="83" max="84" width="9.7109375" style="3" customWidth="1"/>
    <col min="85" max="85" width="43.00390625" style="3" customWidth="1"/>
    <col min="86" max="86" width="16.421875" style="3" customWidth="1"/>
    <col min="87" max="87" width="15.421875" style="3" bestFit="1" customWidth="1"/>
    <col min="88" max="88" width="9.7109375" style="3" customWidth="1"/>
    <col min="89" max="89" width="13.57421875" style="3" customWidth="1"/>
    <col min="90" max="90" width="58.57421875" style="3" customWidth="1"/>
    <col min="91" max="91" width="16.28125" style="3" bestFit="1" customWidth="1"/>
    <col min="92" max="93" width="9.7109375" style="3" customWidth="1"/>
    <col min="94" max="94" width="58.28125" style="3" customWidth="1"/>
    <col min="95" max="95" width="25.421875" style="3" customWidth="1"/>
    <col min="96" max="97" width="9.7109375" style="3" customWidth="1"/>
    <col min="98" max="98" width="56.421875" style="3" customWidth="1"/>
    <col min="99" max="99" width="28.57421875" style="3" customWidth="1"/>
    <col min="100" max="100" width="13.28125" style="3" bestFit="1" customWidth="1"/>
    <col min="101" max="102" width="9.7109375" style="3" customWidth="1"/>
    <col min="103" max="103" width="65.57421875" style="3" bestFit="1" customWidth="1"/>
    <col min="104" max="104" width="14.8515625" style="3" customWidth="1"/>
    <col min="105" max="105" width="9.7109375" style="3" customWidth="1"/>
    <col min="106" max="106" width="2.7109375" style="3" customWidth="1"/>
    <col min="107" max="107" width="34.7109375" style="3" customWidth="1"/>
    <col min="108" max="108" width="13.7109375" style="3" customWidth="1"/>
    <col min="109" max="109" width="14.7109375" style="3" customWidth="1"/>
    <col min="110" max="111" width="13.7109375" style="3" customWidth="1"/>
    <col min="112" max="226" width="9.7109375" style="3" customWidth="1"/>
    <col min="227" max="16384" width="9.7109375" style="24" customWidth="1"/>
  </cols>
  <sheetData>
    <row r="1" spans="31:40" ht="15">
      <c r="AE1" s="1" t="s">
        <v>1554</v>
      </c>
      <c r="AF1" s="2" t="s">
        <v>1554</v>
      </c>
      <c r="AG1" s="2" t="s">
        <v>1554</v>
      </c>
      <c r="AH1" s="2" t="s">
        <v>1554</v>
      </c>
      <c r="AN1" s="2"/>
    </row>
    <row r="2" spans="31:40" ht="16.5" customHeight="1">
      <c r="AE2" s="2"/>
      <c r="AF2" s="2"/>
      <c r="AG2" s="2"/>
      <c r="AH2" s="2"/>
      <c r="AN2" s="2"/>
    </row>
    <row r="3" spans="31:40" ht="15">
      <c r="AE3" s="2"/>
      <c r="AF3" s="2"/>
      <c r="AG3" s="2"/>
      <c r="AH3" s="2"/>
      <c r="AN3" s="2"/>
    </row>
    <row r="4" spans="31:40" ht="15">
      <c r="AE4" s="2"/>
      <c r="AF4" s="2"/>
      <c r="AG4" s="2"/>
      <c r="AH4" s="2"/>
      <c r="AN4" s="2"/>
    </row>
    <row r="5" spans="6:40" ht="23.25">
      <c r="F5" s="142"/>
      <c r="G5" s="143"/>
      <c r="AE5" s="2"/>
      <c r="AF5" s="55"/>
      <c r="AG5" s="2"/>
      <c r="AH5" s="2"/>
      <c r="AN5" s="2"/>
    </row>
    <row r="6" ht="13.5" customHeight="1">
      <c r="AF6" s="3" t="s">
        <v>1554</v>
      </c>
    </row>
    <row r="7" spans="1:104" ht="13.5" customHeight="1">
      <c r="A7" s="26"/>
      <c r="B7" s="21" t="s">
        <v>1555</v>
      </c>
      <c r="C7" s="3"/>
      <c r="E7" s="26"/>
      <c r="F7" s="21" t="s">
        <v>1555</v>
      </c>
      <c r="G7" s="3"/>
      <c r="I7" s="21" t="s">
        <v>261</v>
      </c>
      <c r="J7" s="3"/>
      <c r="L7" s="21"/>
      <c r="M7" s="21" t="str">
        <f>+C12</f>
        <v>ESTIMATE</v>
      </c>
      <c r="N7" s="21"/>
      <c r="P7" s="21" t="s">
        <v>1555</v>
      </c>
      <c r="Q7" s="21"/>
      <c r="R7" s="21"/>
      <c r="T7" s="21" t="s">
        <v>1555</v>
      </c>
      <c r="U7" s="21"/>
      <c r="V7" s="21"/>
      <c r="X7" s="21" t="s">
        <v>1555</v>
      </c>
      <c r="Y7" s="21"/>
      <c r="Z7" s="21"/>
      <c r="AB7" s="21" t="s">
        <v>1555</v>
      </c>
      <c r="AC7" s="21"/>
      <c r="AE7" s="3" t="s">
        <v>1554</v>
      </c>
      <c r="AF7" s="21" t="s">
        <v>1555</v>
      </c>
      <c r="AG7" s="21"/>
      <c r="AK7" s="21" t="s">
        <v>1555</v>
      </c>
      <c r="AL7" s="21"/>
      <c r="AP7" s="21" t="s">
        <v>1555</v>
      </c>
      <c r="AQ7" s="21"/>
      <c r="AT7" s="26"/>
      <c r="AU7" s="21" t="s">
        <v>1555</v>
      </c>
      <c r="AV7" s="21"/>
      <c r="AW7" s="26"/>
      <c r="AX7" s="26"/>
      <c r="AY7" s="26"/>
      <c r="AZ7" s="78" t="s">
        <v>1046</v>
      </c>
      <c r="BA7" s="21"/>
      <c r="BE7" s="21" t="s">
        <v>1555</v>
      </c>
      <c r="BF7" s="21"/>
      <c r="BH7" s="21"/>
      <c r="BM7" s="21" t="s">
        <v>1555</v>
      </c>
      <c r="BN7" s="21"/>
      <c r="BQ7" s="26"/>
      <c r="BR7" s="21" t="s">
        <v>1555</v>
      </c>
      <c r="BS7" s="21"/>
      <c r="BW7" s="21" t="s">
        <v>1555</v>
      </c>
      <c r="BX7" s="21"/>
      <c r="CA7" s="26"/>
      <c r="CB7" s="21" t="s">
        <v>1555</v>
      </c>
      <c r="CC7" s="21"/>
      <c r="CG7" s="21" t="s">
        <v>1555</v>
      </c>
      <c r="CH7" s="21"/>
      <c r="CL7" s="21" t="s">
        <v>1555</v>
      </c>
      <c r="CM7" s="21"/>
      <c r="CP7" s="21" t="s">
        <v>1555</v>
      </c>
      <c r="CQ7" s="21"/>
      <c r="CS7" s="26"/>
      <c r="CT7" s="21" t="s">
        <v>363</v>
      </c>
      <c r="CU7" s="21" t="str">
        <f>CQ13</f>
        <v>January, 2016</v>
      </c>
      <c r="CX7" s="26"/>
      <c r="CY7" s="21" t="s">
        <v>363</v>
      </c>
      <c r="CZ7" s="21" t="str">
        <f>CU7</f>
        <v>January, 2016</v>
      </c>
    </row>
    <row r="8" spans="1:104" ht="15.75">
      <c r="A8" s="26"/>
      <c r="B8" s="21" t="s">
        <v>1628</v>
      </c>
      <c r="C8" s="3"/>
      <c r="E8" s="26"/>
      <c r="F8" s="21" t="s">
        <v>1628</v>
      </c>
      <c r="G8" s="3"/>
      <c r="I8" s="21" t="s">
        <v>1292</v>
      </c>
      <c r="J8" s="3"/>
      <c r="L8" s="3"/>
      <c r="M8" s="21" t="s">
        <v>191</v>
      </c>
      <c r="N8" s="21"/>
      <c r="P8" s="21" t="s">
        <v>262</v>
      </c>
      <c r="Q8" s="21" t="s">
        <v>549</v>
      </c>
      <c r="R8" s="21"/>
      <c r="T8" s="21" t="s">
        <v>262</v>
      </c>
      <c r="U8" s="21" t="s">
        <v>548</v>
      </c>
      <c r="V8" s="21"/>
      <c r="X8" s="21" t="s">
        <v>262</v>
      </c>
      <c r="Y8" s="21" t="s">
        <v>1182</v>
      </c>
      <c r="Z8" s="21"/>
      <c r="AB8" s="21" t="s">
        <v>262</v>
      </c>
      <c r="AC8" s="21" t="s">
        <v>1180</v>
      </c>
      <c r="AD8" s="21"/>
      <c r="AE8" s="3" t="s">
        <v>1554</v>
      </c>
      <c r="AF8" s="21" t="s">
        <v>262</v>
      </c>
      <c r="AG8" s="21" t="s">
        <v>263</v>
      </c>
      <c r="AK8" s="21" t="s">
        <v>262</v>
      </c>
      <c r="AL8" s="21" t="s">
        <v>1183</v>
      </c>
      <c r="AM8" s="21"/>
      <c r="AP8" s="21" t="s">
        <v>262</v>
      </c>
      <c r="AQ8" s="52" t="s">
        <v>264</v>
      </c>
      <c r="AT8" s="26"/>
      <c r="AU8" s="21" t="s">
        <v>262</v>
      </c>
      <c r="AV8" s="52" t="s">
        <v>1414</v>
      </c>
      <c r="AW8" s="26"/>
      <c r="AX8" s="26"/>
      <c r="AY8" s="26"/>
      <c r="AZ8" s="78" t="s">
        <v>1415</v>
      </c>
      <c r="BA8" s="52" t="s">
        <v>1416</v>
      </c>
      <c r="BE8" s="21" t="s">
        <v>262</v>
      </c>
      <c r="BH8" s="21" t="s">
        <v>36</v>
      </c>
      <c r="BM8" s="21" t="s">
        <v>1542</v>
      </c>
      <c r="BN8" s="21" t="s">
        <v>1543</v>
      </c>
      <c r="BQ8" s="26"/>
      <c r="BR8" s="21" t="s">
        <v>262</v>
      </c>
      <c r="BS8" s="21" t="s">
        <v>1544</v>
      </c>
      <c r="BW8" s="21" t="s">
        <v>262</v>
      </c>
      <c r="BX8" s="21" t="s">
        <v>1545</v>
      </c>
      <c r="CA8" s="26"/>
      <c r="CB8" s="21" t="s">
        <v>262</v>
      </c>
      <c r="CC8" s="21" t="s">
        <v>1546</v>
      </c>
      <c r="CG8" s="21" t="s">
        <v>262</v>
      </c>
      <c r="CH8" s="21" t="s">
        <v>550</v>
      </c>
      <c r="CL8" s="21" t="s">
        <v>262</v>
      </c>
      <c r="CM8" s="21" t="s">
        <v>551</v>
      </c>
      <c r="CP8" s="21" t="s">
        <v>262</v>
      </c>
      <c r="CQ8" s="21" t="s">
        <v>1427</v>
      </c>
      <c r="CS8" s="26"/>
      <c r="CT8" s="21"/>
      <c r="CU8" s="21" t="str">
        <f>+C12</f>
        <v>ESTIMATE</v>
      </c>
      <c r="CX8" s="26"/>
      <c r="CY8" s="21"/>
      <c r="CZ8" s="21" t="str">
        <f>+C12</f>
        <v>ESTIMATE</v>
      </c>
    </row>
    <row r="9" spans="1:104" ht="15.75">
      <c r="A9" s="26"/>
      <c r="B9" s="21" t="s">
        <v>926</v>
      </c>
      <c r="C9" s="3"/>
      <c r="E9" s="26"/>
      <c r="F9" s="21" t="s">
        <v>926</v>
      </c>
      <c r="G9" s="3"/>
      <c r="I9" s="144" t="s">
        <v>1279</v>
      </c>
      <c r="J9" s="3"/>
      <c r="K9" s="3"/>
      <c r="L9" s="3"/>
      <c r="M9" s="18"/>
      <c r="N9" s="18"/>
      <c r="O9" s="3"/>
      <c r="P9" s="17" t="s">
        <v>346</v>
      </c>
      <c r="Q9" s="3"/>
      <c r="R9" s="18"/>
      <c r="T9" s="17" t="s">
        <v>368</v>
      </c>
      <c r="V9" s="18"/>
      <c r="X9" s="145" t="s">
        <v>1273</v>
      </c>
      <c r="Z9" s="18"/>
      <c r="AB9" s="83" t="s">
        <v>1334</v>
      </c>
      <c r="AF9" s="17" t="s">
        <v>906</v>
      </c>
      <c r="AK9" s="17" t="s">
        <v>1795</v>
      </c>
      <c r="AP9" s="17" t="s">
        <v>841</v>
      </c>
      <c r="AU9" s="21" t="s">
        <v>1471</v>
      </c>
      <c r="AV9" s="26"/>
      <c r="AW9" s="26"/>
      <c r="AX9" s="26"/>
      <c r="AZ9" s="17" t="s">
        <v>1043</v>
      </c>
      <c r="BA9" s="26"/>
      <c r="BE9" s="26" t="s">
        <v>329</v>
      </c>
      <c r="BG9" s="21" t="s">
        <v>271</v>
      </c>
      <c r="BH9" s="18"/>
      <c r="BM9" s="17" t="s">
        <v>1825</v>
      </c>
      <c r="BR9" s="21" t="s">
        <v>1402</v>
      </c>
      <c r="BW9" s="17" t="s">
        <v>1825</v>
      </c>
      <c r="CB9" s="21" t="s">
        <v>291</v>
      </c>
      <c r="CG9" s="17" t="s">
        <v>1373</v>
      </c>
      <c r="CL9" s="17" t="s">
        <v>1374</v>
      </c>
      <c r="CP9" s="17" t="s">
        <v>1841</v>
      </c>
      <c r="CS9" s="52" t="s">
        <v>957</v>
      </c>
      <c r="CT9" s="26" t="s">
        <v>1711</v>
      </c>
      <c r="CX9" s="52" t="s">
        <v>957</v>
      </c>
      <c r="CY9" s="26" t="s">
        <v>1711</v>
      </c>
      <c r="CZ9" s="21"/>
    </row>
    <row r="10" spans="1:104" ht="15.75">
      <c r="A10" s="3"/>
      <c r="B10" s="21"/>
      <c r="C10" s="3"/>
      <c r="E10" s="3"/>
      <c r="F10" s="21"/>
      <c r="G10" s="3"/>
      <c r="I10" s="78"/>
      <c r="J10" s="3"/>
      <c r="K10" s="21" t="str">
        <f>Q13</f>
        <v>January, 2016</v>
      </c>
      <c r="L10" s="26" t="s">
        <v>1554</v>
      </c>
      <c r="M10" s="146">
        <f>C13</f>
        <v>44061</v>
      </c>
      <c r="N10" s="146"/>
      <c r="O10" s="3"/>
      <c r="P10" s="3"/>
      <c r="Q10" s="3"/>
      <c r="R10" s="146"/>
      <c r="V10" s="146"/>
      <c r="X10" s="17" t="s">
        <v>45</v>
      </c>
      <c r="Z10" s="146"/>
      <c r="AU10" s="83" t="s">
        <v>1472</v>
      </c>
      <c r="BE10" s="17" t="s">
        <v>1344</v>
      </c>
      <c r="BG10" s="21" t="str">
        <f>+AG13</f>
        <v>January, 2016</v>
      </c>
      <c r="BH10" s="21"/>
      <c r="BN10" s="21" t="s">
        <v>271</v>
      </c>
      <c r="BR10" s="17" t="s">
        <v>1370</v>
      </c>
      <c r="BX10" s="21" t="s">
        <v>271</v>
      </c>
      <c r="CB10" s="3" t="s">
        <v>1378</v>
      </c>
      <c r="CC10" s="21" t="s">
        <v>271</v>
      </c>
      <c r="CH10" s="21" t="s">
        <v>271</v>
      </c>
      <c r="CM10" s="21" t="s">
        <v>271</v>
      </c>
      <c r="CS10" s="26"/>
      <c r="CT10" s="17" t="s">
        <v>364</v>
      </c>
      <c r="CX10" s="26"/>
      <c r="CY10" s="17" t="s">
        <v>364</v>
      </c>
      <c r="CZ10" s="26"/>
    </row>
    <row r="11" spans="1:91" ht="15.75">
      <c r="A11" s="3"/>
      <c r="B11" s="3"/>
      <c r="C11" s="21"/>
      <c r="E11" s="78"/>
      <c r="F11" s="3"/>
      <c r="G11" s="21"/>
      <c r="I11" s="3"/>
      <c r="J11" s="3"/>
      <c r="K11" s="3"/>
      <c r="L11" s="3"/>
      <c r="M11" s="3"/>
      <c r="N11" s="3"/>
      <c r="O11" s="3"/>
      <c r="P11" s="3"/>
      <c r="Q11" s="3"/>
      <c r="R11" s="3"/>
      <c r="V11" s="3"/>
      <c r="Z11" s="3"/>
      <c r="AA11" s="18"/>
      <c r="AB11" s="18"/>
      <c r="AC11" s="18"/>
      <c r="AD11" s="18"/>
      <c r="AF11" s="96"/>
      <c r="AG11" s="21" t="s">
        <v>271</v>
      </c>
      <c r="AL11" s="21" t="s">
        <v>271</v>
      </c>
      <c r="AM11" s="21"/>
      <c r="AQ11" s="21" t="s">
        <v>271</v>
      </c>
      <c r="AX11" s="26"/>
      <c r="AY11" s="26"/>
      <c r="AZ11" s="26"/>
      <c r="BA11" s="21" t="s">
        <v>271</v>
      </c>
      <c r="BE11" s="26"/>
      <c r="BK11" s="21" t="s">
        <v>1345</v>
      </c>
      <c r="BL11" s="21" t="s">
        <v>1346</v>
      </c>
      <c r="BM11" s="21"/>
      <c r="BN11" s="147" t="str">
        <f>+AG13</f>
        <v>January, 2016</v>
      </c>
      <c r="BU11" s="21" t="s">
        <v>1345</v>
      </c>
      <c r="BV11" s="21" t="s">
        <v>1346</v>
      </c>
      <c r="BW11" s="26"/>
      <c r="BX11" s="147" t="str">
        <f>+AG13</f>
        <v>January, 2016</v>
      </c>
      <c r="BY11" s="26"/>
      <c r="BZ11" s="21" t="s">
        <v>1345</v>
      </c>
      <c r="CA11" s="21" t="s">
        <v>1346</v>
      </c>
      <c r="CB11" s="26"/>
      <c r="CC11" s="147" t="str">
        <f>+AG13</f>
        <v>January, 2016</v>
      </c>
      <c r="CE11" s="21" t="s">
        <v>1345</v>
      </c>
      <c r="CF11" s="21" t="s">
        <v>1346</v>
      </c>
      <c r="CG11" s="21"/>
      <c r="CH11" s="147" t="str">
        <f>+AG13</f>
        <v>January, 2016</v>
      </c>
      <c r="CJ11" s="21" t="s">
        <v>1345</v>
      </c>
      <c r="CK11" s="21" t="s">
        <v>1346</v>
      </c>
      <c r="CL11" s="21"/>
      <c r="CM11" s="147" t="str">
        <f>+AG13</f>
        <v>January, 2016</v>
      </c>
    </row>
    <row r="12" spans="1:95" ht="15.75">
      <c r="A12" s="26" t="s">
        <v>1059</v>
      </c>
      <c r="B12" s="3"/>
      <c r="C12" s="21" t="str">
        <f>INSTRUCTIONS!L29</f>
        <v>ESTIMATE</v>
      </c>
      <c r="E12" s="78" t="s">
        <v>1058</v>
      </c>
      <c r="F12" s="3"/>
      <c r="G12" s="21" t="str">
        <f>+C12</f>
        <v>ESTIMATE</v>
      </c>
      <c r="I12" s="3"/>
      <c r="J12" s="21" t="s">
        <v>1062</v>
      </c>
      <c r="K12" s="26"/>
      <c r="L12" s="26"/>
      <c r="M12" s="26"/>
      <c r="N12" s="26"/>
      <c r="O12" s="21" t="s">
        <v>1345</v>
      </c>
      <c r="P12" s="26"/>
      <c r="Q12" s="21" t="s">
        <v>271</v>
      </c>
      <c r="R12" s="26"/>
      <c r="S12" s="21" t="s">
        <v>1345</v>
      </c>
      <c r="T12" s="26"/>
      <c r="U12" s="21" t="s">
        <v>271</v>
      </c>
      <c r="V12" s="26"/>
      <c r="W12" s="21" t="s">
        <v>1345</v>
      </c>
      <c r="X12" s="18"/>
      <c r="Y12" s="21" t="s">
        <v>271</v>
      </c>
      <c r="Z12" s="26"/>
      <c r="AA12" s="21" t="s">
        <v>1345</v>
      </c>
      <c r="AB12" s="18"/>
      <c r="AC12" s="21" t="s">
        <v>271</v>
      </c>
      <c r="AD12" s="21"/>
      <c r="AE12" s="21" t="s">
        <v>1534</v>
      </c>
      <c r="AF12" s="26"/>
      <c r="AG12" s="21"/>
      <c r="AH12" s="21"/>
      <c r="AI12" s="21" t="s">
        <v>1345</v>
      </c>
      <c r="AJ12" s="21" t="s">
        <v>1346</v>
      </c>
      <c r="AK12" s="26"/>
      <c r="AL12" s="17" t="str">
        <f>+AG13</f>
        <v>January, 2016</v>
      </c>
      <c r="AM12" s="17"/>
      <c r="AN12" s="21" t="s">
        <v>1345</v>
      </c>
      <c r="AO12" s="21" t="s">
        <v>1346</v>
      </c>
      <c r="AP12" s="21"/>
      <c r="AQ12" s="17" t="str">
        <f>+AG13</f>
        <v>January, 2016</v>
      </c>
      <c r="AS12" s="26"/>
      <c r="AT12" s="26"/>
      <c r="AU12" s="26"/>
      <c r="AV12" s="21" t="s">
        <v>271</v>
      </c>
      <c r="AX12" s="21" t="s">
        <v>1345</v>
      </c>
      <c r="AY12" s="21" t="s">
        <v>1346</v>
      </c>
      <c r="AZ12" s="26"/>
      <c r="BA12" s="17" t="str">
        <f>+AG13</f>
        <v>January, 2016</v>
      </c>
      <c r="BC12" s="21" t="s">
        <v>1345</v>
      </c>
      <c r="BD12" s="21" t="s">
        <v>1346</v>
      </c>
      <c r="BE12" s="26"/>
      <c r="BG12" s="21" t="s">
        <v>1060</v>
      </c>
      <c r="BH12" s="21" t="s">
        <v>1061</v>
      </c>
      <c r="BI12" s="21"/>
      <c r="BJ12" s="21"/>
      <c r="BK12" s="17" t="s">
        <v>1535</v>
      </c>
      <c r="BL12" s="17" t="s">
        <v>1536</v>
      </c>
      <c r="BM12" s="17" t="s">
        <v>1537</v>
      </c>
      <c r="BN12" s="17"/>
      <c r="BP12" s="21"/>
      <c r="BQ12" s="21"/>
      <c r="BR12" s="21"/>
      <c r="BS12" s="21" t="s">
        <v>271</v>
      </c>
      <c r="BU12" s="17" t="s">
        <v>1538</v>
      </c>
      <c r="BV12" s="17" t="s">
        <v>1536</v>
      </c>
      <c r="BW12" s="17" t="s">
        <v>1537</v>
      </c>
      <c r="BX12" s="17"/>
      <c r="BY12" s="26"/>
      <c r="BZ12" s="17" t="s">
        <v>1535</v>
      </c>
      <c r="CA12" s="17" t="s">
        <v>1536</v>
      </c>
      <c r="CB12" s="17" t="s">
        <v>1537</v>
      </c>
      <c r="CC12" s="17"/>
      <c r="CE12" s="17" t="s">
        <v>1535</v>
      </c>
      <c r="CF12" s="17" t="s">
        <v>1536</v>
      </c>
      <c r="CG12" s="17" t="s">
        <v>1537</v>
      </c>
      <c r="CH12" s="17"/>
      <c r="CJ12" s="17" t="s">
        <v>1535</v>
      </c>
      <c r="CK12" s="17" t="s">
        <v>1536</v>
      </c>
      <c r="CL12" s="17" t="s">
        <v>1537</v>
      </c>
      <c r="CM12" s="17"/>
      <c r="CQ12" s="21" t="s">
        <v>271</v>
      </c>
    </row>
    <row r="13" spans="1:99" ht="15.75">
      <c r="A13" s="26" t="s">
        <v>1824</v>
      </c>
      <c r="B13" s="3"/>
      <c r="C13" s="148">
        <f ca="1">TODAY()</f>
        <v>44061</v>
      </c>
      <c r="E13" s="78" t="s">
        <v>1064</v>
      </c>
      <c r="F13" s="3"/>
      <c r="G13" s="148">
        <f>C13</f>
        <v>44061</v>
      </c>
      <c r="I13" s="3"/>
      <c r="J13" s="21" t="s">
        <v>271</v>
      </c>
      <c r="K13" s="21" t="s">
        <v>1060</v>
      </c>
      <c r="L13" s="21" t="s">
        <v>1061</v>
      </c>
      <c r="M13" s="149"/>
      <c r="N13" s="21"/>
      <c r="O13" s="17" t="s">
        <v>1535</v>
      </c>
      <c r="P13" s="26"/>
      <c r="Q13" s="17" t="str">
        <f>INSTRUCTIONS!L7</f>
        <v>January, 2016</v>
      </c>
      <c r="R13" s="21"/>
      <c r="S13" s="17" t="s">
        <v>1535</v>
      </c>
      <c r="T13" s="26"/>
      <c r="U13" s="17" t="str">
        <f>Q13</f>
        <v>January, 2016</v>
      </c>
      <c r="V13" s="21"/>
      <c r="W13" s="17" t="s">
        <v>1535</v>
      </c>
      <c r="X13" s="18"/>
      <c r="Y13" s="17" t="str">
        <f>U13</f>
        <v>January, 2016</v>
      </c>
      <c r="Z13" s="21"/>
      <c r="AA13" s="17" t="s">
        <v>1535</v>
      </c>
      <c r="AB13" s="18"/>
      <c r="AC13" s="17" t="str">
        <f>Y13</f>
        <v>January, 2016</v>
      </c>
      <c r="AD13" s="17"/>
      <c r="AE13" s="17" t="s">
        <v>1536</v>
      </c>
      <c r="AF13" s="26"/>
      <c r="AG13" s="17" t="str">
        <f>AC13</f>
        <v>January, 2016</v>
      </c>
      <c r="AH13" s="21"/>
      <c r="AI13" s="17" t="s">
        <v>1535</v>
      </c>
      <c r="AJ13" s="17" t="s">
        <v>1536</v>
      </c>
      <c r="AK13" s="17" t="s">
        <v>1537</v>
      </c>
      <c r="AL13" s="17"/>
      <c r="AM13" s="17"/>
      <c r="AN13" s="17" t="s">
        <v>1535</v>
      </c>
      <c r="AO13" s="17" t="s">
        <v>1063</v>
      </c>
      <c r="AP13" s="17" t="s">
        <v>1537</v>
      </c>
      <c r="AQ13" s="17"/>
      <c r="AS13" s="21" t="s">
        <v>1534</v>
      </c>
      <c r="AT13" s="21" t="s">
        <v>1346</v>
      </c>
      <c r="AU13" s="26"/>
      <c r="AV13" s="17" t="str">
        <f>+AG13</f>
        <v>January, 2016</v>
      </c>
      <c r="AX13" s="17" t="s">
        <v>1535</v>
      </c>
      <c r="AY13" s="17" t="s">
        <v>1536</v>
      </c>
      <c r="AZ13" s="17" t="s">
        <v>1537</v>
      </c>
      <c r="BA13" s="17"/>
      <c r="BC13" s="17" t="s">
        <v>1535</v>
      </c>
      <c r="BD13" s="17" t="s">
        <v>1536</v>
      </c>
      <c r="BE13" s="17" t="s">
        <v>1537</v>
      </c>
      <c r="BF13" s="17" t="s">
        <v>1062</v>
      </c>
      <c r="BG13" s="17" t="s">
        <v>257</v>
      </c>
      <c r="BH13" s="17" t="s">
        <v>257</v>
      </c>
      <c r="BI13" s="17"/>
      <c r="BJ13" s="17"/>
      <c r="BP13" s="21" t="s">
        <v>1345</v>
      </c>
      <c r="BQ13" s="21" t="s">
        <v>1346</v>
      </c>
      <c r="BR13" s="21"/>
      <c r="BS13" s="147" t="str">
        <f>+AG13</f>
        <v>January, 2016</v>
      </c>
      <c r="BX13" s="8"/>
      <c r="CO13" s="17" t="s">
        <v>1437</v>
      </c>
      <c r="CQ13" s="17" t="str">
        <f>+AG13</f>
        <v>January, 2016</v>
      </c>
      <c r="CS13" s="18">
        <v>500</v>
      </c>
      <c r="CT13" s="3" t="s">
        <v>1869</v>
      </c>
      <c r="CU13" s="8">
        <f>EXPENSES!J46</f>
        <v>131085.63</v>
      </c>
    </row>
    <row r="14" spans="1:99" ht="15.75">
      <c r="A14" s="26" t="s">
        <v>1341</v>
      </c>
      <c r="B14" s="3"/>
      <c r="C14" s="3"/>
      <c r="E14" s="78" t="s">
        <v>1340</v>
      </c>
      <c r="F14" s="3"/>
      <c r="G14" s="3"/>
      <c r="I14" s="3"/>
      <c r="J14" s="17" t="s">
        <v>1343</v>
      </c>
      <c r="K14" s="17" t="s">
        <v>1540</v>
      </c>
      <c r="L14" s="17" t="s">
        <v>1540</v>
      </c>
      <c r="M14" s="150"/>
      <c r="N14" s="17"/>
      <c r="O14" s="26"/>
      <c r="P14" s="26"/>
      <c r="Q14" s="17"/>
      <c r="R14" s="17"/>
      <c r="S14" s="26"/>
      <c r="T14" s="26"/>
      <c r="U14" s="17"/>
      <c r="V14" s="17"/>
      <c r="W14" s="18"/>
      <c r="X14" s="18"/>
      <c r="Y14" s="17"/>
      <c r="Z14" s="17"/>
      <c r="AA14" s="18"/>
      <c r="AB14" s="18"/>
      <c r="AC14" s="17"/>
      <c r="AD14" s="17"/>
      <c r="AE14" s="26"/>
      <c r="AF14" s="26"/>
      <c r="AG14" s="17"/>
      <c r="AH14" s="21"/>
      <c r="AN14" s="21"/>
      <c r="AO14" s="21"/>
      <c r="AP14" s="21"/>
      <c r="AQ14" s="21"/>
      <c r="AS14" s="17" t="s">
        <v>1535</v>
      </c>
      <c r="AT14" s="17" t="s">
        <v>1536</v>
      </c>
      <c r="AU14" s="17" t="s">
        <v>1537</v>
      </c>
      <c r="AV14" s="17"/>
      <c r="AX14" s="18" t="s">
        <v>70</v>
      </c>
      <c r="AY14" s="18"/>
      <c r="BG14" s="50"/>
      <c r="BH14" s="50"/>
      <c r="BK14" s="18" t="s">
        <v>71</v>
      </c>
      <c r="BL14" s="18"/>
      <c r="BM14" s="96" t="s">
        <v>862</v>
      </c>
      <c r="BP14" s="17" t="s">
        <v>1535</v>
      </c>
      <c r="BQ14" s="17" t="s">
        <v>1536</v>
      </c>
      <c r="BR14" s="17" t="s">
        <v>863</v>
      </c>
      <c r="BS14" s="17"/>
      <c r="CB14" s="96" t="s">
        <v>272</v>
      </c>
      <c r="CE14" s="18" t="s">
        <v>71</v>
      </c>
      <c r="CF14" s="18"/>
      <c r="CG14" s="96" t="s">
        <v>273</v>
      </c>
      <c r="CQ14" s="17"/>
      <c r="CS14" s="18">
        <v>501</v>
      </c>
      <c r="CT14" s="3" t="s">
        <v>1342</v>
      </c>
      <c r="CU14" s="8">
        <f>IF(INSTRUCTIONS!L8="ESTIMATE",J22,(IF(INSTRUCTIONS!L8="ACTUAL",FUELU1!N44,"ERROR")))</f>
        <v>5713828.890000001</v>
      </c>
    </row>
    <row r="15" spans="1:99" ht="12.75" customHeight="1">
      <c r="A15" s="3"/>
      <c r="B15" s="3"/>
      <c r="C15" s="3"/>
      <c r="E15" s="26"/>
      <c r="F15" s="3"/>
      <c r="G15" s="3"/>
      <c r="I15" s="3"/>
      <c r="J15" s="3"/>
      <c r="K15" s="3"/>
      <c r="L15" s="3"/>
      <c r="M15" s="151"/>
      <c r="N15" s="3"/>
      <c r="O15" s="18" t="s">
        <v>664</v>
      </c>
      <c r="P15" s="96" t="s">
        <v>1083</v>
      </c>
      <c r="Q15" s="3"/>
      <c r="R15" s="3"/>
      <c r="S15" s="18" t="s">
        <v>664</v>
      </c>
      <c r="T15" s="96" t="s">
        <v>246</v>
      </c>
      <c r="V15" s="3"/>
      <c r="W15" s="18" t="s">
        <v>1541</v>
      </c>
      <c r="X15" s="96" t="s">
        <v>1556</v>
      </c>
      <c r="Z15" s="3"/>
      <c r="AA15" s="18" t="s">
        <v>1541</v>
      </c>
      <c r="AB15" s="96" t="s">
        <v>1840</v>
      </c>
      <c r="AE15" s="18" t="s">
        <v>1541</v>
      </c>
      <c r="AF15" s="96" t="s">
        <v>1098</v>
      </c>
      <c r="AG15" s="3" t="s">
        <v>1554</v>
      </c>
      <c r="AI15" s="18">
        <v>1</v>
      </c>
      <c r="AJ15" s="18">
        <v>450</v>
      </c>
      <c r="AK15" s="3" t="s">
        <v>1557</v>
      </c>
      <c r="AL15" s="8">
        <v>0</v>
      </c>
      <c r="AM15" s="8"/>
      <c r="AN15" s="18" t="s">
        <v>71</v>
      </c>
      <c r="AO15" s="18" t="s">
        <v>208</v>
      </c>
      <c r="AP15" s="3" t="s">
        <v>1823</v>
      </c>
      <c r="AQ15" s="8">
        <f>SUM((CU13+(SUM(CU15:CU22))))</f>
        <v>1291769.5500000003</v>
      </c>
      <c r="AX15" s="18"/>
      <c r="AY15" s="18"/>
      <c r="BC15" s="18">
        <v>1</v>
      </c>
      <c r="BE15" s="96" t="s">
        <v>738</v>
      </c>
      <c r="BK15" s="18"/>
      <c r="BL15" s="18"/>
      <c r="BU15" s="18">
        <v>31</v>
      </c>
      <c r="BV15" s="18"/>
      <c r="BW15" s="96" t="s">
        <v>663</v>
      </c>
      <c r="CE15" s="18"/>
      <c r="CF15" s="18"/>
      <c r="CO15" s="18" t="s">
        <v>71</v>
      </c>
      <c r="CP15" s="96" t="s">
        <v>1558</v>
      </c>
      <c r="CS15" s="18">
        <v>502</v>
      </c>
      <c r="CT15" s="3" t="s">
        <v>1559</v>
      </c>
      <c r="CU15" s="8">
        <f>EXPENSES!J47</f>
        <v>873417.05</v>
      </c>
    </row>
    <row r="16" spans="1:104" ht="15.75">
      <c r="A16" s="26" t="s">
        <v>271</v>
      </c>
      <c r="B16" s="26"/>
      <c r="C16" s="3"/>
      <c r="E16" s="26" t="s">
        <v>271</v>
      </c>
      <c r="F16" s="83"/>
      <c r="G16" s="3"/>
      <c r="I16" s="3" t="s">
        <v>560</v>
      </c>
      <c r="J16" s="8">
        <f>TRUNC(Y48)</f>
        <v>796234</v>
      </c>
      <c r="K16" s="8">
        <f>ROUND((J16*INSTRUCTIONS!$M$20),0)</f>
        <v>238870</v>
      </c>
      <c r="L16" s="8">
        <f>SUM((J16-K16))</f>
        <v>557364</v>
      </c>
      <c r="M16" s="152"/>
      <c r="N16" s="8"/>
      <c r="O16" s="18"/>
      <c r="P16" s="3"/>
      <c r="Q16" s="3"/>
      <c r="R16" s="8"/>
      <c r="S16" s="18"/>
      <c r="V16" s="8"/>
      <c r="W16" s="18"/>
      <c r="Z16" s="8"/>
      <c r="AA16" s="18"/>
      <c r="AE16" s="18"/>
      <c r="AF16" s="3" t="s">
        <v>1554</v>
      </c>
      <c r="AI16" s="18"/>
      <c r="AJ16" s="18"/>
      <c r="AN16" s="18" t="s">
        <v>1387</v>
      </c>
      <c r="AO16" s="18">
        <v>501</v>
      </c>
      <c r="AP16" s="3" t="s">
        <v>489</v>
      </c>
      <c r="AQ16" s="8">
        <f>SUM(CU14)</f>
        <v>5713828.890000001</v>
      </c>
      <c r="AX16" s="18" t="s">
        <v>490</v>
      </c>
      <c r="AY16" s="18" t="s">
        <v>1685</v>
      </c>
      <c r="AZ16" s="3" t="s">
        <v>673</v>
      </c>
      <c r="BC16" s="18"/>
      <c r="BK16" s="18" t="s">
        <v>1387</v>
      </c>
      <c r="BL16" s="18">
        <v>101</v>
      </c>
      <c r="BM16" s="3" t="s">
        <v>716</v>
      </c>
      <c r="BN16" s="8">
        <f>AEGBS!F11</f>
        <v>692182238.47</v>
      </c>
      <c r="BP16" s="18" t="s">
        <v>71</v>
      </c>
      <c r="BQ16" s="18">
        <v>128</v>
      </c>
      <c r="BR16" s="3" t="s">
        <v>1549</v>
      </c>
      <c r="BS16" s="8">
        <f>AEGBS!F32</f>
        <v>0</v>
      </c>
      <c r="BU16" s="18"/>
      <c r="BV16" s="18"/>
      <c r="BZ16" s="18" t="s">
        <v>71</v>
      </c>
      <c r="CA16" s="18">
        <v>107</v>
      </c>
      <c r="CB16" s="3" t="s">
        <v>1550</v>
      </c>
      <c r="CC16" s="8">
        <f>AEGBS!D145</f>
        <v>56896913.3</v>
      </c>
      <c r="CE16" s="18" t="s">
        <v>1387</v>
      </c>
      <c r="CF16" s="18">
        <v>201</v>
      </c>
      <c r="CG16" s="3" t="s">
        <v>1763</v>
      </c>
      <c r="CH16" s="8">
        <f>AEGBS!D153</f>
        <v>383000</v>
      </c>
      <c r="CJ16" s="18">
        <v>28</v>
      </c>
      <c r="CK16" s="18"/>
      <c r="CL16" s="96" t="s">
        <v>331</v>
      </c>
      <c r="CO16" s="18"/>
      <c r="CS16" s="18">
        <v>503</v>
      </c>
      <c r="CT16" s="3" t="s">
        <v>84</v>
      </c>
      <c r="CU16" s="8">
        <v>0</v>
      </c>
      <c r="CX16" s="18">
        <v>901</v>
      </c>
      <c r="CY16" s="3" t="s">
        <v>1766</v>
      </c>
      <c r="CZ16" s="8">
        <v>0</v>
      </c>
    </row>
    <row r="17" spans="1:104" ht="15.75">
      <c r="A17" s="144" t="str">
        <f>"POWER BILL - -  "&amp;INSTRUCTIONS!L7</f>
        <v>POWER BILL - -  January, 2016</v>
      </c>
      <c r="B17" s="83"/>
      <c r="C17" s="3"/>
      <c r="E17" s="144" t="str">
        <f>A17</f>
        <v>POWER BILL - -  January, 2016</v>
      </c>
      <c r="F17" s="3"/>
      <c r="G17" s="3"/>
      <c r="I17" s="3"/>
      <c r="J17" s="3"/>
      <c r="K17" s="3"/>
      <c r="L17" s="3"/>
      <c r="M17" s="151"/>
      <c r="N17" s="3"/>
      <c r="O17" s="18" t="s">
        <v>1446</v>
      </c>
      <c r="P17" s="96" t="s">
        <v>486</v>
      </c>
      <c r="Q17" s="3"/>
      <c r="R17" s="3"/>
      <c r="S17" s="18"/>
      <c r="V17" s="3"/>
      <c r="W17" s="18"/>
      <c r="Z17" s="3"/>
      <c r="AA17" s="18"/>
      <c r="AE17" s="18" t="s">
        <v>561</v>
      </c>
      <c r="AF17" s="3" t="s">
        <v>1318</v>
      </c>
      <c r="AG17" s="8">
        <v>17244601</v>
      </c>
      <c r="AI17" s="18">
        <v>2</v>
      </c>
      <c r="AJ17" s="18">
        <v>451</v>
      </c>
      <c r="AK17" s="3" t="s">
        <v>1307</v>
      </c>
      <c r="AL17" s="8">
        <v>0</v>
      </c>
      <c r="AM17" s="8"/>
      <c r="AN17" s="18" t="s">
        <v>1319</v>
      </c>
      <c r="AO17" s="18" t="s">
        <v>1320</v>
      </c>
      <c r="AP17" s="3" t="s">
        <v>140</v>
      </c>
      <c r="AQ17" s="8">
        <f>SUM(CU35)</f>
        <v>697595.2699999999</v>
      </c>
      <c r="AS17" s="153">
        <v>1</v>
      </c>
      <c r="AT17" s="18">
        <v>403</v>
      </c>
      <c r="AU17" s="3" t="s">
        <v>141</v>
      </c>
      <c r="AV17" s="8">
        <f>EXPENSES!D71</f>
        <v>1838327.3</v>
      </c>
      <c r="AX17" s="18"/>
      <c r="AY17" s="18"/>
      <c r="AZ17" s="3" t="s">
        <v>1682</v>
      </c>
      <c r="BA17" s="8">
        <f>EXPENSES!F14</f>
        <v>139436.89</v>
      </c>
      <c r="BC17" s="18"/>
      <c r="BK17" s="18" t="s">
        <v>1319</v>
      </c>
      <c r="BL17" s="18">
        <v>102</v>
      </c>
      <c r="BM17" s="3" t="s">
        <v>1683</v>
      </c>
      <c r="BN17" s="8">
        <v>0</v>
      </c>
      <c r="BP17" s="18" t="s">
        <v>1387</v>
      </c>
      <c r="BQ17" s="18" t="s">
        <v>1684</v>
      </c>
      <c r="BR17" s="3" t="s">
        <v>1445</v>
      </c>
      <c r="BS17" s="8">
        <f>AEGBS!F33</f>
        <v>0</v>
      </c>
      <c r="BU17" s="18"/>
      <c r="BV17" s="18"/>
      <c r="BZ17" s="18"/>
      <c r="CA17" s="18"/>
      <c r="CE17" s="18" t="s">
        <v>1319</v>
      </c>
      <c r="CF17" s="18">
        <v>202</v>
      </c>
      <c r="CG17" s="3" t="s">
        <v>1335</v>
      </c>
      <c r="CH17" s="8">
        <v>0</v>
      </c>
      <c r="CJ17" s="18"/>
      <c r="CK17" s="18"/>
      <c r="CO17" s="18" t="s">
        <v>1387</v>
      </c>
      <c r="CP17" s="3" t="s">
        <v>32</v>
      </c>
      <c r="CQ17" s="8">
        <f>SUM(CM27)</f>
        <v>63181825.2</v>
      </c>
      <c r="CS17" s="18">
        <v>504</v>
      </c>
      <c r="CT17" s="3" t="s">
        <v>511</v>
      </c>
      <c r="CU17" s="8">
        <v>0</v>
      </c>
      <c r="CX17" s="18">
        <v>902</v>
      </c>
      <c r="CY17" s="3" t="s">
        <v>512</v>
      </c>
      <c r="CZ17" s="8">
        <v>0</v>
      </c>
    </row>
    <row r="18" spans="1:104" ht="13.5" customHeight="1">
      <c r="A18" s="3"/>
      <c r="B18" s="3"/>
      <c r="C18" s="8"/>
      <c r="F18" s="3"/>
      <c r="G18" s="3"/>
      <c r="I18" s="3" t="s">
        <v>1353</v>
      </c>
      <c r="J18" s="8">
        <f>TRUNC(Y65)</f>
        <v>221998</v>
      </c>
      <c r="K18" s="8">
        <f>ROUND((J18*INSTRUCTIONS!$M$20),0)</f>
        <v>66599</v>
      </c>
      <c r="L18" s="8">
        <f>SUM((J18-K18))</f>
        <v>155399</v>
      </c>
      <c r="M18" s="152"/>
      <c r="N18" s="8"/>
      <c r="O18" s="18"/>
      <c r="P18" s="3"/>
      <c r="Q18" s="8"/>
      <c r="R18" s="8"/>
      <c r="S18" s="18" t="s">
        <v>1446</v>
      </c>
      <c r="T18" s="3" t="s">
        <v>1514</v>
      </c>
      <c r="U18" s="8"/>
      <c r="V18" s="8"/>
      <c r="W18" s="18"/>
      <c r="Z18" s="8"/>
      <c r="AA18" s="18" t="s">
        <v>561</v>
      </c>
      <c r="AB18" s="3" t="s">
        <v>32</v>
      </c>
      <c r="AC18" s="154">
        <f>SUM(CM27)</f>
        <v>63181825.2</v>
      </c>
      <c r="AD18" s="155"/>
      <c r="AE18" s="18" t="s">
        <v>513</v>
      </c>
      <c r="AF18" s="3" t="s">
        <v>715</v>
      </c>
      <c r="AG18" s="8">
        <f>AEGBS!D173</f>
        <v>1094712.23</v>
      </c>
      <c r="AI18" s="18"/>
      <c r="AN18" s="18"/>
      <c r="AO18" s="18"/>
      <c r="AQ18" s="16" t="s">
        <v>1072</v>
      </c>
      <c r="AS18" s="153" t="s">
        <v>198</v>
      </c>
      <c r="AT18" s="21">
        <v>403.1</v>
      </c>
      <c r="AU18" s="26" t="s">
        <v>195</v>
      </c>
      <c r="AV18" s="8">
        <f>EXPENSES!E86</f>
        <v>7409.91</v>
      </c>
      <c r="BC18" s="18">
        <v>2</v>
      </c>
      <c r="BD18" s="18" t="s">
        <v>1357</v>
      </c>
      <c r="BE18" s="3" t="s">
        <v>1358</v>
      </c>
      <c r="BK18" s="18" t="s">
        <v>1511</v>
      </c>
      <c r="BL18" s="18">
        <v>103</v>
      </c>
      <c r="BM18" s="3" t="s">
        <v>1300</v>
      </c>
      <c r="BN18" s="8">
        <v>0</v>
      </c>
      <c r="BP18" s="18" t="s">
        <v>1319</v>
      </c>
      <c r="BQ18" s="18">
        <v>135</v>
      </c>
      <c r="BR18" s="3" t="s">
        <v>1417</v>
      </c>
      <c r="BS18" s="8">
        <f>AEGBS!F34</f>
        <v>0</v>
      </c>
      <c r="BU18" s="18">
        <v>32</v>
      </c>
      <c r="BV18" s="18">
        <v>190</v>
      </c>
      <c r="BW18" s="3" t="s">
        <v>971</v>
      </c>
      <c r="BX18" s="154">
        <f>AEGBS!F93</f>
        <v>4659683.658659999</v>
      </c>
      <c r="BZ18" s="18" t="s">
        <v>1387</v>
      </c>
      <c r="CA18" s="18"/>
      <c r="CB18" s="3" t="s">
        <v>972</v>
      </c>
      <c r="CC18" s="8"/>
      <c r="CE18" s="18" t="s">
        <v>1511</v>
      </c>
      <c r="CF18" s="18">
        <v>203</v>
      </c>
      <c r="CG18" s="3" t="s">
        <v>316</v>
      </c>
      <c r="CH18" s="8">
        <v>0</v>
      </c>
      <c r="CJ18" s="18">
        <v>29</v>
      </c>
      <c r="CK18" s="18">
        <v>221</v>
      </c>
      <c r="CL18" s="3" t="s">
        <v>317</v>
      </c>
      <c r="CM18" s="156">
        <v>0</v>
      </c>
      <c r="CO18" s="18" t="s">
        <v>1319</v>
      </c>
      <c r="CP18" s="3" t="s">
        <v>1608</v>
      </c>
      <c r="CQ18" s="154">
        <f>SUM(CM34)</f>
        <v>144166601.07</v>
      </c>
      <c r="CS18" s="18">
        <v>505</v>
      </c>
      <c r="CT18" s="3" t="s">
        <v>485</v>
      </c>
      <c r="CU18" s="8">
        <f>EXPENSES!J48</f>
        <v>84476.66</v>
      </c>
      <c r="CX18" s="18">
        <v>903</v>
      </c>
      <c r="CY18" s="3" t="s">
        <v>1356</v>
      </c>
      <c r="CZ18" s="8">
        <v>0</v>
      </c>
    </row>
    <row r="19" spans="1:130" ht="15">
      <c r="A19" s="3"/>
      <c r="B19" s="3"/>
      <c r="C19" s="3"/>
      <c r="G19" s="3"/>
      <c r="I19" s="3"/>
      <c r="J19" s="59" t="s">
        <v>1072</v>
      </c>
      <c r="K19" s="59" t="s">
        <v>1072</v>
      </c>
      <c r="L19" s="59" t="s">
        <v>1072</v>
      </c>
      <c r="M19" s="157"/>
      <c r="N19" s="8"/>
      <c r="O19" s="18"/>
      <c r="P19" s="3"/>
      <c r="Q19" s="3"/>
      <c r="R19" s="158"/>
      <c r="S19" s="18"/>
      <c r="V19" s="8"/>
      <c r="W19" s="18"/>
      <c r="Z19" s="59"/>
      <c r="AA19" s="18" t="s">
        <v>513</v>
      </c>
      <c r="AB19" s="3" t="s">
        <v>256</v>
      </c>
      <c r="AC19" s="8">
        <f>SUM(CM34)</f>
        <v>144166601.07</v>
      </c>
      <c r="AD19" s="8"/>
      <c r="AE19" s="18" t="s">
        <v>498</v>
      </c>
      <c r="AF19" s="3" t="s">
        <v>1310</v>
      </c>
      <c r="AG19" s="8">
        <f>AEGBS!D175</f>
        <v>1317444.42</v>
      </c>
      <c r="AI19" s="18">
        <v>3</v>
      </c>
      <c r="AJ19" s="18">
        <v>453</v>
      </c>
      <c r="AK19" s="3" t="s">
        <v>570</v>
      </c>
      <c r="AL19" s="8">
        <v>0</v>
      </c>
      <c r="AM19" s="8"/>
      <c r="AN19" s="18" t="s">
        <v>1511</v>
      </c>
      <c r="AO19" s="18"/>
      <c r="AP19" s="3" t="s">
        <v>739</v>
      </c>
      <c r="AQ19" s="8">
        <f>SUM(AQ15:AQ17)</f>
        <v>7703193.710000001</v>
      </c>
      <c r="AS19" s="153">
        <v>2</v>
      </c>
      <c r="AT19" s="18">
        <v>404</v>
      </c>
      <c r="AU19" s="3" t="s">
        <v>1510</v>
      </c>
      <c r="AX19" s="18" t="s">
        <v>741</v>
      </c>
      <c r="AY19" s="18" t="s">
        <v>742</v>
      </c>
      <c r="AZ19" s="3" t="s">
        <v>743</v>
      </c>
      <c r="BA19" s="8">
        <f>EXPENSES!F19</f>
        <v>17000</v>
      </c>
      <c r="BC19" s="18"/>
      <c r="BE19" s="3" t="s">
        <v>1078</v>
      </c>
      <c r="BF19" s="109">
        <f>IF(INSTRUCTIONS!$L$29="ESTIMATE",TXPG12RV!G12,IF(INSTRUCTIONS!$L$29="ACTUAL",TXPG12RV!I12,"SEE NOTE"))</f>
        <v>12000</v>
      </c>
      <c r="BG19" s="8">
        <f>ROUND(SUM((BF19*INSTRUCTIONS!$M$20)),0)</f>
        <v>3600</v>
      </c>
      <c r="BH19" s="8">
        <f>ROUND(BF19-BG19,0)</f>
        <v>8400</v>
      </c>
      <c r="BI19" s="8"/>
      <c r="BJ19" s="8"/>
      <c r="BK19" s="18" t="s">
        <v>744</v>
      </c>
      <c r="BL19" s="18" t="s">
        <v>745</v>
      </c>
      <c r="BM19" s="3" t="s">
        <v>714</v>
      </c>
      <c r="BP19" s="18" t="s">
        <v>1511</v>
      </c>
      <c r="BQ19" s="18">
        <v>143</v>
      </c>
      <c r="BR19" s="3" t="s">
        <v>592</v>
      </c>
      <c r="BS19" s="8">
        <f>AEGBS!F35</f>
        <v>0</v>
      </c>
      <c r="BU19" s="18">
        <v>33</v>
      </c>
      <c r="BV19" s="18">
        <v>281</v>
      </c>
      <c r="BW19" s="3" t="s">
        <v>593</v>
      </c>
      <c r="BZ19" s="18"/>
      <c r="CA19" s="18"/>
      <c r="CE19" s="18" t="s">
        <v>744</v>
      </c>
      <c r="CF19" s="18">
        <v>209</v>
      </c>
      <c r="CG19" s="3" t="s">
        <v>1797</v>
      </c>
      <c r="CJ19" s="18">
        <v>30</v>
      </c>
      <c r="CK19" s="18">
        <v>222</v>
      </c>
      <c r="CL19" s="3" t="s">
        <v>1798</v>
      </c>
      <c r="CM19" s="8">
        <v>0</v>
      </c>
      <c r="CO19" s="18" t="s">
        <v>1511</v>
      </c>
      <c r="CP19" s="3" t="s">
        <v>571</v>
      </c>
      <c r="CQ19" s="8">
        <f>SUM(CH56)</f>
        <v>0</v>
      </c>
      <c r="CS19" s="18">
        <v>506</v>
      </c>
      <c r="CT19" s="3" t="s">
        <v>572</v>
      </c>
      <c r="CU19" s="8">
        <f>EXPENSES!J49</f>
        <v>202790.21</v>
      </c>
      <c r="CX19" s="18">
        <v>904</v>
      </c>
      <c r="CY19" s="3" t="s">
        <v>1077</v>
      </c>
      <c r="CZ19" s="8">
        <v>0</v>
      </c>
      <c r="DT19" s="9"/>
      <c r="DX19" s="9"/>
      <c r="DZ19" s="131"/>
    </row>
    <row r="20" spans="1:130" ht="15">
      <c r="A20" s="34" t="s">
        <v>467</v>
      </c>
      <c r="B20" s="3"/>
      <c r="C20" s="3"/>
      <c r="E20" s="34" t="s">
        <v>1784</v>
      </c>
      <c r="F20" s="3"/>
      <c r="G20" s="3"/>
      <c r="I20" s="3" t="s">
        <v>766</v>
      </c>
      <c r="J20" s="8">
        <f>SUM((J16+J18))</f>
        <v>1018232</v>
      </c>
      <c r="K20" s="8">
        <f>SUM((K16+K18))</f>
        <v>305469</v>
      </c>
      <c r="L20" s="8">
        <f>SUM((L16+L18))</f>
        <v>712763</v>
      </c>
      <c r="M20" s="152"/>
      <c r="N20" s="8"/>
      <c r="O20" s="18" t="s">
        <v>1297</v>
      </c>
      <c r="P20" s="3" t="s">
        <v>672</v>
      </c>
      <c r="Q20" s="8">
        <f aca="true" t="shared" si="0" ref="Q20:Q27">SUM((U21+U40))</f>
        <v>920144378.48</v>
      </c>
      <c r="R20" s="158"/>
      <c r="S20" s="18"/>
      <c r="V20" s="8"/>
      <c r="W20" s="18" t="s">
        <v>561</v>
      </c>
      <c r="X20" s="3" t="s">
        <v>1898</v>
      </c>
      <c r="Y20" s="8">
        <f>SUM(CM27)</f>
        <v>63181825.2</v>
      </c>
      <c r="Z20" s="8"/>
      <c r="AA20" s="18" t="s">
        <v>498</v>
      </c>
      <c r="AB20" s="3" t="s">
        <v>459</v>
      </c>
      <c r="AC20" s="8">
        <f>SUM(CM43)</f>
        <v>0</v>
      </c>
      <c r="AD20" s="8"/>
      <c r="AE20" s="18" t="s">
        <v>1079</v>
      </c>
      <c r="AF20" s="3" t="s">
        <v>1443</v>
      </c>
      <c r="AG20" s="8">
        <f>AEGBS!D177</f>
        <v>12360428.97</v>
      </c>
      <c r="AI20" s="18"/>
      <c r="AJ20" s="18"/>
      <c r="AN20" s="18"/>
      <c r="AO20" s="18"/>
      <c r="AQ20" s="16" t="s">
        <v>1072</v>
      </c>
      <c r="AS20" s="153"/>
      <c r="AT20" s="18"/>
      <c r="AU20" s="3" t="s">
        <v>740</v>
      </c>
      <c r="AV20" s="8">
        <f>EXPENSES!J74</f>
        <v>3418.17</v>
      </c>
      <c r="AX20" s="18"/>
      <c r="AY20" s="18"/>
      <c r="BA20" s="16" t="s">
        <v>1072</v>
      </c>
      <c r="BC20" s="18"/>
      <c r="BF20" s="6"/>
      <c r="BK20" s="18"/>
      <c r="BL20" s="18"/>
      <c r="BM20" s="3" t="s">
        <v>1032</v>
      </c>
      <c r="BN20" s="8">
        <v>0</v>
      </c>
      <c r="BP20" s="18" t="s">
        <v>744</v>
      </c>
      <c r="BQ20" s="18">
        <v>146</v>
      </c>
      <c r="BR20" s="3" t="s">
        <v>1295</v>
      </c>
      <c r="BS20" s="8">
        <f>AEGBS!F36</f>
        <v>12408681.01</v>
      </c>
      <c r="BU20" s="18"/>
      <c r="BV20" s="18"/>
      <c r="BW20" s="3" t="s">
        <v>1296</v>
      </c>
      <c r="BX20" s="8">
        <v>0</v>
      </c>
      <c r="BZ20" s="18"/>
      <c r="CA20" s="18"/>
      <c r="CE20" s="18"/>
      <c r="CF20" s="18"/>
      <c r="CG20" s="3" t="s">
        <v>54</v>
      </c>
      <c r="CH20" s="8">
        <v>0</v>
      </c>
      <c r="CJ20" s="18">
        <v>31</v>
      </c>
      <c r="CK20" s="18">
        <v>223</v>
      </c>
      <c r="CL20" s="3" t="s">
        <v>1658</v>
      </c>
      <c r="CM20" s="8">
        <v>0</v>
      </c>
      <c r="CO20" s="18" t="s">
        <v>744</v>
      </c>
      <c r="CP20" s="3" t="s">
        <v>1170</v>
      </c>
      <c r="CQ20" s="8">
        <f>SUM(CH47)</f>
        <v>94290819.51</v>
      </c>
      <c r="CS20" s="18">
        <v>507</v>
      </c>
      <c r="CT20" s="3" t="s">
        <v>1627</v>
      </c>
      <c r="CU20" s="8">
        <f>EXPENSES!J50</f>
        <v>0</v>
      </c>
      <c r="CX20" s="18">
        <v>905</v>
      </c>
      <c r="CY20" s="3" t="s">
        <v>765</v>
      </c>
      <c r="CZ20" s="8">
        <v>0</v>
      </c>
      <c r="DT20" s="9"/>
      <c r="DX20" s="9"/>
      <c r="DZ20" s="131"/>
    </row>
    <row r="21" spans="1:130" ht="15.75">
      <c r="A21" s="3"/>
      <c r="B21" s="34" t="str">
        <f>"ENERGY DELIVERED FOR THE MONTH OF "&amp;INSTRUCTIONS!L7</f>
        <v>ENERGY DELIVERED FOR THE MONTH OF January, 2016</v>
      </c>
      <c r="C21" s="34"/>
      <c r="E21" s="17"/>
      <c r="F21" s="34" t="str">
        <f>B21</f>
        <v>ENERGY DELIVERED FOR THE MONTH OF January, 2016</v>
      </c>
      <c r="G21" s="3"/>
      <c r="H21" s="3"/>
      <c r="I21" s="3"/>
      <c r="J21" s="3"/>
      <c r="K21" s="3"/>
      <c r="L21" s="3"/>
      <c r="M21" s="3"/>
      <c r="N21" s="18"/>
      <c r="O21" s="18" t="s">
        <v>1141</v>
      </c>
      <c r="P21" s="3" t="s">
        <v>1142</v>
      </c>
      <c r="Q21" s="8">
        <f t="shared" si="0"/>
        <v>622155556.09</v>
      </c>
      <c r="R21" s="3"/>
      <c r="S21" s="18" t="s">
        <v>1297</v>
      </c>
      <c r="T21" s="3" t="s">
        <v>672</v>
      </c>
      <c r="U21" s="8">
        <f>SUM(BN27)</f>
        <v>729351719.09</v>
      </c>
      <c r="V21" s="3"/>
      <c r="W21" s="18" t="s">
        <v>513</v>
      </c>
      <c r="X21" s="3" t="s">
        <v>484</v>
      </c>
      <c r="Y21" s="20">
        <f>CM34</f>
        <v>144166601.07</v>
      </c>
      <c r="Z21" s="3"/>
      <c r="AA21" s="18"/>
      <c r="AC21" s="16" t="s">
        <v>1072</v>
      </c>
      <c r="AD21" s="8"/>
      <c r="AE21" s="18" t="s">
        <v>767</v>
      </c>
      <c r="AF21" s="3" t="s">
        <v>768</v>
      </c>
      <c r="AG21" s="8">
        <v>0</v>
      </c>
      <c r="AI21" s="18">
        <v>4</v>
      </c>
      <c r="AJ21" s="18">
        <v>454</v>
      </c>
      <c r="AK21" s="3" t="s">
        <v>950</v>
      </c>
      <c r="AN21" s="18" t="s">
        <v>744</v>
      </c>
      <c r="AO21" s="18" t="s">
        <v>769</v>
      </c>
      <c r="AP21" s="3" t="s">
        <v>916</v>
      </c>
      <c r="AQ21" s="8">
        <f>SUM(CU41)</f>
        <v>8930.61</v>
      </c>
      <c r="AS21" s="153">
        <v>3</v>
      </c>
      <c r="AT21" s="18">
        <v>405</v>
      </c>
      <c r="AU21" s="3" t="s">
        <v>1444</v>
      </c>
      <c r="AV21" s="8">
        <v>0</v>
      </c>
      <c r="AX21" s="18" t="s">
        <v>918</v>
      </c>
      <c r="AY21" s="18"/>
      <c r="AZ21" s="18" t="s">
        <v>675</v>
      </c>
      <c r="BA21" s="8">
        <f>BA17+BA19</f>
        <v>156436.89</v>
      </c>
      <c r="BC21" s="18"/>
      <c r="BD21" s="18"/>
      <c r="BF21" s="109"/>
      <c r="BG21" s="8"/>
      <c r="BH21" s="8"/>
      <c r="BI21" s="8"/>
      <c r="BJ21" s="8"/>
      <c r="BK21" s="18" t="s">
        <v>676</v>
      </c>
      <c r="BL21" s="18">
        <v>104</v>
      </c>
      <c r="BM21" s="3" t="s">
        <v>1137</v>
      </c>
      <c r="BN21" s="8">
        <v>0</v>
      </c>
      <c r="BP21" s="18" t="s">
        <v>676</v>
      </c>
      <c r="BQ21" s="18" t="s">
        <v>1138</v>
      </c>
      <c r="BR21" s="3" t="s">
        <v>1139</v>
      </c>
      <c r="BS21" s="8">
        <f>AEGBS!F37</f>
        <v>0</v>
      </c>
      <c r="BU21" s="18">
        <v>34</v>
      </c>
      <c r="BV21" s="18">
        <v>282</v>
      </c>
      <c r="BW21" s="3" t="s">
        <v>593</v>
      </c>
      <c r="BZ21" s="18" t="s">
        <v>1319</v>
      </c>
      <c r="CA21" s="18">
        <v>151</v>
      </c>
      <c r="CB21" s="3" t="s">
        <v>1140</v>
      </c>
      <c r="CC21" s="8">
        <v>0</v>
      </c>
      <c r="CE21" s="18" t="s">
        <v>676</v>
      </c>
      <c r="CF21" s="18">
        <v>210</v>
      </c>
      <c r="CG21" s="3" t="s">
        <v>1804</v>
      </c>
      <c r="CJ21" s="18">
        <v>32</v>
      </c>
      <c r="CK21" s="18">
        <v>224</v>
      </c>
      <c r="CL21" s="3" t="s">
        <v>1805</v>
      </c>
      <c r="CM21" s="8">
        <f>AEGBS!D159</f>
        <v>63181825.2</v>
      </c>
      <c r="CO21" s="18" t="s">
        <v>676</v>
      </c>
      <c r="CP21" s="3" t="s">
        <v>951</v>
      </c>
      <c r="CQ21" s="8">
        <f>SUM(CM43)</f>
        <v>0</v>
      </c>
      <c r="CS21" s="18">
        <v>508</v>
      </c>
      <c r="CT21" s="3" t="s">
        <v>1686</v>
      </c>
      <c r="CU21" s="8">
        <v>0</v>
      </c>
      <c r="CX21" s="18"/>
      <c r="DT21" s="9"/>
      <c r="DX21" s="9"/>
      <c r="DZ21" s="131"/>
    </row>
    <row r="22" spans="1:104" ht="15">
      <c r="A22" s="3"/>
      <c r="B22" s="34" t="s">
        <v>255</v>
      </c>
      <c r="C22" s="125">
        <f>(+FUELSCH!D60)*1000</f>
        <v>61414000</v>
      </c>
      <c r="F22" s="34" t="s">
        <v>255</v>
      </c>
      <c r="G22" s="125">
        <f>(+FUELSCH!D59)*1000</f>
        <v>143299000</v>
      </c>
      <c r="I22" s="3" t="s">
        <v>153</v>
      </c>
      <c r="J22" s="8">
        <f>SUM(K22:L22)</f>
        <v>5713828.890000001</v>
      </c>
      <c r="K22" s="7">
        <v>1714148.67</v>
      </c>
      <c r="L22" s="7">
        <v>3999680.22</v>
      </c>
      <c r="M22" s="152"/>
      <c r="N22" s="8"/>
      <c r="O22" s="18" t="s">
        <v>805</v>
      </c>
      <c r="P22" s="3" t="s">
        <v>1460</v>
      </c>
      <c r="Q22" s="8">
        <f t="shared" si="0"/>
        <v>63832296.24000001</v>
      </c>
      <c r="R22" s="158"/>
      <c r="S22" s="18" t="s">
        <v>1141</v>
      </c>
      <c r="T22" s="3" t="s">
        <v>1142</v>
      </c>
      <c r="U22" s="8">
        <f>SUM(BN46)</f>
        <v>447351995.04</v>
      </c>
      <c r="V22" s="8"/>
      <c r="W22" s="18" t="s">
        <v>498</v>
      </c>
      <c r="X22" s="3" t="s">
        <v>1626</v>
      </c>
      <c r="Y22" s="8">
        <f>SUM(CH56)</f>
        <v>0</v>
      </c>
      <c r="Z22" s="8"/>
      <c r="AA22" s="18" t="s">
        <v>1079</v>
      </c>
      <c r="AB22" s="3" t="s">
        <v>1625</v>
      </c>
      <c r="AC22" s="8">
        <f>SUM(AC18:AC20)</f>
        <v>207348426.26999998</v>
      </c>
      <c r="AD22" s="8"/>
      <c r="AE22" s="18" t="s">
        <v>509</v>
      </c>
      <c r="AF22" s="3" t="s">
        <v>1567</v>
      </c>
      <c r="AG22" s="8">
        <f>AEGBS!D179</f>
        <v>0</v>
      </c>
      <c r="AI22" s="18"/>
      <c r="AJ22" s="18"/>
      <c r="AK22" s="3" t="s">
        <v>1090</v>
      </c>
      <c r="AL22" s="8">
        <f>(+EXPENSES!J76)</f>
        <v>0</v>
      </c>
      <c r="AM22" s="8"/>
      <c r="AN22" s="18"/>
      <c r="AO22" s="18"/>
      <c r="AQ22" s="16" t="s">
        <v>1072</v>
      </c>
      <c r="AS22" s="153">
        <v>4</v>
      </c>
      <c r="AT22" s="18">
        <v>406</v>
      </c>
      <c r="AU22" s="3" t="s">
        <v>917</v>
      </c>
      <c r="AX22" s="18"/>
      <c r="AY22" s="18"/>
      <c r="BA22" s="59" t="s">
        <v>1569</v>
      </c>
      <c r="BC22" s="18"/>
      <c r="BF22" s="6"/>
      <c r="BJ22" s="8"/>
      <c r="BK22" s="18" t="s">
        <v>321</v>
      </c>
      <c r="BL22" s="18">
        <v>106</v>
      </c>
      <c r="BM22" s="3" t="s">
        <v>322</v>
      </c>
      <c r="BN22" s="8">
        <f>+AEGBS!F12</f>
        <v>37169480.62</v>
      </c>
      <c r="BP22" s="18" t="s">
        <v>321</v>
      </c>
      <c r="BQ22" s="18">
        <v>174</v>
      </c>
      <c r="BR22" s="3" t="s">
        <v>1174</v>
      </c>
      <c r="BS22" s="8">
        <v>0</v>
      </c>
      <c r="BU22" s="18"/>
      <c r="BV22" s="18"/>
      <c r="BW22" s="3" t="s">
        <v>1175</v>
      </c>
      <c r="BX22" s="8">
        <f>IF(AEGBS!F125&gt;0,AEGBS!F125,AEGBS!F125*-1)</f>
        <v>53742812.7619</v>
      </c>
      <c r="BZ22" s="18" t="s">
        <v>1511</v>
      </c>
      <c r="CA22" s="18">
        <v>152</v>
      </c>
      <c r="CB22" s="3" t="s">
        <v>330</v>
      </c>
      <c r="CC22" s="8">
        <v>0</v>
      </c>
      <c r="CE22" s="18"/>
      <c r="CF22" s="18"/>
      <c r="CG22" s="3" t="s">
        <v>1461</v>
      </c>
      <c r="CH22" s="8">
        <v>0</v>
      </c>
      <c r="CJ22" s="18">
        <v>33</v>
      </c>
      <c r="CK22" s="18">
        <v>225</v>
      </c>
      <c r="CL22" s="3" t="s">
        <v>1462</v>
      </c>
      <c r="CO22" s="18"/>
      <c r="CQ22" s="16" t="s">
        <v>1072</v>
      </c>
      <c r="CS22" s="18">
        <v>509</v>
      </c>
      <c r="CT22" s="3" t="s">
        <v>1447</v>
      </c>
      <c r="CU22" s="8">
        <f>EXPENSES!J51</f>
        <v>0</v>
      </c>
      <c r="CX22" s="18"/>
      <c r="CY22" s="3" t="s">
        <v>152</v>
      </c>
      <c r="CZ22" s="8">
        <f>SUM(CZ16:CZ20)</f>
        <v>0</v>
      </c>
    </row>
    <row r="23" spans="1:102" ht="15">
      <c r="A23" s="3"/>
      <c r="B23" s="3"/>
      <c r="C23" s="3"/>
      <c r="I23" s="3" t="s">
        <v>887</v>
      </c>
      <c r="J23" s="8">
        <f>SUM(CU37)</f>
        <v>0</v>
      </c>
      <c r="K23" s="8">
        <f>SUM((J23-L23))</f>
        <v>0</v>
      </c>
      <c r="L23" s="8">
        <f>SUM(J23)</f>
        <v>0</v>
      </c>
      <c r="M23" s="152"/>
      <c r="N23" s="8"/>
      <c r="O23" s="18" t="s">
        <v>1671</v>
      </c>
      <c r="P23" s="3" t="s">
        <v>1672</v>
      </c>
      <c r="Q23" s="8">
        <f t="shared" si="0"/>
        <v>48400.02</v>
      </c>
      <c r="R23" s="158"/>
      <c r="S23" s="18" t="s">
        <v>805</v>
      </c>
      <c r="T23" s="3" t="s">
        <v>1460</v>
      </c>
      <c r="U23" s="8">
        <f>SUM(BN58)</f>
        <v>32017186.620000005</v>
      </c>
      <c r="V23" s="8"/>
      <c r="W23" s="18" t="s">
        <v>1079</v>
      </c>
      <c r="X23" s="3" t="s">
        <v>595</v>
      </c>
      <c r="Y23" s="8">
        <f>SUM(CH47)</f>
        <v>94290819.51</v>
      </c>
      <c r="Z23" s="8"/>
      <c r="AA23" s="18"/>
      <c r="AC23" s="59" t="s">
        <v>1569</v>
      </c>
      <c r="AD23" s="8"/>
      <c r="AE23" s="18"/>
      <c r="AG23" s="59" t="s">
        <v>1072</v>
      </c>
      <c r="AI23" s="18"/>
      <c r="AJ23" s="18"/>
      <c r="AN23" s="18" t="s">
        <v>676</v>
      </c>
      <c r="AO23" s="18" t="s">
        <v>154</v>
      </c>
      <c r="AP23" s="3" t="s">
        <v>1764</v>
      </c>
      <c r="AQ23" s="8">
        <v>0</v>
      </c>
      <c r="AS23" s="153"/>
      <c r="AT23" s="18"/>
      <c r="AU23" s="3" t="s">
        <v>1568</v>
      </c>
      <c r="AV23" s="8">
        <v>0</v>
      </c>
      <c r="AX23" s="18"/>
      <c r="AY23" s="18"/>
      <c r="BC23" s="18">
        <v>3</v>
      </c>
      <c r="BD23" s="18" t="s">
        <v>1357</v>
      </c>
      <c r="BE23" s="3" t="s">
        <v>886</v>
      </c>
      <c r="BF23" s="6"/>
      <c r="BJ23" s="8"/>
      <c r="BK23" s="18" t="s">
        <v>574</v>
      </c>
      <c r="BL23" s="18">
        <v>114</v>
      </c>
      <c r="BM23" s="3" t="s">
        <v>1089</v>
      </c>
      <c r="BN23" s="8">
        <v>0</v>
      </c>
      <c r="BP23" s="18" t="s">
        <v>574</v>
      </c>
      <c r="BQ23" s="18">
        <v>232</v>
      </c>
      <c r="BR23" s="3" t="s">
        <v>1732</v>
      </c>
      <c r="BS23" s="8">
        <f>AEGBS!F38</f>
        <v>-75638.54</v>
      </c>
      <c r="BU23" s="18">
        <v>35</v>
      </c>
      <c r="BV23" s="18">
        <v>283</v>
      </c>
      <c r="BW23" s="3" t="s">
        <v>593</v>
      </c>
      <c r="BZ23" s="18" t="s">
        <v>744</v>
      </c>
      <c r="CA23" s="18">
        <v>153</v>
      </c>
      <c r="CB23" s="3" t="s">
        <v>1670</v>
      </c>
      <c r="CC23" s="8">
        <v>0</v>
      </c>
      <c r="CE23" s="18" t="s">
        <v>321</v>
      </c>
      <c r="CF23" s="18">
        <v>212</v>
      </c>
      <c r="CG23" s="3" t="s">
        <v>723</v>
      </c>
      <c r="CH23" s="8">
        <v>0</v>
      </c>
      <c r="CJ23" s="18"/>
      <c r="CK23" s="18"/>
      <c r="CL23" s="3" t="s">
        <v>594</v>
      </c>
      <c r="CM23" s="8">
        <v>0</v>
      </c>
      <c r="CO23" s="18" t="s">
        <v>321</v>
      </c>
      <c r="CP23" s="3" t="s">
        <v>1360</v>
      </c>
      <c r="CQ23" s="8">
        <f>(SUM(CQ17:CQ20))-CQ21</f>
        <v>301639245.78</v>
      </c>
      <c r="CS23" s="18"/>
      <c r="CX23" s="18"/>
    </row>
    <row r="24" spans="1:132" ht="15.75">
      <c r="A24" s="3"/>
      <c r="B24" s="17" t="s">
        <v>1791</v>
      </c>
      <c r="C24" s="17" t="s">
        <v>1062</v>
      </c>
      <c r="E24" s="3"/>
      <c r="F24" s="17" t="s">
        <v>1791</v>
      </c>
      <c r="G24" s="17" t="s">
        <v>1062</v>
      </c>
      <c r="I24" s="3" t="s">
        <v>1503</v>
      </c>
      <c r="J24" s="8">
        <f>SUM(AL34)</f>
        <v>-8750</v>
      </c>
      <c r="K24" s="8">
        <f>ROUND((J24*INSTRUCTIONS!$M$20),0)</f>
        <v>-2625</v>
      </c>
      <c r="L24" s="8">
        <f>SUM((J24-K24))</f>
        <v>-6125</v>
      </c>
      <c r="M24" s="152"/>
      <c r="N24" s="8"/>
      <c r="O24" s="18" t="s">
        <v>1574</v>
      </c>
      <c r="P24" s="3" t="s">
        <v>1575</v>
      </c>
      <c r="Q24" s="8">
        <f t="shared" si="0"/>
        <v>0</v>
      </c>
      <c r="R24" s="158"/>
      <c r="S24" s="18" t="s">
        <v>1671</v>
      </c>
      <c r="T24" s="3" t="s">
        <v>1672</v>
      </c>
      <c r="U24" s="8">
        <f>SUM(BN60)</f>
        <v>24200.01</v>
      </c>
      <c r="V24" s="8"/>
      <c r="W24" s="18" t="s">
        <v>767</v>
      </c>
      <c r="X24" s="3" t="s">
        <v>1578</v>
      </c>
      <c r="Y24" s="8">
        <f>SUM(CM43)</f>
        <v>0</v>
      </c>
      <c r="Z24" s="8"/>
      <c r="AA24" s="18"/>
      <c r="AD24" s="8"/>
      <c r="AE24" s="18" t="s">
        <v>889</v>
      </c>
      <c r="AF24" s="3" t="s">
        <v>1093</v>
      </c>
      <c r="AG24" s="8">
        <f>SUM(AG17:AG22)</f>
        <v>32017186.619999997</v>
      </c>
      <c r="AI24" s="18">
        <v>5</v>
      </c>
      <c r="AJ24" s="18" t="s">
        <v>1729</v>
      </c>
      <c r="AK24" s="3" t="s">
        <v>950</v>
      </c>
      <c r="AN24" s="18" t="s">
        <v>321</v>
      </c>
      <c r="AO24" s="18" t="s">
        <v>151</v>
      </c>
      <c r="AP24" s="3" t="s">
        <v>1515</v>
      </c>
      <c r="AQ24" s="8">
        <v>0</v>
      </c>
      <c r="AS24" s="153">
        <v>5</v>
      </c>
      <c r="AT24" s="18">
        <v>407</v>
      </c>
      <c r="AU24" s="3" t="s">
        <v>573</v>
      </c>
      <c r="BC24" s="18"/>
      <c r="BE24" s="3" t="s">
        <v>1078</v>
      </c>
      <c r="BF24" s="109">
        <f>IF(INSTRUCTIONS!$L$29="ESTIMATE",TXPG12RV!G17,IF(INSTRUCTIONS!$L$29="ACTUAL",TXPG12RV!I17,"SEE NOTE"))</f>
        <v>-24500</v>
      </c>
      <c r="BG24" s="8">
        <f>ROUND(SUM((BF24*INSTRUCTIONS!$M$20)),0)</f>
        <v>-7350</v>
      </c>
      <c r="BH24" s="8">
        <f>ROUND(BF24-BG24,0)</f>
        <v>-17150</v>
      </c>
      <c r="BI24" s="8"/>
      <c r="BJ24" s="8"/>
      <c r="BK24" s="18" t="s">
        <v>1565</v>
      </c>
      <c r="BL24" s="18">
        <v>116</v>
      </c>
      <c r="BM24" s="3" t="s">
        <v>1566</v>
      </c>
      <c r="BN24" s="8">
        <v>0</v>
      </c>
      <c r="BP24" s="18" t="s">
        <v>1565</v>
      </c>
      <c r="BQ24" s="18">
        <v>234</v>
      </c>
      <c r="BR24" s="3" t="s">
        <v>326</v>
      </c>
      <c r="BS24" s="8">
        <f>AEGBS!F39</f>
        <v>-15468656.59</v>
      </c>
      <c r="BU24" s="18"/>
      <c r="BV24" s="18"/>
      <c r="BW24" s="3" t="s">
        <v>622</v>
      </c>
      <c r="BX24" s="8">
        <f>IF(AEGBS!F142&gt;0,AEGBS!F142,AEGBS!F142*-1)</f>
        <v>761730.53</v>
      </c>
      <c r="BZ24" s="18" t="s">
        <v>676</v>
      </c>
      <c r="CA24" s="18">
        <v>154</v>
      </c>
      <c r="CB24" s="3" t="s">
        <v>1799</v>
      </c>
      <c r="CC24" s="8">
        <v>0</v>
      </c>
      <c r="CE24" s="18" t="s">
        <v>574</v>
      </c>
      <c r="CF24" s="18">
        <v>214</v>
      </c>
      <c r="CG24" s="3" t="s">
        <v>1576</v>
      </c>
      <c r="CH24" s="8">
        <v>0</v>
      </c>
      <c r="CJ24" s="18">
        <v>34</v>
      </c>
      <c r="CK24" s="18">
        <v>226</v>
      </c>
      <c r="CL24" s="3" t="s">
        <v>1577</v>
      </c>
      <c r="CO24" s="18"/>
      <c r="CQ24" s="59" t="s">
        <v>1569</v>
      </c>
      <c r="CS24" s="18"/>
      <c r="CT24" s="18" t="s">
        <v>1792</v>
      </c>
      <c r="CU24" s="8">
        <f>SUM(CU13:CU22)</f>
        <v>7005598.44</v>
      </c>
      <c r="CX24" s="18">
        <v>906</v>
      </c>
      <c r="CY24" s="3" t="s">
        <v>601</v>
      </c>
      <c r="CZ24" s="8">
        <v>0</v>
      </c>
      <c r="DT24" s="9"/>
      <c r="DX24" s="9"/>
      <c r="EB24" s="131"/>
    </row>
    <row r="25" spans="1:132" ht="15">
      <c r="A25" s="3"/>
      <c r="B25" s="3"/>
      <c r="C25" s="3"/>
      <c r="E25" s="3"/>
      <c r="I25" s="3" t="s">
        <v>905</v>
      </c>
      <c r="J25" s="8">
        <f>SUM(((AQ48-AQ16)-CU37))</f>
        <v>2350508.6000000006</v>
      </c>
      <c r="K25" s="8">
        <f>ROUND((J25*INSTRUCTIONS!$M$20),0)</f>
        <v>705153</v>
      </c>
      <c r="L25" s="8">
        <f>SUM((J25-K25))</f>
        <v>1645355.6000000006</v>
      </c>
      <c r="M25" s="152"/>
      <c r="N25" s="8"/>
      <c r="O25" s="18" t="s">
        <v>754</v>
      </c>
      <c r="P25" s="3" t="s">
        <v>755</v>
      </c>
      <c r="Q25" s="8">
        <f t="shared" si="0"/>
        <v>0</v>
      </c>
      <c r="R25" s="158"/>
      <c r="S25" s="18" t="s">
        <v>1574</v>
      </c>
      <c r="T25" s="3" t="s">
        <v>1575</v>
      </c>
      <c r="U25" s="8">
        <f>SUM(BN29)</f>
        <v>0</v>
      </c>
      <c r="V25" s="8"/>
      <c r="W25" s="18"/>
      <c r="Y25" s="16" t="s">
        <v>1072</v>
      </c>
      <c r="Z25" s="8"/>
      <c r="AA25" s="18" t="s">
        <v>767</v>
      </c>
      <c r="AB25" s="96" t="s">
        <v>758</v>
      </c>
      <c r="AD25" s="8"/>
      <c r="AE25" s="18"/>
      <c r="AG25" s="59" t="s">
        <v>1569</v>
      </c>
      <c r="AI25" s="18"/>
      <c r="AJ25" s="18"/>
      <c r="AK25" s="3" t="s">
        <v>759</v>
      </c>
      <c r="AL25" s="8">
        <f>-(+EXPENSES!F25)</f>
        <v>0</v>
      </c>
      <c r="AM25" s="8"/>
      <c r="AN25" s="18"/>
      <c r="AO25" s="18"/>
      <c r="AQ25" s="16" t="s">
        <v>1072</v>
      </c>
      <c r="AS25" s="153"/>
      <c r="AT25" s="18"/>
      <c r="AU25" s="3" t="s">
        <v>1564</v>
      </c>
      <c r="BC25" s="18"/>
      <c r="BF25" s="6"/>
      <c r="BJ25" s="8"/>
      <c r="BK25" s="18" t="s">
        <v>1505</v>
      </c>
      <c r="BL25" s="18">
        <v>118</v>
      </c>
      <c r="BM25" s="3" t="s">
        <v>1506</v>
      </c>
      <c r="BN25" s="8">
        <v>0</v>
      </c>
      <c r="BP25" s="18" t="s">
        <v>1505</v>
      </c>
      <c r="BQ25" s="18">
        <v>236</v>
      </c>
      <c r="BR25" s="3" t="s">
        <v>1507</v>
      </c>
      <c r="BS25" s="8">
        <f>AEGBS!F40</f>
        <v>947443.08</v>
      </c>
      <c r="BU25" s="18">
        <v>36</v>
      </c>
      <c r="BV25" s="18"/>
      <c r="BW25" s="3" t="s">
        <v>752</v>
      </c>
      <c r="BX25" s="16" t="s">
        <v>1072</v>
      </c>
      <c r="BZ25" s="18" t="s">
        <v>321</v>
      </c>
      <c r="CA25" s="18">
        <v>155</v>
      </c>
      <c r="CB25" s="3" t="s">
        <v>753</v>
      </c>
      <c r="CC25" s="8">
        <v>0</v>
      </c>
      <c r="CE25" s="18" t="s">
        <v>1565</v>
      </c>
      <c r="CF25" s="18">
        <v>217</v>
      </c>
      <c r="CG25" s="3" t="s">
        <v>756</v>
      </c>
      <c r="CH25" s="8">
        <v>0</v>
      </c>
      <c r="CJ25" s="18"/>
      <c r="CK25" s="18"/>
      <c r="CL25" s="3" t="s">
        <v>757</v>
      </c>
      <c r="CM25" s="8">
        <f>(AEGBS!D162)</f>
        <v>0</v>
      </c>
      <c r="CO25" s="18"/>
      <c r="CS25" s="18"/>
      <c r="CX25" s="18">
        <v>907</v>
      </c>
      <c r="CY25" s="3" t="s">
        <v>1766</v>
      </c>
      <c r="CZ25" s="8">
        <v>0</v>
      </c>
      <c r="DT25" s="9"/>
      <c r="DX25" s="9"/>
      <c r="EB25" s="131"/>
    </row>
    <row r="26" spans="1:132" ht="15">
      <c r="A26" s="34" t="s">
        <v>925</v>
      </c>
      <c r="B26" s="3"/>
      <c r="C26" s="3"/>
      <c r="E26" s="34" t="s">
        <v>925</v>
      </c>
      <c r="F26" s="3"/>
      <c r="G26" s="3"/>
      <c r="I26" s="3" t="s">
        <v>970</v>
      </c>
      <c r="J26" s="8">
        <f>SUM(AV33)</f>
        <v>1869848.515</v>
      </c>
      <c r="K26" s="8">
        <f>ROUND((J26*INSTRUCTIONS!$M$20),0)</f>
        <v>560955</v>
      </c>
      <c r="L26" s="8">
        <f>SUM((J26-K26))</f>
        <v>1308893.515</v>
      </c>
      <c r="M26" s="152"/>
      <c r="N26" s="8"/>
      <c r="O26" s="18" t="s">
        <v>1419</v>
      </c>
      <c r="P26" s="3" t="s">
        <v>717</v>
      </c>
      <c r="Q26" s="8">
        <f t="shared" si="0"/>
        <v>-8019712.929999997</v>
      </c>
      <c r="R26" s="158"/>
      <c r="S26" s="18" t="s">
        <v>754</v>
      </c>
      <c r="T26" s="3" t="s">
        <v>755</v>
      </c>
      <c r="U26" s="8">
        <f>SUM(BN62)</f>
        <v>0</v>
      </c>
      <c r="V26" s="8"/>
      <c r="W26" s="18" t="s">
        <v>509</v>
      </c>
      <c r="X26" s="3" t="s">
        <v>1482</v>
      </c>
      <c r="Y26" s="8">
        <f>SUM(((((Y20+Y21)+Y22)+Y23)-Y24))</f>
        <v>301639245.78</v>
      </c>
      <c r="Z26" s="8"/>
      <c r="AA26" s="18"/>
      <c r="AD26" s="8"/>
      <c r="AE26" s="18" t="s">
        <v>1513</v>
      </c>
      <c r="AF26" s="96" t="s">
        <v>1194</v>
      </c>
      <c r="AI26" s="18"/>
      <c r="AJ26" s="18"/>
      <c r="AN26" s="18" t="s">
        <v>574</v>
      </c>
      <c r="AO26" s="18"/>
      <c r="AP26" s="3" t="s">
        <v>729</v>
      </c>
      <c r="AQ26" s="8">
        <f>SUM((AQ23+AQ24))</f>
        <v>0</v>
      </c>
      <c r="AS26" s="153"/>
      <c r="AT26" s="18"/>
      <c r="AU26" s="3" t="s">
        <v>1504</v>
      </c>
      <c r="AV26" s="8">
        <v>0</v>
      </c>
      <c r="BC26" s="18">
        <v>4</v>
      </c>
      <c r="BD26" s="18" t="s">
        <v>1357</v>
      </c>
      <c r="BE26" s="3" t="s">
        <v>4</v>
      </c>
      <c r="BF26" s="109">
        <f>IF(INSTRUCTIONS!$L$29="ESTIMATE",TXPG12RV!G37,IF(INSTRUCTIONS!$L$29="ACTUAL",TXPG12RV!I37,"SEE NOTE"))</f>
        <v>-3239256.66</v>
      </c>
      <c r="BG26" s="8">
        <f>ROUND(SUM((BF26*INSTRUCTIONS!$M$20)),0)</f>
        <v>-971777</v>
      </c>
      <c r="BH26" s="8">
        <f>ROUND(BF26-BG26,0)</f>
        <v>-2267480</v>
      </c>
      <c r="BI26" s="8"/>
      <c r="BJ26" s="8"/>
      <c r="BK26" s="18"/>
      <c r="BL26" s="18"/>
      <c r="BN26" s="16" t="s">
        <v>1072</v>
      </c>
      <c r="BP26" s="18" t="s">
        <v>731</v>
      </c>
      <c r="BQ26" s="18">
        <v>237</v>
      </c>
      <c r="BR26" s="3" t="s">
        <v>1650</v>
      </c>
      <c r="BS26" s="8">
        <f>AEGBS!F41</f>
        <v>-320067.22</v>
      </c>
      <c r="BU26" s="18"/>
      <c r="BV26" s="18"/>
      <c r="BW26" s="3" t="s">
        <v>1669</v>
      </c>
      <c r="BX26" s="8">
        <f>SUM(((((-BX18)+BX20)+BX22)+BX24))</f>
        <v>49844859.63324</v>
      </c>
      <c r="BZ26" s="18" t="s">
        <v>574</v>
      </c>
      <c r="CA26" s="18">
        <v>156</v>
      </c>
      <c r="CB26" s="3" t="s">
        <v>1463</v>
      </c>
      <c r="CC26" s="8">
        <v>0</v>
      </c>
      <c r="CE26" s="18"/>
      <c r="CF26" s="18"/>
      <c r="CH26" s="16" t="s">
        <v>1072</v>
      </c>
      <c r="CJ26" s="18"/>
      <c r="CK26" s="18"/>
      <c r="CM26" s="16" t="s">
        <v>1072</v>
      </c>
      <c r="CO26" s="18" t="s">
        <v>574</v>
      </c>
      <c r="CP26" s="96" t="s">
        <v>637</v>
      </c>
      <c r="CS26" s="18"/>
      <c r="CX26" s="18">
        <v>908</v>
      </c>
      <c r="CY26" s="3" t="s">
        <v>638</v>
      </c>
      <c r="CZ26" s="8">
        <v>0</v>
      </c>
      <c r="DT26" s="9"/>
      <c r="DX26" s="9"/>
      <c r="EB26" s="131"/>
    </row>
    <row r="27" spans="1:103" ht="13.5" customHeight="1">
      <c r="A27" s="3"/>
      <c r="B27" s="3"/>
      <c r="C27" s="3"/>
      <c r="E27" s="3"/>
      <c r="F27" s="3"/>
      <c r="G27" s="3"/>
      <c r="I27" s="3" t="s">
        <v>940</v>
      </c>
      <c r="J27" s="8">
        <f>SUM(BA21)</f>
        <v>156436.89</v>
      </c>
      <c r="K27" s="8">
        <f>ROUND((J27*INSTRUCTIONS!$M$20),0)</f>
        <v>46931</v>
      </c>
      <c r="L27" s="8">
        <f>SUM((J27-K27))</f>
        <v>109505.89000000001</v>
      </c>
      <c r="M27" s="152"/>
      <c r="N27" s="8"/>
      <c r="O27" s="18">
        <v>10</v>
      </c>
      <c r="P27" s="3" t="s">
        <v>205</v>
      </c>
      <c r="Q27" s="8">
        <f t="shared" si="0"/>
        <v>78972.02</v>
      </c>
      <c r="R27" s="158"/>
      <c r="S27" s="18" t="s">
        <v>1419</v>
      </c>
      <c r="T27" s="3" t="s">
        <v>1421</v>
      </c>
      <c r="U27" s="8">
        <f>SUM(BS31)</f>
        <v>-2936720.3899999987</v>
      </c>
      <c r="V27" s="8"/>
      <c r="W27" s="18"/>
      <c r="Y27" s="16" t="s">
        <v>1569</v>
      </c>
      <c r="Z27" s="8"/>
      <c r="AA27" s="18"/>
      <c r="AD27" s="8"/>
      <c r="AE27" s="18"/>
      <c r="AI27" s="18">
        <v>6</v>
      </c>
      <c r="AJ27" s="18">
        <v>455</v>
      </c>
      <c r="AK27" s="3" t="s">
        <v>1473</v>
      </c>
      <c r="AL27" s="8">
        <v>0</v>
      </c>
      <c r="AM27" s="8"/>
      <c r="AN27" s="18"/>
      <c r="AO27" s="18"/>
      <c r="AQ27" s="16" t="s">
        <v>1072</v>
      </c>
      <c r="AS27" s="153"/>
      <c r="AT27" s="18"/>
      <c r="AV27" s="16" t="s">
        <v>730</v>
      </c>
      <c r="BC27" s="18"/>
      <c r="BF27" s="59" t="s">
        <v>1072</v>
      </c>
      <c r="BG27" s="59" t="s">
        <v>1072</v>
      </c>
      <c r="BH27" s="59" t="s">
        <v>1072</v>
      </c>
      <c r="BI27" s="59"/>
      <c r="BJ27" s="8"/>
      <c r="BK27" s="18" t="s">
        <v>731</v>
      </c>
      <c r="BL27" s="18"/>
      <c r="BM27" s="3" t="s">
        <v>868</v>
      </c>
      <c r="BN27" s="8">
        <f>BN16+BN17+BN18+BN20+BN21+BN22+BN23+BN24+BN25</f>
        <v>729351719.09</v>
      </c>
      <c r="BP27" s="18" t="s">
        <v>943</v>
      </c>
      <c r="BQ27" s="18">
        <v>238</v>
      </c>
      <c r="BR27" s="3" t="s">
        <v>1894</v>
      </c>
      <c r="BS27" s="8">
        <f>AEGBS!F42</f>
        <v>0</v>
      </c>
      <c r="BU27" s="18"/>
      <c r="BV27" s="18"/>
      <c r="BX27" s="16" t="s">
        <v>1072</v>
      </c>
      <c r="BZ27" s="18" t="s">
        <v>1565</v>
      </c>
      <c r="CA27" s="18">
        <v>163</v>
      </c>
      <c r="CB27" s="3" t="s">
        <v>1895</v>
      </c>
      <c r="CC27" s="8">
        <v>0</v>
      </c>
      <c r="CE27" s="18" t="s">
        <v>1422</v>
      </c>
      <c r="CF27" s="18"/>
      <c r="CG27" s="3" t="s">
        <v>921</v>
      </c>
      <c r="CH27" s="8">
        <f>CH16+CH17+CH18+CH20+CH22+CH23+CH24+CH25</f>
        <v>383000</v>
      </c>
      <c r="CJ27" s="18">
        <v>35</v>
      </c>
      <c r="CK27" s="18"/>
      <c r="CL27" s="3" t="s">
        <v>1197</v>
      </c>
      <c r="CM27" s="8">
        <f>CM18+CM19+CM20+CM21+CM23+CM25</f>
        <v>63181825.2</v>
      </c>
      <c r="CO27" s="18"/>
      <c r="CS27" s="18">
        <v>510</v>
      </c>
      <c r="CT27" s="3" t="s">
        <v>1474</v>
      </c>
      <c r="CU27" s="8">
        <f>EXPENSES!J55</f>
        <v>77084.91</v>
      </c>
      <c r="CX27" s="18">
        <v>909</v>
      </c>
      <c r="CY27" s="3" t="s">
        <v>939</v>
      </c>
    </row>
    <row r="28" spans="1:104" ht="15.75">
      <c r="A28" s="3"/>
      <c r="B28" s="3" t="s">
        <v>560</v>
      </c>
      <c r="C28" s="8">
        <f>SUM(K16)</f>
        <v>238870</v>
      </c>
      <c r="E28" s="3"/>
      <c r="F28" s="3" t="s">
        <v>560</v>
      </c>
      <c r="G28" s="8">
        <f>SUM(L16)</f>
        <v>557364</v>
      </c>
      <c r="I28" s="3" t="s">
        <v>41</v>
      </c>
      <c r="J28" s="8">
        <f>SUM(J44)</f>
        <v>1072528</v>
      </c>
      <c r="K28" s="8">
        <f>SUM(K44)</f>
        <v>321759</v>
      </c>
      <c r="L28" s="8">
        <f>SUM(L44)</f>
        <v>750769</v>
      </c>
      <c r="M28" s="152"/>
      <c r="N28" s="8"/>
      <c r="O28" s="18">
        <v>11</v>
      </c>
      <c r="P28" s="26" t="s">
        <v>200</v>
      </c>
      <c r="Q28" s="8">
        <f>U29+U48</f>
        <v>2675832.13</v>
      </c>
      <c r="R28" s="158"/>
      <c r="S28" s="18">
        <v>10</v>
      </c>
      <c r="T28" s="3" t="s">
        <v>205</v>
      </c>
      <c r="U28" s="8">
        <f>SUM(BS37)</f>
        <v>39486.01</v>
      </c>
      <c r="V28" s="8"/>
      <c r="W28" s="18"/>
      <c r="Z28" s="8"/>
      <c r="AA28" s="18" t="s">
        <v>509</v>
      </c>
      <c r="AB28" s="3" t="s">
        <v>606</v>
      </c>
      <c r="AC28" s="155">
        <f>SUM(((AC32-AC29)-AC30))</f>
        <v>0.304713</v>
      </c>
      <c r="AD28" s="8"/>
      <c r="AE28" s="18" t="s">
        <v>724</v>
      </c>
      <c r="AF28" s="3" t="s">
        <v>732</v>
      </c>
      <c r="AG28" s="8">
        <f>AEGBS!D188/2</f>
        <v>22036061.580000002</v>
      </c>
      <c r="AI28" s="18"/>
      <c r="AJ28" s="18"/>
      <c r="AN28" s="18" t="s">
        <v>1565</v>
      </c>
      <c r="AO28" s="18" t="s">
        <v>733</v>
      </c>
      <c r="AP28" s="3" t="s">
        <v>734</v>
      </c>
      <c r="AQ28" s="8">
        <v>0</v>
      </c>
      <c r="AS28" s="153"/>
      <c r="AT28" s="18"/>
      <c r="BC28" s="18">
        <v>5</v>
      </c>
      <c r="BD28" s="18" t="s">
        <v>631</v>
      </c>
      <c r="BE28" s="3" t="s">
        <v>40</v>
      </c>
      <c r="BF28" s="8">
        <f>BF19+BF21+BF24+BF26</f>
        <v>-3251756.66</v>
      </c>
      <c r="BG28" s="8">
        <f>BG19+BG21+BG24+BG26</f>
        <v>-975527</v>
      </c>
      <c r="BH28" s="8">
        <f>BH19+BH21+BH24+BH26</f>
        <v>-2276230</v>
      </c>
      <c r="BI28" s="8"/>
      <c r="BJ28" s="8"/>
      <c r="BK28" s="18"/>
      <c r="BL28" s="18"/>
      <c r="BN28" s="16" t="s">
        <v>1072</v>
      </c>
      <c r="BP28" s="18" t="s">
        <v>6</v>
      </c>
      <c r="BQ28" s="18">
        <v>241</v>
      </c>
      <c r="BR28" s="3" t="s">
        <v>1810</v>
      </c>
      <c r="BS28" s="8">
        <f>AEGBS!F43</f>
        <v>0</v>
      </c>
      <c r="BU28" s="18">
        <v>37</v>
      </c>
      <c r="BV28" s="18">
        <v>255</v>
      </c>
      <c r="BW28" s="3" t="s">
        <v>795</v>
      </c>
      <c r="BZ28" s="18" t="s">
        <v>1505</v>
      </c>
      <c r="CA28" s="18"/>
      <c r="CB28" s="3" t="s">
        <v>576</v>
      </c>
      <c r="CC28" s="16" t="s">
        <v>1072</v>
      </c>
      <c r="CE28" s="18"/>
      <c r="CF28" s="18"/>
      <c r="CH28" s="16" t="s">
        <v>1072</v>
      </c>
      <c r="CJ28" s="18"/>
      <c r="CK28" s="18"/>
      <c r="CM28" s="16" t="s">
        <v>1072</v>
      </c>
      <c r="CO28" s="18" t="s">
        <v>1565</v>
      </c>
      <c r="CP28" s="3" t="s">
        <v>1877</v>
      </c>
      <c r="CQ28" s="155">
        <f>ROUND((CQ17/CQ23),6)</f>
        <v>0.209462</v>
      </c>
      <c r="CS28" s="18">
        <v>511</v>
      </c>
      <c r="CT28" s="3" t="s">
        <v>991</v>
      </c>
      <c r="CU28" s="8">
        <f>EXPENSES!J56</f>
        <v>28867.43</v>
      </c>
      <c r="CX28" s="18"/>
      <c r="CY28" s="3" t="s">
        <v>610</v>
      </c>
      <c r="CZ28" s="8">
        <v>0</v>
      </c>
    </row>
    <row r="29" spans="1:103" ht="15.75">
      <c r="A29" s="3"/>
      <c r="B29" s="3"/>
      <c r="C29" s="3"/>
      <c r="E29" s="3"/>
      <c r="F29" s="3"/>
      <c r="G29" s="8"/>
      <c r="I29" s="3"/>
      <c r="J29" s="59" t="s">
        <v>1072</v>
      </c>
      <c r="K29" s="59" t="s">
        <v>1072</v>
      </c>
      <c r="L29" s="59" t="s">
        <v>1072</v>
      </c>
      <c r="M29" s="157"/>
      <c r="N29" s="8"/>
      <c r="O29" s="18">
        <v>12</v>
      </c>
      <c r="P29" s="26" t="s">
        <v>199</v>
      </c>
      <c r="Q29" s="8">
        <f>U30+U49</f>
        <v>7921485.52</v>
      </c>
      <c r="R29" s="158"/>
      <c r="S29" s="18">
        <v>11</v>
      </c>
      <c r="T29" s="26" t="s">
        <v>200</v>
      </c>
      <c r="U29" s="8">
        <f>AEGBS!E195</f>
        <v>1337916.065</v>
      </c>
      <c r="V29" s="8"/>
      <c r="W29" s="18" t="s">
        <v>889</v>
      </c>
      <c r="X29" s="3" t="s">
        <v>1592</v>
      </c>
      <c r="Y29" s="8">
        <f>TRUNC(((Y26*0.4)+0.5))</f>
        <v>120655698</v>
      </c>
      <c r="Z29" s="59"/>
      <c r="AA29" s="18" t="s">
        <v>889</v>
      </c>
      <c r="AB29" s="3" t="s">
        <v>393</v>
      </c>
      <c r="AC29" s="155">
        <f>ROUND((AC19/AC22),6)</f>
        <v>0.695287</v>
      </c>
      <c r="AD29" s="8"/>
      <c r="AE29" s="18" t="s">
        <v>42</v>
      </c>
      <c r="AF29" s="159" t="s">
        <v>923</v>
      </c>
      <c r="AG29" s="8">
        <f>IF((AG28&lt;AG45),(IF(((AG45-AG28)&gt;(ROUND(((AG54+AG55)/((CQ59/CU59)*CU58)),0))),0,(ROUND(((AG54+AG55)/((CQ59/CU59)*CU58)),0)))),0)</f>
        <v>0</v>
      </c>
      <c r="AI29" s="18">
        <v>7</v>
      </c>
      <c r="AJ29" s="18">
        <v>456</v>
      </c>
      <c r="AK29" s="3" t="s">
        <v>1593</v>
      </c>
      <c r="AL29" s="8">
        <f>+EXPENSES!D26+EXPENSES!F26</f>
        <v>-8750</v>
      </c>
      <c r="AM29" s="8"/>
      <c r="AN29" s="18" t="s">
        <v>1505</v>
      </c>
      <c r="AO29" s="18" t="s">
        <v>924</v>
      </c>
      <c r="AP29" s="3" t="s">
        <v>1897</v>
      </c>
      <c r="AQ29" s="8">
        <v>0</v>
      </c>
      <c r="AS29" s="153">
        <v>6</v>
      </c>
      <c r="AT29" s="18"/>
      <c r="AU29" s="3" t="s">
        <v>5</v>
      </c>
      <c r="AV29" s="8">
        <f>AV17+AV20+AV21+AV23+AV26+AV18</f>
        <v>1849155.38</v>
      </c>
      <c r="BC29" s="18"/>
      <c r="BF29" s="59" t="s">
        <v>1569</v>
      </c>
      <c r="BG29" s="59" t="s">
        <v>1569</v>
      </c>
      <c r="BH29" s="59" t="s">
        <v>1569</v>
      </c>
      <c r="BI29" s="59"/>
      <c r="BJ29" s="8"/>
      <c r="BK29" s="18" t="s">
        <v>943</v>
      </c>
      <c r="BL29" s="18">
        <v>105</v>
      </c>
      <c r="BM29" s="3" t="s">
        <v>122</v>
      </c>
      <c r="BN29" s="8">
        <v>0</v>
      </c>
      <c r="BP29" s="18" t="s">
        <v>123</v>
      </c>
      <c r="BQ29" s="18">
        <v>242</v>
      </c>
      <c r="BR29" s="3" t="s">
        <v>1003</v>
      </c>
      <c r="BS29" s="8">
        <f>AEGBS!F44</f>
        <v>-428482.13</v>
      </c>
      <c r="BU29" s="18"/>
      <c r="BV29" s="18"/>
      <c r="BW29" s="3" t="s">
        <v>1004</v>
      </c>
      <c r="BX29" s="8">
        <f>IF(AEGBS!F99&gt;0,AEGBS!F99,AEGBS!F99*-1)</f>
        <v>6366</v>
      </c>
      <c r="BZ29" s="18"/>
      <c r="CA29" s="18"/>
      <c r="CB29" s="3" t="s">
        <v>1604</v>
      </c>
      <c r="CC29" s="8">
        <f>SUM(CC21:CC27)</f>
        <v>0</v>
      </c>
      <c r="CE29" s="18" t="s">
        <v>1583</v>
      </c>
      <c r="CF29" s="18"/>
      <c r="CG29" s="96" t="s">
        <v>843</v>
      </c>
      <c r="CJ29" s="18"/>
      <c r="CK29" s="18"/>
      <c r="CL29" s="96" t="s">
        <v>844</v>
      </c>
      <c r="CO29" s="18" t="s">
        <v>724</v>
      </c>
      <c r="CP29" s="3" t="s">
        <v>1152</v>
      </c>
      <c r="CQ29" s="155">
        <f>ROUND((CQ18/CQ23),6)</f>
        <v>0.477944</v>
      </c>
      <c r="CS29" s="18">
        <v>512</v>
      </c>
      <c r="CT29" s="3" t="s">
        <v>1642</v>
      </c>
      <c r="CU29" s="8">
        <f>EXPENSES!J57</f>
        <v>372983.48</v>
      </c>
      <c r="CX29" s="18">
        <v>910</v>
      </c>
      <c r="CY29" s="3" t="s">
        <v>697</v>
      </c>
    </row>
    <row r="30" spans="1:104" ht="15.75">
      <c r="A30" s="3"/>
      <c r="B30" s="3" t="s">
        <v>1353</v>
      </c>
      <c r="C30" s="8">
        <f>SUM(K18)</f>
        <v>66599</v>
      </c>
      <c r="E30" s="3"/>
      <c r="F30" s="3" t="s">
        <v>1353</v>
      </c>
      <c r="G30" s="8">
        <f>SUM(L18)</f>
        <v>155399</v>
      </c>
      <c r="I30" s="3" t="s">
        <v>642</v>
      </c>
      <c r="J30" s="8">
        <f>J20+SUM(J22:J28)</f>
        <v>12172632.895000001</v>
      </c>
      <c r="K30" s="8">
        <f>K20+SUM(K22:K28)</f>
        <v>3651790.67</v>
      </c>
      <c r="L30" s="8">
        <f>L20+SUM(L22:L28)</f>
        <v>8520842.225</v>
      </c>
      <c r="M30" s="152"/>
      <c r="N30" s="8"/>
      <c r="O30" s="18">
        <v>13</v>
      </c>
      <c r="P30" s="3" t="s">
        <v>990</v>
      </c>
      <c r="Q30" s="8">
        <f>SUM((U31+U50))</f>
        <v>39088244</v>
      </c>
      <c r="R30" s="158"/>
      <c r="S30" s="18">
        <v>12</v>
      </c>
      <c r="T30" s="26" t="s">
        <v>199</v>
      </c>
      <c r="U30" s="8">
        <f>AEGBS!E196</f>
        <v>3960742.76</v>
      </c>
      <c r="V30" s="8"/>
      <c r="W30" s="18"/>
      <c r="Z30" s="8"/>
      <c r="AA30" s="18" t="s">
        <v>1513</v>
      </c>
      <c r="AB30" s="3" t="s">
        <v>1659</v>
      </c>
      <c r="AC30" s="155">
        <f>ROUND((AC20/AC22),6)</f>
        <v>0</v>
      </c>
      <c r="AD30" s="8"/>
      <c r="AE30" s="18"/>
      <c r="AG30" s="59" t="s">
        <v>1072</v>
      </c>
      <c r="AI30" s="18"/>
      <c r="AN30" s="18"/>
      <c r="AO30" s="18"/>
      <c r="AQ30" s="16" t="s">
        <v>1072</v>
      </c>
      <c r="AS30" s="153"/>
      <c r="AV30" s="16" t="s">
        <v>1569</v>
      </c>
      <c r="BC30" s="18"/>
      <c r="BJ30" s="8"/>
      <c r="BK30" s="18"/>
      <c r="BL30" s="18"/>
      <c r="BP30" s="18"/>
      <c r="BQ30" s="18"/>
      <c r="BS30" s="16" t="s">
        <v>1072</v>
      </c>
      <c r="BU30" s="18">
        <v>38</v>
      </c>
      <c r="BV30" s="18" t="s">
        <v>698</v>
      </c>
      <c r="BW30" s="3" t="s">
        <v>813</v>
      </c>
      <c r="BZ30" s="18"/>
      <c r="CA30" s="18"/>
      <c r="CC30" s="16" t="s">
        <v>1072</v>
      </c>
      <c r="CE30" s="18"/>
      <c r="CF30" s="18"/>
      <c r="CJ30" s="18" t="s">
        <v>1884</v>
      </c>
      <c r="CK30" s="18">
        <v>231.02</v>
      </c>
      <c r="CL30" s="3" t="s">
        <v>493</v>
      </c>
      <c r="CM30" s="8">
        <f>AEGBS!D166</f>
        <v>0</v>
      </c>
      <c r="CO30" s="18" t="s">
        <v>42</v>
      </c>
      <c r="CP30" s="3" t="s">
        <v>571</v>
      </c>
      <c r="CQ30" s="155">
        <f>ROUND((CQ19/CQ23),6)</f>
        <v>0</v>
      </c>
      <c r="CS30" s="18">
        <v>513</v>
      </c>
      <c r="CT30" s="3" t="s">
        <v>1649</v>
      </c>
      <c r="CU30" s="8">
        <f>EXPENSES!J58</f>
        <v>145011.08</v>
      </c>
      <c r="CX30" s="18"/>
      <c r="CY30" s="3" t="s">
        <v>99</v>
      </c>
      <c r="CZ30" s="8">
        <v>0</v>
      </c>
    </row>
    <row r="31" spans="1:102" ht="15.75">
      <c r="A31" s="3"/>
      <c r="B31" s="3"/>
      <c r="C31" s="16" t="s">
        <v>1072</v>
      </c>
      <c r="E31" s="3"/>
      <c r="F31" s="3"/>
      <c r="G31" s="16" t="s">
        <v>1072</v>
      </c>
      <c r="I31" s="3"/>
      <c r="J31" s="59" t="s">
        <v>1569</v>
      </c>
      <c r="K31" s="59" t="s">
        <v>1569</v>
      </c>
      <c r="L31" s="59" t="s">
        <v>1569</v>
      </c>
      <c r="M31" s="157"/>
      <c r="N31" s="8"/>
      <c r="O31" s="18">
        <v>14</v>
      </c>
      <c r="P31" s="3" t="s">
        <v>1582</v>
      </c>
      <c r="Q31" s="8">
        <f>SUM((U32+U51))</f>
        <v>49304191.68</v>
      </c>
      <c r="R31" s="158"/>
      <c r="S31" s="18">
        <v>13</v>
      </c>
      <c r="T31" s="3" t="s">
        <v>990</v>
      </c>
      <c r="U31" s="8">
        <f>SUM(BS39)</f>
        <v>232123</v>
      </c>
      <c r="V31" s="8"/>
      <c r="W31" s="18"/>
      <c r="Z31" s="8"/>
      <c r="AA31" s="18"/>
      <c r="AC31" s="59" t="s">
        <v>1072</v>
      </c>
      <c r="AD31" s="8"/>
      <c r="AE31" s="18" t="s">
        <v>643</v>
      </c>
      <c r="AF31" s="3" t="s">
        <v>1826</v>
      </c>
      <c r="AG31" s="8">
        <f>ROUND((AG28+AG29),0)</f>
        <v>22036062</v>
      </c>
      <c r="AI31" s="18">
        <v>8</v>
      </c>
      <c r="AJ31" s="18">
        <v>411.8</v>
      </c>
      <c r="AK31" s="3" t="s">
        <v>849</v>
      </c>
      <c r="AL31" s="8">
        <v>0</v>
      </c>
      <c r="AM31" s="8"/>
      <c r="AN31" s="18" t="s">
        <v>731</v>
      </c>
      <c r="AO31" s="18"/>
      <c r="AP31" s="3" t="s">
        <v>1896</v>
      </c>
      <c r="AQ31" s="8">
        <f>SUM((AQ28+AQ29))</f>
        <v>0</v>
      </c>
      <c r="AS31" s="153">
        <v>7</v>
      </c>
      <c r="AT31" s="160">
        <v>411.1</v>
      </c>
      <c r="AU31" s="26" t="s">
        <v>196</v>
      </c>
      <c r="AV31" s="20">
        <f>EXPENSES!E87</f>
        <v>20693.135</v>
      </c>
      <c r="BC31" s="18">
        <v>6</v>
      </c>
      <c r="BE31" s="96" t="s">
        <v>1572</v>
      </c>
      <c r="BJ31" s="8"/>
      <c r="BK31" s="18" t="s">
        <v>6</v>
      </c>
      <c r="BL31" s="18"/>
      <c r="BM31" s="96" t="s">
        <v>1827</v>
      </c>
      <c r="BP31" s="18" t="s">
        <v>1828</v>
      </c>
      <c r="BQ31" s="18"/>
      <c r="BR31" s="3" t="s">
        <v>986</v>
      </c>
      <c r="BS31" s="8">
        <f>SUM(BS16:BS29)</f>
        <v>-2936720.3899999987</v>
      </c>
      <c r="BU31" s="18"/>
      <c r="BV31" s="18"/>
      <c r="BW31" s="3" t="s">
        <v>1198</v>
      </c>
      <c r="BX31" s="8">
        <v>0</v>
      </c>
      <c r="BZ31" s="18" t="s">
        <v>731</v>
      </c>
      <c r="CA31" s="18"/>
      <c r="CB31" s="96" t="s">
        <v>663</v>
      </c>
      <c r="CE31" s="18" t="s">
        <v>1199</v>
      </c>
      <c r="CF31" s="18">
        <v>207</v>
      </c>
      <c r="CG31" s="3" t="s">
        <v>1200</v>
      </c>
      <c r="CH31" s="8">
        <v>0</v>
      </c>
      <c r="CJ31" s="18" t="s">
        <v>1885</v>
      </c>
      <c r="CK31" s="18">
        <v>231.03</v>
      </c>
      <c r="CL31" s="3" t="s">
        <v>1739</v>
      </c>
      <c r="CM31" s="8">
        <v>0</v>
      </c>
      <c r="CO31" s="18" t="s">
        <v>643</v>
      </c>
      <c r="CP31" s="3" t="s">
        <v>1153</v>
      </c>
      <c r="CQ31" s="155">
        <f>ROUND((CQ20/CQ23),6)</f>
        <v>0.312595</v>
      </c>
      <c r="CS31" s="18">
        <v>514</v>
      </c>
      <c r="CT31" s="3" t="s">
        <v>850</v>
      </c>
      <c r="CU31" s="8">
        <f>EXPENSES!J59</f>
        <v>73648.37</v>
      </c>
      <c r="CX31" s="18"/>
    </row>
    <row r="32" spans="1:104" ht="15.75">
      <c r="A32" s="3"/>
      <c r="B32" s="3" t="s">
        <v>766</v>
      </c>
      <c r="C32" s="8">
        <f>SUM(K20)</f>
        <v>305469</v>
      </c>
      <c r="E32" s="3"/>
      <c r="F32" s="3" t="s">
        <v>766</v>
      </c>
      <c r="G32" s="8">
        <f>SUM(L20)</f>
        <v>712763</v>
      </c>
      <c r="I32" s="96" t="s">
        <v>429</v>
      </c>
      <c r="J32" s="3"/>
      <c r="K32" s="3"/>
      <c r="L32" s="3"/>
      <c r="M32" s="151"/>
      <c r="N32" s="3"/>
      <c r="O32" s="18">
        <v>15</v>
      </c>
      <c r="P32" s="3" t="s">
        <v>814</v>
      </c>
      <c r="Q32" s="8">
        <f>SUM((U33+U52))</f>
        <v>13632137</v>
      </c>
      <c r="R32" s="158"/>
      <c r="S32" s="18">
        <v>14</v>
      </c>
      <c r="T32" s="3" t="s">
        <v>1582</v>
      </c>
      <c r="U32" s="8">
        <f>SUM(BX26)</f>
        <v>49844859.63324</v>
      </c>
      <c r="V32" s="8"/>
      <c r="W32" s="18" t="s">
        <v>1513</v>
      </c>
      <c r="X32" s="96" t="s">
        <v>38</v>
      </c>
      <c r="Z32" s="3"/>
      <c r="AA32" s="18" t="s">
        <v>724</v>
      </c>
      <c r="AB32" s="3" t="s">
        <v>1740</v>
      </c>
      <c r="AC32" s="155">
        <v>1</v>
      </c>
      <c r="AD32" s="8"/>
      <c r="AE32" s="18"/>
      <c r="AG32" s="59" t="s">
        <v>1072</v>
      </c>
      <c r="AM32" s="8"/>
      <c r="AN32" s="18"/>
      <c r="AO32" s="18"/>
      <c r="AQ32" s="16" t="s">
        <v>1072</v>
      </c>
      <c r="AS32" s="153"/>
      <c r="AT32" s="160"/>
      <c r="AU32" s="26"/>
      <c r="AV32" s="16"/>
      <c r="BC32" s="18"/>
      <c r="BF32" s="3" t="s">
        <v>1554</v>
      </c>
      <c r="BJ32" s="8"/>
      <c r="BK32" s="18"/>
      <c r="BL32" s="18"/>
      <c r="BP32" s="18"/>
      <c r="BQ32" s="18"/>
      <c r="BS32" s="16" t="s">
        <v>1569</v>
      </c>
      <c r="BU32" s="18">
        <v>39</v>
      </c>
      <c r="BV32" s="18"/>
      <c r="BW32" s="3" t="s">
        <v>635</v>
      </c>
      <c r="BX32" s="16" t="s">
        <v>1072</v>
      </c>
      <c r="BZ32" s="18"/>
      <c r="CA32" s="18"/>
      <c r="CE32" s="18" t="s">
        <v>1737</v>
      </c>
      <c r="CF32" s="18">
        <v>208</v>
      </c>
      <c r="CG32" s="3" t="s">
        <v>1738</v>
      </c>
      <c r="CH32" s="8">
        <f>AEGBS!D155</f>
        <v>92228987.11</v>
      </c>
      <c r="CJ32" s="18">
        <v>37</v>
      </c>
      <c r="CK32" s="161">
        <v>233</v>
      </c>
      <c r="CL32" s="3" t="s">
        <v>1299</v>
      </c>
      <c r="CM32" s="8">
        <f>AEGBS!D170</f>
        <v>144166601.07</v>
      </c>
      <c r="CO32" s="18" t="s">
        <v>39</v>
      </c>
      <c r="CP32" s="3" t="s">
        <v>951</v>
      </c>
      <c r="CQ32" s="155">
        <f>(SUM(CQ28:CQ31))-1</f>
        <v>9.999999999177334E-07</v>
      </c>
      <c r="CS32" s="18">
        <v>515</v>
      </c>
      <c r="CT32" s="3" t="s">
        <v>1829</v>
      </c>
      <c r="CU32" s="8">
        <f>EXPENSES!J60</f>
        <v>0</v>
      </c>
      <c r="CX32" s="18"/>
      <c r="CY32" s="3" t="s">
        <v>428</v>
      </c>
      <c r="CZ32" s="8">
        <f>CZ24+CZ25+CZ26+CZ28+CZ30</f>
        <v>0</v>
      </c>
    </row>
    <row r="33" spans="1:102" ht="15">
      <c r="A33" s="3"/>
      <c r="B33" s="3"/>
      <c r="C33" s="3"/>
      <c r="E33" s="3"/>
      <c r="F33" s="3"/>
      <c r="G33" s="3"/>
      <c r="I33" s="3"/>
      <c r="J33" s="3"/>
      <c r="K33" s="3"/>
      <c r="L33" s="3"/>
      <c r="M33" s="151"/>
      <c r="N33" s="3"/>
      <c r="O33" s="18"/>
      <c r="P33" s="3"/>
      <c r="Q33" s="16" t="s">
        <v>1072</v>
      </c>
      <c r="R33" s="158"/>
      <c r="S33" s="18">
        <v>15</v>
      </c>
      <c r="T33" s="3" t="s">
        <v>814</v>
      </c>
      <c r="U33" s="8">
        <f>SUM(BX33)</f>
        <v>6366</v>
      </c>
      <c r="V33" s="8"/>
      <c r="W33" s="18"/>
      <c r="Z33" s="3"/>
      <c r="AA33" s="18"/>
      <c r="AC33" s="59" t="s">
        <v>1569</v>
      </c>
      <c r="AD33" s="8"/>
      <c r="AE33" s="18"/>
      <c r="AJ33" s="18"/>
      <c r="AL33" s="16" t="s">
        <v>1072</v>
      </c>
      <c r="AM33" s="8"/>
      <c r="AN33" s="18" t="s">
        <v>943</v>
      </c>
      <c r="AO33" s="18" t="s">
        <v>430</v>
      </c>
      <c r="AP33" s="3" t="s">
        <v>695</v>
      </c>
      <c r="AQ33" s="8">
        <f>SUM(CZ22)</f>
        <v>0</v>
      </c>
      <c r="AS33" s="153">
        <v>8</v>
      </c>
      <c r="AU33" s="6" t="s">
        <v>197</v>
      </c>
      <c r="AV33" s="20">
        <f>AV29+AV31</f>
        <v>1869848.515</v>
      </c>
      <c r="BC33" s="18"/>
      <c r="BJ33" s="8"/>
      <c r="BK33" s="18" t="s">
        <v>123</v>
      </c>
      <c r="BL33" s="18">
        <v>108</v>
      </c>
      <c r="BM33" s="3" t="s">
        <v>507</v>
      </c>
      <c r="BP33" s="18"/>
      <c r="BQ33" s="18"/>
      <c r="BU33" s="18"/>
      <c r="BV33" s="18"/>
      <c r="BW33" s="3" t="s">
        <v>1845</v>
      </c>
      <c r="BX33" s="8">
        <f>SUM((BX29-BX31))</f>
        <v>6366</v>
      </c>
      <c r="BZ33" s="18" t="s">
        <v>943</v>
      </c>
      <c r="CA33" s="18">
        <v>190</v>
      </c>
      <c r="CB33" s="3" t="s">
        <v>971</v>
      </c>
      <c r="CC33" s="8">
        <v>0</v>
      </c>
      <c r="CE33" s="18" t="s">
        <v>1679</v>
      </c>
      <c r="CF33" s="18">
        <v>211</v>
      </c>
      <c r="CG33" s="3" t="s">
        <v>1680</v>
      </c>
      <c r="CH33" s="8">
        <v>0</v>
      </c>
      <c r="CJ33" s="18"/>
      <c r="CK33" s="18"/>
      <c r="CM33" s="16" t="s">
        <v>1072</v>
      </c>
      <c r="CO33" s="18"/>
      <c r="CQ33" s="59" t="s">
        <v>1072</v>
      </c>
      <c r="CS33" s="18"/>
      <c r="CX33" s="18"/>
    </row>
    <row r="34" spans="1:104" ht="15">
      <c r="A34" s="3"/>
      <c r="B34" s="3" t="s">
        <v>1651</v>
      </c>
      <c r="C34" s="8">
        <f aca="true" t="shared" si="1" ref="C34:C39">SUM(K22)</f>
        <v>1714148.67</v>
      </c>
      <c r="E34" s="3"/>
      <c r="F34" s="3" t="s">
        <v>1651</v>
      </c>
      <c r="G34" s="8">
        <f>SUM((L22+L23))</f>
        <v>3999680.22</v>
      </c>
      <c r="I34" s="3" t="s">
        <v>647</v>
      </c>
      <c r="J34" s="8">
        <f>SUM(J20)</f>
        <v>1018232</v>
      </c>
      <c r="K34" s="8">
        <f>SUM(K20)</f>
        <v>305469</v>
      </c>
      <c r="L34" s="8">
        <f>SUM(L20)</f>
        <v>712763</v>
      </c>
      <c r="M34" s="152"/>
      <c r="N34" s="8"/>
      <c r="O34" s="18">
        <v>16</v>
      </c>
      <c r="P34" s="3" t="s">
        <v>1736</v>
      </c>
      <c r="Q34" s="8">
        <f>SUM(((((((((((Q20-Q21)+Q22)+Q23)+Q24)+Q25)+Q26)+Q27)-Q30)-Q31)-Q32))+Q28-Q29</f>
        <v>246658551.66999993</v>
      </c>
      <c r="R34" s="158"/>
      <c r="S34" s="18"/>
      <c r="U34" s="16" t="s">
        <v>1072</v>
      </c>
      <c r="V34" s="8"/>
      <c r="W34" s="18" t="s">
        <v>724</v>
      </c>
      <c r="X34" s="3" t="s">
        <v>705</v>
      </c>
      <c r="Y34" s="8">
        <f>IF((Y23&lt;Y29),Y23,Y29)</f>
        <v>94290819.51</v>
      </c>
      <c r="Z34" s="8"/>
      <c r="AA34" s="18"/>
      <c r="AD34" s="8"/>
      <c r="AE34" s="18" t="s">
        <v>39</v>
      </c>
      <c r="AF34" s="96" t="s">
        <v>1681</v>
      </c>
      <c r="AI34" s="18">
        <v>9</v>
      </c>
      <c r="AJ34" s="18"/>
      <c r="AK34" s="3" t="s">
        <v>233</v>
      </c>
      <c r="AL34" s="8">
        <f>AL15+AL17+AL19+AL22+AL25+AL27+AL29+AL31</f>
        <v>-8750</v>
      </c>
      <c r="AM34" s="8"/>
      <c r="AN34" s="18"/>
      <c r="AO34" s="18"/>
      <c r="AQ34" s="16" t="s">
        <v>1072</v>
      </c>
      <c r="BC34" s="18">
        <v>7</v>
      </c>
      <c r="BD34" s="18" t="s">
        <v>1844</v>
      </c>
      <c r="BE34" s="3" t="s">
        <v>646</v>
      </c>
      <c r="BJ34" s="8"/>
      <c r="BK34" s="18"/>
      <c r="BL34" s="18"/>
      <c r="BM34" s="3" t="s">
        <v>651</v>
      </c>
      <c r="BN34" s="8">
        <f>IF(AEGBS!F13&gt;0,AEGBS!F13,AEGBS!F13*-1)</f>
        <v>447224094.66</v>
      </c>
      <c r="BP34" s="18"/>
      <c r="BQ34" s="18"/>
      <c r="BU34" s="18">
        <v>40</v>
      </c>
      <c r="BV34" s="18"/>
      <c r="BW34" s="3" t="s">
        <v>1657</v>
      </c>
      <c r="BX34" s="16" t="s">
        <v>1072</v>
      </c>
      <c r="BZ34" s="18" t="s">
        <v>6</v>
      </c>
      <c r="CA34" s="18">
        <v>281</v>
      </c>
      <c r="CB34" s="3" t="s">
        <v>593</v>
      </c>
      <c r="CE34" s="18" t="s">
        <v>609</v>
      </c>
      <c r="CF34" s="18">
        <v>213</v>
      </c>
      <c r="CG34" s="3" t="s">
        <v>812</v>
      </c>
      <c r="CH34" s="8">
        <v>0</v>
      </c>
      <c r="CJ34" s="18">
        <v>38</v>
      </c>
      <c r="CK34" s="18"/>
      <c r="CL34" s="3" t="s">
        <v>169</v>
      </c>
      <c r="CM34" s="8">
        <f>CM30-CM31+CM32</f>
        <v>144166601.07</v>
      </c>
      <c r="CO34" s="18" t="s">
        <v>1842</v>
      </c>
      <c r="CP34" s="3" t="s">
        <v>1843</v>
      </c>
      <c r="CQ34" s="155">
        <f>(SUM(CQ28:CQ31))-CQ32</f>
        <v>1</v>
      </c>
      <c r="CS34" s="18"/>
      <c r="CX34" s="18">
        <v>911</v>
      </c>
      <c r="CY34" s="3" t="s">
        <v>1766</v>
      </c>
      <c r="CZ34" s="8">
        <v>0</v>
      </c>
    </row>
    <row r="35" spans="1:126" ht="15">
      <c r="A35" s="3"/>
      <c r="B35" s="3" t="s">
        <v>839</v>
      </c>
      <c r="C35" s="8">
        <f t="shared" si="1"/>
        <v>0</v>
      </c>
      <c r="E35" s="3"/>
      <c r="F35" s="3" t="s">
        <v>839</v>
      </c>
      <c r="G35" s="8">
        <f>SUM(L23)</f>
        <v>0</v>
      </c>
      <c r="I35" s="3" t="s">
        <v>980</v>
      </c>
      <c r="J35" s="8">
        <f>SUM(BF28)</f>
        <v>-3251756.66</v>
      </c>
      <c r="K35" s="8">
        <f>SUM(BG28)</f>
        <v>-975527</v>
      </c>
      <c r="L35" s="8">
        <f>SUM(BH28)</f>
        <v>-2276230</v>
      </c>
      <c r="M35" s="152"/>
      <c r="N35" s="8"/>
      <c r="O35" s="18"/>
      <c r="P35" s="3"/>
      <c r="Q35" s="16" t="s">
        <v>1072</v>
      </c>
      <c r="R35" s="158"/>
      <c r="S35" s="18">
        <v>16</v>
      </c>
      <c r="T35" s="3" t="s">
        <v>1678</v>
      </c>
      <c r="U35" s="8">
        <f>SUM(((((((((((U21-U22)+U23)+U24)+U25)+U26)+U27)+U28)-U31)-U32)-U33))+U29-U30</f>
        <v>258437700.97176003</v>
      </c>
      <c r="V35" s="8"/>
      <c r="W35" s="18" t="s">
        <v>42</v>
      </c>
      <c r="X35" s="3" t="s">
        <v>721</v>
      </c>
      <c r="Y35" s="162">
        <v>0.0101333</v>
      </c>
      <c r="Z35" s="8"/>
      <c r="AA35" s="18" t="s">
        <v>42</v>
      </c>
      <c r="AB35" s="96" t="s">
        <v>1322</v>
      </c>
      <c r="AD35" s="8"/>
      <c r="AE35" s="18"/>
      <c r="AL35" s="16" t="s">
        <v>1569</v>
      </c>
      <c r="AM35" s="8"/>
      <c r="AN35" s="18" t="s">
        <v>6</v>
      </c>
      <c r="AO35" s="18" t="s">
        <v>648</v>
      </c>
      <c r="AP35" s="3" t="s">
        <v>649</v>
      </c>
      <c r="BC35" s="18"/>
      <c r="BE35" s="3" t="s">
        <v>10</v>
      </c>
      <c r="BF35" s="109">
        <f>IF(INSTRUCTIONS!$L$29="ESTIMATE",TXPG12RV!G43,IF(INSTRUCTIONS!$L$29="ACTUAL",TXPG12RV!I43,"SEE NOTE"))</f>
        <v>1578249</v>
      </c>
      <c r="BG35" s="8">
        <f>ROUND(SUM((BF35*INSTRUCTIONS!$M$20)),0)</f>
        <v>473475</v>
      </c>
      <c r="BH35" s="8">
        <f>ROUND(BF35-BG35,0)</f>
        <v>1104774</v>
      </c>
      <c r="BI35" s="8"/>
      <c r="BJ35" s="8"/>
      <c r="BK35" s="18" t="s">
        <v>1828</v>
      </c>
      <c r="BL35" s="18">
        <v>110</v>
      </c>
      <c r="BM35" s="3" t="s">
        <v>507</v>
      </c>
      <c r="BP35" s="18"/>
      <c r="BQ35" s="18"/>
      <c r="BU35" s="18"/>
      <c r="BV35" s="18"/>
      <c r="BW35" s="3" t="s">
        <v>650</v>
      </c>
      <c r="BX35" s="8">
        <f>SUM(((((((((((BN27+BN29)-BN46)+BN58)+BN60)+BN62)+BS31)+BS37)-BS39)-BX26)-BX33))</f>
        <v>261060527.66676003</v>
      </c>
      <c r="BZ35" s="18"/>
      <c r="CA35" s="18"/>
      <c r="CB35" s="3" t="s">
        <v>1296</v>
      </c>
      <c r="CC35" s="8">
        <v>0</v>
      </c>
      <c r="CE35" s="18"/>
      <c r="CF35" s="18"/>
      <c r="CH35" s="16" t="s">
        <v>1072</v>
      </c>
      <c r="CJ35" s="18"/>
      <c r="CK35" s="18"/>
      <c r="CM35" s="16" t="s">
        <v>1072</v>
      </c>
      <c r="CO35" s="18"/>
      <c r="CQ35" s="59" t="s">
        <v>1569</v>
      </c>
      <c r="CS35" s="18"/>
      <c r="CT35" s="18" t="s">
        <v>1778</v>
      </c>
      <c r="CU35" s="8">
        <f>SUM(CU27:CU32)</f>
        <v>697595.2699999999</v>
      </c>
      <c r="CX35" s="18">
        <v>912</v>
      </c>
      <c r="CY35" s="3" t="s">
        <v>302</v>
      </c>
      <c r="CZ35" s="8">
        <v>0</v>
      </c>
      <c r="DV35" s="8"/>
    </row>
    <row r="36" spans="1:126" ht="15.75">
      <c r="A36" s="3"/>
      <c r="B36" s="3" t="s">
        <v>840</v>
      </c>
      <c r="C36" s="8">
        <f t="shared" si="1"/>
        <v>-2625</v>
      </c>
      <c r="E36" s="3"/>
      <c r="F36" s="3" t="s">
        <v>840</v>
      </c>
      <c r="G36" s="8">
        <f>SUM(L24)</f>
        <v>-6125</v>
      </c>
      <c r="I36" s="3" t="s">
        <v>1185</v>
      </c>
      <c r="J36" s="8">
        <f>SUM(BF55)</f>
        <v>1556576.76</v>
      </c>
      <c r="K36" s="8">
        <f>SUM(BG55)</f>
        <v>466973</v>
      </c>
      <c r="L36" s="8">
        <f>SUM(BH55)</f>
        <v>1089603</v>
      </c>
      <c r="M36" s="152"/>
      <c r="N36" s="8"/>
      <c r="O36" s="18">
        <v>17</v>
      </c>
      <c r="P36" s="96" t="s">
        <v>608</v>
      </c>
      <c r="Q36" s="3"/>
      <c r="R36" s="158"/>
      <c r="S36" s="18"/>
      <c r="U36" s="16" t="s">
        <v>1072</v>
      </c>
      <c r="V36" s="8"/>
      <c r="W36" s="18" t="s">
        <v>643</v>
      </c>
      <c r="X36" s="3" t="s">
        <v>168</v>
      </c>
      <c r="Y36" s="8">
        <f>ROUND((Y34*Y35),0)</f>
        <v>955477</v>
      </c>
      <c r="Z36" s="8"/>
      <c r="AA36" s="18"/>
      <c r="AD36" s="8"/>
      <c r="AE36" s="18" t="s">
        <v>1842</v>
      </c>
      <c r="AF36" s="3" t="s">
        <v>555</v>
      </c>
      <c r="AG36" s="8">
        <v>1641654.5</v>
      </c>
      <c r="AM36" s="8"/>
      <c r="AN36" s="18"/>
      <c r="AO36" s="18"/>
      <c r="AP36" s="163" t="s">
        <v>128</v>
      </c>
      <c r="AQ36" s="8">
        <f>SUM(CZ32)</f>
        <v>0</v>
      </c>
      <c r="BC36" s="18"/>
      <c r="BF36" s="3" t="s">
        <v>1554</v>
      </c>
      <c r="BJ36" s="8"/>
      <c r="BK36" s="18"/>
      <c r="BL36" s="18"/>
      <c r="BM36" s="3" t="s">
        <v>1773</v>
      </c>
      <c r="BN36" s="8">
        <v>0</v>
      </c>
      <c r="BP36" s="18"/>
      <c r="BQ36" s="18"/>
      <c r="BU36" s="18"/>
      <c r="BV36" s="18"/>
      <c r="BX36" s="16" t="s">
        <v>1569</v>
      </c>
      <c r="BZ36" s="18" t="s">
        <v>123</v>
      </c>
      <c r="CA36" s="18">
        <v>282</v>
      </c>
      <c r="CB36" s="3" t="s">
        <v>593</v>
      </c>
      <c r="CE36" s="18" t="s">
        <v>1075</v>
      </c>
      <c r="CF36" s="18"/>
      <c r="CG36" s="3" t="s">
        <v>463</v>
      </c>
      <c r="CH36" s="8">
        <f>SUM(CH31:CH34)</f>
        <v>92228987.11</v>
      </c>
      <c r="CJ36" s="18">
        <v>39</v>
      </c>
      <c r="CK36" s="18"/>
      <c r="CL36" s="96" t="s">
        <v>167</v>
      </c>
      <c r="CO36" s="18" t="s">
        <v>899</v>
      </c>
      <c r="CP36" s="96" t="s">
        <v>985</v>
      </c>
      <c r="CS36" s="18"/>
      <c r="CX36" s="18">
        <v>913</v>
      </c>
      <c r="CY36" s="3" t="s">
        <v>212</v>
      </c>
      <c r="CZ36" s="8">
        <v>0</v>
      </c>
      <c r="DV36" s="8"/>
    </row>
    <row r="37" spans="1:126" ht="15">
      <c r="A37" s="3"/>
      <c r="B37" s="3" t="s">
        <v>781</v>
      </c>
      <c r="C37" s="8">
        <f t="shared" si="1"/>
        <v>705153</v>
      </c>
      <c r="E37" s="3"/>
      <c r="F37" s="3" t="s">
        <v>781</v>
      </c>
      <c r="G37" s="8">
        <f>SUM(L25)</f>
        <v>1645355.6000000006</v>
      </c>
      <c r="I37" s="3" t="s">
        <v>798</v>
      </c>
      <c r="J37" s="8">
        <f>ROUND((Y46+((Y58*Y62)*Y63)),0)</f>
        <v>221998</v>
      </c>
      <c r="K37" s="8">
        <f>ROUND((J37*INSTRUCTIONS!$M$20),0)</f>
        <v>66599</v>
      </c>
      <c r="L37" s="8">
        <f>SUM((J37-K37))</f>
        <v>155399</v>
      </c>
      <c r="M37" s="152"/>
      <c r="N37" s="8"/>
      <c r="O37" s="18"/>
      <c r="P37" s="3"/>
      <c r="Q37" s="3"/>
      <c r="R37" s="158"/>
      <c r="S37" s="18">
        <v>17</v>
      </c>
      <c r="T37" s="3" t="s">
        <v>303</v>
      </c>
      <c r="V37" s="8"/>
      <c r="W37" s="18" t="s">
        <v>39</v>
      </c>
      <c r="X37" s="3" t="s">
        <v>703</v>
      </c>
      <c r="Y37" s="164">
        <f>SUM(Q58)</f>
        <v>0.79532</v>
      </c>
      <c r="Z37" s="8"/>
      <c r="AA37" s="18"/>
      <c r="AD37" s="8"/>
      <c r="AE37" s="18" t="s">
        <v>899</v>
      </c>
      <c r="AF37" s="3" t="s">
        <v>846</v>
      </c>
      <c r="AG37" s="163">
        <v>6328.51</v>
      </c>
      <c r="AM37" s="8"/>
      <c r="AN37" s="18"/>
      <c r="AO37" s="18"/>
      <c r="AQ37" s="16" t="s">
        <v>1072</v>
      </c>
      <c r="BC37" s="18"/>
      <c r="BD37" s="18"/>
      <c r="BJ37" s="8"/>
      <c r="BK37" s="18" t="s">
        <v>848</v>
      </c>
      <c r="BL37" s="18">
        <v>111</v>
      </c>
      <c r="BM37" s="3" t="s">
        <v>522</v>
      </c>
      <c r="BP37" s="18" t="s">
        <v>848</v>
      </c>
      <c r="BQ37" s="18">
        <v>181</v>
      </c>
      <c r="BR37" s="3" t="s">
        <v>523</v>
      </c>
      <c r="BS37" s="8">
        <f>IF(AEGBS!F46&gt;0,AEGBS!F46,AEGBS!F46*-1)</f>
        <v>39486.01</v>
      </c>
      <c r="BU37" s="18"/>
      <c r="BV37" s="18"/>
      <c r="BZ37" s="18"/>
      <c r="CA37" s="18"/>
      <c r="CB37" s="3" t="s">
        <v>1175</v>
      </c>
      <c r="CC37" s="8">
        <v>0</v>
      </c>
      <c r="CE37" s="18"/>
      <c r="CF37" s="18"/>
      <c r="CH37" s="16" t="s">
        <v>1072</v>
      </c>
      <c r="CJ37" s="18"/>
      <c r="CK37" s="18"/>
      <c r="CO37" s="18"/>
      <c r="CS37" s="18" t="s">
        <v>704</v>
      </c>
      <c r="CT37" s="3" t="s">
        <v>534</v>
      </c>
      <c r="CU37" s="8">
        <f>EXPENSES!J64</f>
        <v>0</v>
      </c>
      <c r="CX37" s="18">
        <v>916</v>
      </c>
      <c r="CY37" s="3" t="s">
        <v>797</v>
      </c>
      <c r="CZ37" s="8">
        <v>0</v>
      </c>
      <c r="DQ37" s="8"/>
      <c r="DV37" s="8"/>
    </row>
    <row r="38" spans="1:126" ht="15">
      <c r="A38" s="3"/>
      <c r="B38" s="3" t="s">
        <v>141</v>
      </c>
      <c r="C38" s="8">
        <f t="shared" si="1"/>
        <v>560955</v>
      </c>
      <c r="E38" s="3"/>
      <c r="F38" s="3" t="s">
        <v>141</v>
      </c>
      <c r="G38" s="8">
        <f>SUM(L26)</f>
        <v>1308893.515</v>
      </c>
      <c r="I38" s="3"/>
      <c r="J38" s="165" t="s">
        <v>1072</v>
      </c>
      <c r="K38" s="165" t="s">
        <v>1072</v>
      </c>
      <c r="L38" s="165" t="s">
        <v>1072</v>
      </c>
      <c r="M38" s="166"/>
      <c r="N38" s="8"/>
      <c r="O38" s="18"/>
      <c r="P38" s="3"/>
      <c r="Q38" s="3"/>
      <c r="R38" s="158"/>
      <c r="S38" s="18"/>
      <c r="V38" s="8"/>
      <c r="W38" s="18" t="s">
        <v>1842</v>
      </c>
      <c r="X38" s="3" t="s">
        <v>975</v>
      </c>
      <c r="Y38" s="164">
        <f>ROUND((U35/U56),4)</f>
        <v>1.0478</v>
      </c>
      <c r="Z38" s="165"/>
      <c r="AA38" s="18" t="s">
        <v>643</v>
      </c>
      <c r="AB38" s="3" t="s">
        <v>394</v>
      </c>
      <c r="AC38" s="155">
        <f>(+WTAVE!H31)*0.01</f>
        <v>0.021672632292996822</v>
      </c>
      <c r="AD38" s="167"/>
      <c r="AE38" s="18" t="s">
        <v>43</v>
      </c>
      <c r="AF38" s="3" t="s">
        <v>1527</v>
      </c>
      <c r="AG38" s="168">
        <f>ROUND((AG36/AG37),2)</f>
        <v>259.41</v>
      </c>
      <c r="AN38" s="18" t="s">
        <v>123</v>
      </c>
      <c r="AO38" s="18" t="s">
        <v>803</v>
      </c>
      <c r="AP38" s="163" t="s">
        <v>1508</v>
      </c>
      <c r="AQ38" s="8">
        <f>SUM(CZ40)</f>
        <v>0</v>
      </c>
      <c r="BC38" s="18"/>
      <c r="BF38" s="109"/>
      <c r="BG38" s="8"/>
      <c r="BH38" s="8"/>
      <c r="BI38" s="8"/>
      <c r="BJ38" s="8"/>
      <c r="BK38" s="18"/>
      <c r="BL38" s="18"/>
      <c r="BM38" s="3" t="s">
        <v>651</v>
      </c>
      <c r="BN38" s="8">
        <f>IF(AEGBS!F14&gt;0,AEGBS!F14,AEGBS!F14*-1)</f>
        <v>127900.38</v>
      </c>
      <c r="BP38" s="18"/>
      <c r="BQ38" s="18"/>
      <c r="BS38" s="16" t="s">
        <v>1072</v>
      </c>
      <c r="BU38" s="18"/>
      <c r="BV38" s="18"/>
      <c r="BZ38" s="18" t="s">
        <v>1828</v>
      </c>
      <c r="CA38" s="18">
        <v>283</v>
      </c>
      <c r="CB38" s="3" t="s">
        <v>593</v>
      </c>
      <c r="CE38" s="18" t="s">
        <v>1509</v>
      </c>
      <c r="CF38" s="18"/>
      <c r="CG38" s="96" t="s">
        <v>941</v>
      </c>
      <c r="CJ38" s="18">
        <v>40</v>
      </c>
      <c r="CK38" s="18">
        <v>132</v>
      </c>
      <c r="CL38" s="3" t="s">
        <v>942</v>
      </c>
      <c r="CM38" s="8">
        <f>AEGBS!D149</f>
        <v>0</v>
      </c>
      <c r="CO38" s="18" t="s">
        <v>43</v>
      </c>
      <c r="CP38" s="3" t="s">
        <v>1154</v>
      </c>
      <c r="CQ38" s="155">
        <f>SUM(AC38)</f>
        <v>0.021672632292996822</v>
      </c>
      <c r="CS38" s="18" t="s">
        <v>976</v>
      </c>
      <c r="CT38" s="3" t="s">
        <v>977</v>
      </c>
      <c r="CU38" s="8">
        <f>EXPENSES!J65</f>
        <v>426.25</v>
      </c>
      <c r="CX38" s="18">
        <v>917</v>
      </c>
      <c r="CY38" s="3" t="s">
        <v>978</v>
      </c>
      <c r="CZ38" s="8">
        <v>0</v>
      </c>
      <c r="DV38" s="8"/>
    </row>
    <row r="39" spans="1:126" ht="15">
      <c r="A39" s="3"/>
      <c r="B39" s="3" t="s">
        <v>136</v>
      </c>
      <c r="C39" s="8">
        <f t="shared" si="1"/>
        <v>46931</v>
      </c>
      <c r="E39" s="3"/>
      <c r="F39" s="3" t="s">
        <v>136</v>
      </c>
      <c r="G39" s="8">
        <f>SUM(L27)</f>
        <v>109505.89000000001</v>
      </c>
      <c r="I39" s="3" t="s">
        <v>1235</v>
      </c>
      <c r="J39" s="8">
        <f>TRUNC((((J34+J35)+J36)-J37))</f>
        <v>-898945</v>
      </c>
      <c r="K39" s="8">
        <f>TRUNC((((K34+K35)+K36)-K37))</f>
        <v>-269684</v>
      </c>
      <c r="L39" s="8">
        <f>TRUNC((((L34+L35)+L36)-L37))</f>
        <v>-629263</v>
      </c>
      <c r="M39" s="152"/>
      <c r="N39" s="8"/>
      <c r="O39" s="18">
        <v>18</v>
      </c>
      <c r="P39" s="3" t="s">
        <v>524</v>
      </c>
      <c r="Q39" s="8">
        <f>SUM(CC16)</f>
        <v>56896913.3</v>
      </c>
      <c r="R39" s="158"/>
      <c r="S39" s="18"/>
      <c r="V39" s="8"/>
      <c r="W39" s="18" t="s">
        <v>899</v>
      </c>
      <c r="X39" s="3" t="s">
        <v>1235</v>
      </c>
      <c r="Y39" s="109">
        <f>ROUND(((Y36*Y37)*Y38),0)</f>
        <v>796234</v>
      </c>
      <c r="Z39" s="8"/>
      <c r="AA39" s="18" t="s">
        <v>39</v>
      </c>
      <c r="AB39" s="3" t="s">
        <v>1351</v>
      </c>
      <c r="AC39" s="155">
        <f>+INSTRUCTIONS!Q4</f>
        <v>0.007196</v>
      </c>
      <c r="AD39" s="8"/>
      <c r="AE39" s="18" t="s">
        <v>979</v>
      </c>
      <c r="AF39" s="3" t="s">
        <v>776</v>
      </c>
      <c r="AG39" s="8">
        <v>24</v>
      </c>
      <c r="AN39" s="18"/>
      <c r="AO39" s="18"/>
      <c r="AQ39" s="16" t="s">
        <v>1072</v>
      </c>
      <c r="BC39" s="18"/>
      <c r="BJ39" s="8"/>
      <c r="BK39" s="18" t="s">
        <v>777</v>
      </c>
      <c r="BL39" s="18">
        <v>115</v>
      </c>
      <c r="BM39" s="3" t="s">
        <v>522</v>
      </c>
      <c r="BP39" s="18" t="s">
        <v>777</v>
      </c>
      <c r="BQ39" s="18">
        <v>253</v>
      </c>
      <c r="BR39" s="3" t="s">
        <v>1233</v>
      </c>
      <c r="BS39" s="8">
        <f>IF(AEGBS!F54&gt;0,AEGBS!F54,AEGBS!F54*-1)</f>
        <v>232123</v>
      </c>
      <c r="BU39" s="18"/>
      <c r="BV39" s="18"/>
      <c r="BZ39" s="18"/>
      <c r="CA39" s="18"/>
      <c r="CB39" s="3" t="s">
        <v>622</v>
      </c>
      <c r="CC39" s="8">
        <v>0</v>
      </c>
      <c r="CE39" s="18"/>
      <c r="CF39" s="18"/>
      <c r="CJ39" s="18">
        <v>41</v>
      </c>
      <c r="CK39" s="18">
        <v>133</v>
      </c>
      <c r="CL39" s="3" t="s">
        <v>1234</v>
      </c>
      <c r="CM39" s="8">
        <v>0</v>
      </c>
      <c r="CO39" s="18" t="s">
        <v>979</v>
      </c>
      <c r="CP39" s="3" t="s">
        <v>108</v>
      </c>
      <c r="CQ39" s="155">
        <f>SUM(AC39)</f>
        <v>0.007196</v>
      </c>
      <c r="CS39" s="18" t="s">
        <v>431</v>
      </c>
      <c r="CT39" s="3" t="s">
        <v>432</v>
      </c>
      <c r="CU39" s="8">
        <f>EXPENSES!J66</f>
        <v>8504.36</v>
      </c>
      <c r="CX39" s="18"/>
      <c r="DV39" s="8"/>
    </row>
    <row r="40" spans="1:104" ht="15">
      <c r="A40" s="3"/>
      <c r="B40" s="3" t="s">
        <v>383</v>
      </c>
      <c r="C40" s="8">
        <f>IF(INSTRUCTIONS!L8="ACTUAL",'Actual Taxes'!D39+'Actual Taxes'!D47,K28)</f>
        <v>321759</v>
      </c>
      <c r="E40" s="3"/>
      <c r="F40" s="3" t="s">
        <v>383</v>
      </c>
      <c r="G40" s="8">
        <f>IF(INSTRUCTIONS!L8="ACTUAL",'Actual Taxes'!D40+'Actual Taxes'!E47,L28)</f>
        <v>750769</v>
      </c>
      <c r="I40" s="3" t="s">
        <v>1744</v>
      </c>
      <c r="J40" s="60">
        <v>0.53846153846154</v>
      </c>
      <c r="K40" s="60">
        <f>+J40</f>
        <v>0.53846153846154</v>
      </c>
      <c r="L40" s="60">
        <f>+J40</f>
        <v>0.53846153846154</v>
      </c>
      <c r="M40" s="169"/>
      <c r="N40" s="60"/>
      <c r="O40" s="18">
        <v>19</v>
      </c>
      <c r="P40" s="3" t="s">
        <v>1460</v>
      </c>
      <c r="Q40" s="8">
        <f>SUM(CC29)</f>
        <v>0</v>
      </c>
      <c r="R40" s="158"/>
      <c r="S40" s="18">
        <v>18</v>
      </c>
      <c r="T40" s="3" t="s">
        <v>672</v>
      </c>
      <c r="U40" s="8">
        <f>'UNIT 2 PWR BILL'!U21</f>
        <v>190792659.39000002</v>
      </c>
      <c r="V40" s="8"/>
      <c r="W40" s="18"/>
      <c r="Z40" s="60"/>
      <c r="AA40" s="18" t="s">
        <v>1842</v>
      </c>
      <c r="AB40" s="3" t="s">
        <v>456</v>
      </c>
      <c r="AC40" s="155">
        <v>0</v>
      </c>
      <c r="AD40" s="8"/>
      <c r="AE40" s="18" t="s">
        <v>433</v>
      </c>
      <c r="AF40" s="3" t="s">
        <v>235</v>
      </c>
      <c r="AG40" s="168">
        <f>ROUND((AG38*AG39),2)</f>
        <v>6225.84</v>
      </c>
      <c r="AN40" s="18" t="s">
        <v>1828</v>
      </c>
      <c r="AO40" s="18" t="s">
        <v>236</v>
      </c>
      <c r="AP40" s="3" t="s">
        <v>118</v>
      </c>
      <c r="BC40" s="18">
        <v>8</v>
      </c>
      <c r="BD40" s="28" t="s">
        <v>1742</v>
      </c>
      <c r="BE40" s="2" t="s">
        <v>1743</v>
      </c>
      <c r="BF40" s="2"/>
      <c r="BG40" s="2"/>
      <c r="BH40" s="2"/>
      <c r="BI40" s="2"/>
      <c r="BJ40" s="8"/>
      <c r="BK40" s="18"/>
      <c r="BL40" s="18"/>
      <c r="BM40" s="3" t="s">
        <v>1835</v>
      </c>
      <c r="BS40" s="16" t="s">
        <v>1072</v>
      </c>
      <c r="BU40" s="18"/>
      <c r="BV40" s="18"/>
      <c r="BZ40" s="18" t="s">
        <v>848</v>
      </c>
      <c r="CA40" s="18"/>
      <c r="CB40" s="3" t="s">
        <v>752</v>
      </c>
      <c r="CC40" s="16" t="s">
        <v>1072</v>
      </c>
      <c r="CE40" s="18" t="s">
        <v>1836</v>
      </c>
      <c r="CF40" s="18">
        <v>215</v>
      </c>
      <c r="CG40" s="3" t="s">
        <v>1837</v>
      </c>
      <c r="CH40" s="8">
        <v>0</v>
      </c>
      <c r="CJ40" s="18">
        <v>42</v>
      </c>
      <c r="CK40" s="18">
        <v>134</v>
      </c>
      <c r="CL40" s="3" t="s">
        <v>455</v>
      </c>
      <c r="CM40" s="8">
        <v>0</v>
      </c>
      <c r="CO40" s="18" t="s">
        <v>433</v>
      </c>
      <c r="CP40" s="3" t="s">
        <v>47</v>
      </c>
      <c r="CQ40" s="155">
        <v>0</v>
      </c>
      <c r="CS40" s="18"/>
      <c r="CX40" s="18"/>
      <c r="CY40" s="3" t="s">
        <v>1741</v>
      </c>
      <c r="CZ40" s="8">
        <f>SUM(CZ34:CZ38)</f>
        <v>0</v>
      </c>
    </row>
    <row r="41" spans="1:102" ht="15">
      <c r="A41" s="3"/>
      <c r="B41" s="3"/>
      <c r="C41" s="16" t="s">
        <v>1072</v>
      </c>
      <c r="E41" s="3"/>
      <c r="F41" s="3"/>
      <c r="G41" s="16" t="s">
        <v>1072</v>
      </c>
      <c r="I41" s="3" t="s">
        <v>217</v>
      </c>
      <c r="J41" s="8">
        <f>SUM(K41:L41)</f>
        <v>-484048</v>
      </c>
      <c r="K41" s="8">
        <f>ROUND((K39*K40),0)</f>
        <v>-145214</v>
      </c>
      <c r="L41" s="8">
        <f>ROUND((L39*L40),0)</f>
        <v>-338834</v>
      </c>
      <c r="M41" s="152"/>
      <c r="N41" s="8"/>
      <c r="O41" s="18">
        <v>20</v>
      </c>
      <c r="P41" s="3" t="s">
        <v>1582</v>
      </c>
      <c r="Q41" s="8">
        <f>SUM(CC41)</f>
        <v>0</v>
      </c>
      <c r="R41" s="158"/>
      <c r="S41" s="18">
        <v>19</v>
      </c>
      <c r="T41" s="3" t="s">
        <v>1142</v>
      </c>
      <c r="U41" s="8">
        <f>'UNIT 2 PWR BILL'!U22</f>
        <v>174803561.05</v>
      </c>
      <c r="V41" s="8"/>
      <c r="W41" s="18" t="s">
        <v>43</v>
      </c>
      <c r="X41" s="3" t="s">
        <v>525</v>
      </c>
      <c r="Y41" s="8">
        <f>IF((Y23&gt;Y29),(Y23-Y29),0)</f>
        <v>0</v>
      </c>
      <c r="Z41" s="8"/>
      <c r="AA41" s="18"/>
      <c r="AD41" s="8"/>
      <c r="AE41" s="18" t="s">
        <v>1745</v>
      </c>
      <c r="AF41" s="3" t="s">
        <v>1746</v>
      </c>
      <c r="AG41" s="8">
        <v>68</v>
      </c>
      <c r="AN41" s="18"/>
      <c r="AO41" s="18"/>
      <c r="AP41" s="168" t="s">
        <v>1747</v>
      </c>
      <c r="AQ41" s="8">
        <f>SUM(CZ56)</f>
        <v>315579.04</v>
      </c>
      <c r="BC41" s="18"/>
      <c r="BD41" s="28"/>
      <c r="BE41" s="2"/>
      <c r="BF41" s="2"/>
      <c r="BG41" s="2"/>
      <c r="BH41" s="2"/>
      <c r="BI41" s="2"/>
      <c r="BJ41" s="8"/>
      <c r="BK41" s="18"/>
      <c r="BL41" s="18"/>
      <c r="BM41" s="3" t="s">
        <v>188</v>
      </c>
      <c r="BN41" s="8">
        <v>0</v>
      </c>
      <c r="BP41" s="15" t="s">
        <v>189</v>
      </c>
      <c r="BQ41" s="3" t="s">
        <v>426</v>
      </c>
      <c r="BU41" s="18"/>
      <c r="BV41" s="18"/>
      <c r="BZ41" s="18"/>
      <c r="CA41" s="18"/>
      <c r="CB41" s="3" t="s">
        <v>360</v>
      </c>
      <c r="CC41" s="8">
        <f>SUM(((((-CC33)+CC35)+CC37)+CC39))</f>
        <v>0</v>
      </c>
      <c r="CE41" s="18" t="s">
        <v>1230</v>
      </c>
      <c r="CF41" s="18">
        <v>215.1</v>
      </c>
      <c r="CG41" s="3" t="s">
        <v>1231</v>
      </c>
      <c r="CJ41" s="18">
        <v>43</v>
      </c>
      <c r="CK41" s="18" t="s">
        <v>129</v>
      </c>
      <c r="CL41" s="3" t="s">
        <v>1232</v>
      </c>
      <c r="CM41" s="8">
        <f>AEGBS!D164+AEGBS!D168</f>
        <v>0</v>
      </c>
      <c r="CO41" s="18" t="s">
        <v>1745</v>
      </c>
      <c r="CP41" s="3" t="s">
        <v>1184</v>
      </c>
      <c r="CQ41" s="155">
        <v>0.1216</v>
      </c>
      <c r="CS41" s="18"/>
      <c r="CT41" s="18" t="s">
        <v>216</v>
      </c>
      <c r="CU41" s="8">
        <f>SUM(CU37:CU39)</f>
        <v>8930.61</v>
      </c>
      <c r="CX41" s="18"/>
    </row>
    <row r="42" spans="1:104" ht="15">
      <c r="A42" s="3"/>
      <c r="B42" s="18" t="s">
        <v>1687</v>
      </c>
      <c r="C42" s="8">
        <f>C32+KPCO_FUEL_1+C35+C36+C37+C38+C39+C40</f>
        <v>3651790.67</v>
      </c>
      <c r="E42" s="3"/>
      <c r="F42" s="3" t="s">
        <v>904</v>
      </c>
      <c r="G42" s="8">
        <f>G32+IM_FUEL_1+G35+G36+G37+G38+G39+G40</f>
        <v>8520842.225000001</v>
      </c>
      <c r="I42" s="3" t="s">
        <v>869</v>
      </c>
      <c r="J42" s="8">
        <f>SUM(BF55)</f>
        <v>1556576.76</v>
      </c>
      <c r="K42" s="8">
        <f>SUM(BG55)</f>
        <v>466973</v>
      </c>
      <c r="L42" s="8">
        <f>SUM(BH55)</f>
        <v>1089603</v>
      </c>
      <c r="M42" s="152"/>
      <c r="N42" s="8"/>
      <c r="O42" s="18"/>
      <c r="P42" s="3"/>
      <c r="Q42" s="16" t="s">
        <v>1072</v>
      </c>
      <c r="R42" s="158"/>
      <c r="S42" s="18">
        <v>20</v>
      </c>
      <c r="T42" s="3" t="s">
        <v>1460</v>
      </c>
      <c r="U42" s="8">
        <f>'UNIT 2 PWR BILL'!U23</f>
        <v>31815109.620000005</v>
      </c>
      <c r="V42" s="8"/>
      <c r="W42" s="18" t="s">
        <v>979</v>
      </c>
      <c r="X42" s="3" t="s">
        <v>764</v>
      </c>
      <c r="Y42" s="155">
        <f>ROUND(((AC50*CU58)/CU59),6)</f>
        <v>0.000983</v>
      </c>
      <c r="Z42" s="8"/>
      <c r="AA42" s="18"/>
      <c r="AD42" s="8"/>
      <c r="AE42" s="18" t="s">
        <v>218</v>
      </c>
      <c r="AF42" s="3" t="s">
        <v>1695</v>
      </c>
      <c r="AG42" s="8">
        <f>ROUND((AG40*AG41),0)</f>
        <v>423357</v>
      </c>
      <c r="AN42" s="18" t="s">
        <v>848</v>
      </c>
      <c r="AO42" s="18" t="s">
        <v>1696</v>
      </c>
      <c r="AP42" s="3" t="s">
        <v>118</v>
      </c>
      <c r="BC42" s="18"/>
      <c r="BF42" s="109"/>
      <c r="BG42" s="8"/>
      <c r="BH42" s="8"/>
      <c r="BI42" s="8"/>
      <c r="BJ42" s="8"/>
      <c r="BK42" s="18" t="s">
        <v>1697</v>
      </c>
      <c r="BL42" s="18">
        <v>119</v>
      </c>
      <c r="BM42" s="3" t="s">
        <v>507</v>
      </c>
      <c r="BZ42" s="18"/>
      <c r="CA42" s="18"/>
      <c r="CC42" s="16" t="s">
        <v>1072</v>
      </c>
      <c r="CE42" s="18"/>
      <c r="CF42" s="18"/>
      <c r="CG42" s="3" t="s">
        <v>763</v>
      </c>
      <c r="CH42" s="8">
        <v>0</v>
      </c>
      <c r="CJ42" s="18"/>
      <c r="CK42" s="18"/>
      <c r="CM42" s="16" t="s">
        <v>1072</v>
      </c>
      <c r="CO42" s="18" t="s">
        <v>218</v>
      </c>
      <c r="CP42" s="170" t="s">
        <v>1282</v>
      </c>
      <c r="CQ42" s="155">
        <f>SUM(AC46:AC48)</f>
        <v>0.011607</v>
      </c>
      <c r="CS42" s="18"/>
      <c r="CX42" s="18">
        <v>920</v>
      </c>
      <c r="CY42" s="3" t="s">
        <v>847</v>
      </c>
      <c r="CZ42" s="8">
        <f>EXPENSES!J28</f>
        <v>28763.75</v>
      </c>
    </row>
    <row r="43" spans="1:104" ht="15">
      <c r="A43" s="3"/>
      <c r="B43" s="3"/>
      <c r="C43" s="59" t="s">
        <v>1072</v>
      </c>
      <c r="E43" s="3"/>
      <c r="F43" s="3"/>
      <c r="G43" s="59" t="s">
        <v>1072</v>
      </c>
      <c r="I43" s="3"/>
      <c r="J43" s="59" t="s">
        <v>1072</v>
      </c>
      <c r="K43" s="59" t="s">
        <v>1072</v>
      </c>
      <c r="L43" s="59" t="s">
        <v>1072</v>
      </c>
      <c r="M43" s="157"/>
      <c r="N43" s="8"/>
      <c r="O43" s="18">
        <v>21</v>
      </c>
      <c r="P43" s="3" t="s">
        <v>1229</v>
      </c>
      <c r="Q43" s="8">
        <f>SUM(((Q39+Q40)-Q41))</f>
        <v>56896913.3</v>
      </c>
      <c r="R43" s="158"/>
      <c r="S43" s="18">
        <v>21</v>
      </c>
      <c r="T43" s="3" t="s">
        <v>1672</v>
      </c>
      <c r="U43" s="8">
        <f>'UNIT 2 PWR BILL'!U24</f>
        <v>24200.01</v>
      </c>
      <c r="V43" s="8"/>
      <c r="W43" s="18" t="s">
        <v>433</v>
      </c>
      <c r="X43" s="3" t="s">
        <v>903</v>
      </c>
      <c r="Y43" s="8">
        <f>SUM((Y41*Y42))</f>
        <v>0</v>
      </c>
      <c r="Z43" s="59"/>
      <c r="AA43" s="18" t="s">
        <v>899</v>
      </c>
      <c r="AB43" s="96" t="s">
        <v>800</v>
      </c>
      <c r="AD43" s="8"/>
      <c r="AE43" s="18" t="s">
        <v>870</v>
      </c>
      <c r="AF43" s="3" t="s">
        <v>914</v>
      </c>
      <c r="AG43" s="171">
        <f>AEGBS!D190</f>
        <v>40.733</v>
      </c>
      <c r="AN43" s="18"/>
      <c r="AO43" s="18"/>
      <c r="AP43" s="3" t="s">
        <v>1590</v>
      </c>
      <c r="AQ43" s="8">
        <f>SUM(CZ58)</f>
        <v>36634.13</v>
      </c>
      <c r="BC43" s="18"/>
      <c r="BF43" s="6"/>
      <c r="BJ43" s="8"/>
      <c r="BK43" s="18"/>
      <c r="BL43" s="18"/>
      <c r="BM43" s="3" t="s">
        <v>386</v>
      </c>
      <c r="BZ43" s="18" t="s">
        <v>777</v>
      </c>
      <c r="CA43" s="18"/>
      <c r="CB43" s="3" t="s">
        <v>1803</v>
      </c>
      <c r="CE43" s="18" t="s">
        <v>1013</v>
      </c>
      <c r="CF43" s="18">
        <v>216</v>
      </c>
      <c r="CG43" s="3" t="s">
        <v>1014</v>
      </c>
      <c r="CH43" s="8">
        <f>AEGBS!D157</f>
        <v>1678832.4</v>
      </c>
      <c r="CJ43" s="18">
        <v>44</v>
      </c>
      <c r="CK43" s="18"/>
      <c r="CL43" s="3" t="s">
        <v>799</v>
      </c>
      <c r="CM43" s="8">
        <f>SUM(CM38:CM41)</f>
        <v>0</v>
      </c>
      <c r="CO43" s="18"/>
      <c r="CS43" s="18"/>
      <c r="CX43" s="18">
        <v>921</v>
      </c>
      <c r="CY43" s="3" t="s">
        <v>1899</v>
      </c>
      <c r="CZ43" s="8">
        <f>EXPENSES!J29</f>
        <v>11868.62</v>
      </c>
    </row>
    <row r="44" spans="1:104" ht="15">
      <c r="A44" s="3"/>
      <c r="B44" s="3"/>
      <c r="C44" s="3"/>
      <c r="E44" s="3"/>
      <c r="I44" s="3" t="s">
        <v>1868</v>
      </c>
      <c r="J44" s="8">
        <f>TRUNC((J41+J42))</f>
        <v>1072528</v>
      </c>
      <c r="K44" s="8">
        <f>TRUNC((K41+K42))</f>
        <v>321759</v>
      </c>
      <c r="L44" s="8">
        <f>TRUNC((L41+L42))</f>
        <v>750769</v>
      </c>
      <c r="M44" s="152"/>
      <c r="N44" s="8"/>
      <c r="O44" s="18"/>
      <c r="P44" s="3"/>
      <c r="Q44" s="16" t="s">
        <v>1072</v>
      </c>
      <c r="R44" s="158"/>
      <c r="S44" s="18">
        <v>22</v>
      </c>
      <c r="T44" s="3" t="s">
        <v>1575</v>
      </c>
      <c r="U44" s="8">
        <f>'UNIT 2 PWR BILL'!U25</f>
        <v>0</v>
      </c>
      <c r="V44" s="8"/>
      <c r="W44" s="18" t="s">
        <v>1745</v>
      </c>
      <c r="X44" s="3" t="s">
        <v>703</v>
      </c>
      <c r="Y44" s="164">
        <f>SUM(Q58)</f>
        <v>0.79532</v>
      </c>
      <c r="Z44" s="8"/>
      <c r="AA44" s="18"/>
      <c r="AD44" s="8"/>
      <c r="AE44" s="18"/>
      <c r="AG44" s="59" t="s">
        <v>1072</v>
      </c>
      <c r="AN44" s="18"/>
      <c r="AO44" s="18"/>
      <c r="AQ44" s="16" t="s">
        <v>1072</v>
      </c>
      <c r="BC44" s="18">
        <v>9</v>
      </c>
      <c r="BD44" s="18" t="s">
        <v>454</v>
      </c>
      <c r="BE44" s="3" t="s">
        <v>121</v>
      </c>
      <c r="BF44" s="6"/>
      <c r="BJ44" s="8"/>
      <c r="BK44" s="18"/>
      <c r="BL44" s="18"/>
      <c r="BM44" s="3" t="s">
        <v>1900</v>
      </c>
      <c r="BN44" s="8">
        <v>0</v>
      </c>
      <c r="BZ44" s="18"/>
      <c r="CA44" s="18"/>
      <c r="CB44" s="3" t="s">
        <v>1901</v>
      </c>
      <c r="CC44" s="8">
        <f>SUM(((CC16+CC29)-CC41))</f>
        <v>56896913.3</v>
      </c>
      <c r="CE44" s="18"/>
      <c r="CF44" s="18"/>
      <c r="CH44" s="16" t="s">
        <v>1072</v>
      </c>
      <c r="CJ44" s="18"/>
      <c r="CK44" s="18"/>
      <c r="CM44" s="16" t="s">
        <v>1072</v>
      </c>
      <c r="CO44" s="18" t="s">
        <v>870</v>
      </c>
      <c r="CP44" s="96" t="s">
        <v>1617</v>
      </c>
      <c r="CS44" s="18"/>
      <c r="CX44" s="18">
        <v>922</v>
      </c>
      <c r="CY44" s="3" t="s">
        <v>1618</v>
      </c>
      <c r="CZ44" s="8">
        <f>EXPENSES!J30</f>
        <v>0</v>
      </c>
    </row>
    <row r="45" spans="1:104" ht="15">
      <c r="A45" s="34" t="s">
        <v>1244</v>
      </c>
      <c r="B45" s="3"/>
      <c r="C45" s="3"/>
      <c r="E45" s="34" t="s">
        <v>1244</v>
      </c>
      <c r="F45" s="3"/>
      <c r="I45" s="3"/>
      <c r="J45" s="59" t="s">
        <v>1569</v>
      </c>
      <c r="K45" s="59" t="s">
        <v>1569</v>
      </c>
      <c r="L45" s="59" t="s">
        <v>1569</v>
      </c>
      <c r="M45" s="157"/>
      <c r="N45" s="8"/>
      <c r="O45" s="18">
        <v>22</v>
      </c>
      <c r="P45" s="96" t="s">
        <v>1012</v>
      </c>
      <c r="Q45" s="3"/>
      <c r="R45" s="158"/>
      <c r="S45" s="18">
        <v>23</v>
      </c>
      <c r="T45" s="3" t="s">
        <v>755</v>
      </c>
      <c r="U45" s="8">
        <f>'UNIT 2 PWR BILL'!U26</f>
        <v>0</v>
      </c>
      <c r="V45" s="8"/>
      <c r="W45" s="18" t="s">
        <v>218</v>
      </c>
      <c r="X45" s="3" t="s">
        <v>975</v>
      </c>
      <c r="Y45" s="164">
        <f>ROUND((U35/U56),4)</f>
        <v>1.0478</v>
      </c>
      <c r="Z45" s="59"/>
      <c r="AA45" s="18"/>
      <c r="AD45" s="8"/>
      <c r="AE45" s="18" t="s">
        <v>1208</v>
      </c>
      <c r="AF45" s="3" t="s">
        <v>1748</v>
      </c>
      <c r="AG45" s="8">
        <f>ROUND((AG42*AG43),0)</f>
        <v>17244601</v>
      </c>
      <c r="AN45" s="18" t="s">
        <v>777</v>
      </c>
      <c r="AO45" s="18"/>
      <c r="AP45" s="3" t="s">
        <v>639</v>
      </c>
      <c r="AQ45" s="8">
        <f>SUM((AQ41+AQ43))</f>
        <v>352213.17</v>
      </c>
      <c r="BC45" s="18"/>
      <c r="BE45" s="3" t="s">
        <v>1501</v>
      </c>
      <c r="BF45" s="109">
        <f>IF(INSTRUCTIONS!$L$29="ESTIMATE",TXPG12RV!G51+TXPG12RV!G52,IF(INSTRUCTIONS!$L$29="ACTUAL",TXPG12RV!I51+TXPG12RV!I52,"SEE NOTE"))</f>
        <v>-1572</v>
      </c>
      <c r="BG45" s="8">
        <f>ROUND(SUM((BF45*INSTRUCTIONS!$M$20)),0)</f>
        <v>-472</v>
      </c>
      <c r="BH45" s="8">
        <f>ROUND(BF45-BG45,0)</f>
        <v>-1100</v>
      </c>
      <c r="BI45" s="8"/>
      <c r="BJ45" s="8"/>
      <c r="BK45" s="18"/>
      <c r="BL45" s="18"/>
      <c r="BN45" s="16" t="s">
        <v>1072</v>
      </c>
      <c r="BZ45" s="18"/>
      <c r="CA45" s="18"/>
      <c r="CC45" s="16" t="s">
        <v>1569</v>
      </c>
      <c r="CE45" s="18" t="s">
        <v>12</v>
      </c>
      <c r="CF45" s="18"/>
      <c r="CG45" s="3" t="s">
        <v>1258</v>
      </c>
      <c r="CH45" s="8">
        <f>CH40+CH42+CH43</f>
        <v>1678832.4</v>
      </c>
      <c r="CJ45" s="18">
        <v>45</v>
      </c>
      <c r="CK45" s="18"/>
      <c r="CL45" s="3" t="s">
        <v>1243</v>
      </c>
      <c r="CM45" s="8">
        <f>CH47+CH56+CM27+CM34-CM43</f>
        <v>301639245.78</v>
      </c>
      <c r="CO45" s="18"/>
      <c r="CS45" s="18"/>
      <c r="CX45" s="18">
        <v>923</v>
      </c>
      <c r="CY45" s="3" t="s">
        <v>453</v>
      </c>
      <c r="CZ45" s="8">
        <f>EXPENSES!J31</f>
        <v>123029.97</v>
      </c>
    </row>
    <row r="46" spans="1:104" ht="15">
      <c r="A46" s="3"/>
      <c r="B46" s="3" t="s">
        <v>1499</v>
      </c>
      <c r="C46" s="8">
        <f>BILLDIF!E19</f>
        <v>0</v>
      </c>
      <c r="E46" s="3"/>
      <c r="F46" s="3" t="s">
        <v>1499</v>
      </c>
      <c r="G46" s="8">
        <f>BILLDIF!E13</f>
        <v>0</v>
      </c>
      <c r="I46" s="96" t="s">
        <v>1588</v>
      </c>
      <c r="J46" s="3"/>
      <c r="K46" s="3"/>
      <c r="L46" s="3"/>
      <c r="M46" s="151"/>
      <c r="N46" s="3"/>
      <c r="O46" s="18"/>
      <c r="P46" s="3"/>
      <c r="Q46" s="3"/>
      <c r="R46" s="158"/>
      <c r="S46" s="18">
        <v>24</v>
      </c>
      <c r="T46" s="3" t="s">
        <v>1421</v>
      </c>
      <c r="U46" s="8">
        <f>'UNIT 2 PWR BILL'!U27</f>
        <v>-5082992.539999998</v>
      </c>
      <c r="V46" s="8"/>
      <c r="W46" s="18" t="s">
        <v>870</v>
      </c>
      <c r="X46" s="3" t="s">
        <v>1498</v>
      </c>
      <c r="Y46" s="109">
        <f>ROUND(((Y43*Y44)*Y45),0)</f>
        <v>0</v>
      </c>
      <c r="Z46" s="3"/>
      <c r="AA46" s="18" t="s">
        <v>43</v>
      </c>
      <c r="AB46" s="3" t="s">
        <v>1283</v>
      </c>
      <c r="AC46" s="155">
        <f>ROUND((AC28*AC38),6)</f>
        <v>0.006604</v>
      </c>
      <c r="AD46" s="8"/>
      <c r="AE46" s="18"/>
      <c r="AG46" s="59" t="s">
        <v>1072</v>
      </c>
      <c r="AN46" s="18"/>
      <c r="AO46" s="18"/>
      <c r="AQ46" s="16" t="s">
        <v>1072</v>
      </c>
      <c r="BC46" s="18"/>
      <c r="BE46" s="3" t="s">
        <v>1213</v>
      </c>
      <c r="BF46" s="6"/>
      <c r="BJ46" s="8"/>
      <c r="BK46" s="18" t="s">
        <v>874</v>
      </c>
      <c r="BL46" s="18"/>
      <c r="BM46" s="3" t="s">
        <v>1246</v>
      </c>
      <c r="BN46" s="8">
        <f>BN34+BN36+BN38+BN41+BN44</f>
        <v>447351995.04</v>
      </c>
      <c r="BZ46" s="18"/>
      <c r="CA46" s="18"/>
      <c r="CB46" s="96" t="s">
        <v>692</v>
      </c>
      <c r="CE46" s="18"/>
      <c r="CF46" s="18"/>
      <c r="CH46" s="16" t="s">
        <v>1072</v>
      </c>
      <c r="CJ46" s="18"/>
      <c r="CK46" s="18"/>
      <c r="CM46" s="59" t="s">
        <v>1569</v>
      </c>
      <c r="CO46" s="18" t="s">
        <v>1208</v>
      </c>
      <c r="CP46" s="3" t="s">
        <v>1283</v>
      </c>
      <c r="CQ46" s="155">
        <f>ROUND((CQ28*CQ38),6)</f>
        <v>0.00454</v>
      </c>
      <c r="CS46" s="18"/>
      <c r="CX46" s="18">
        <v>924</v>
      </c>
      <c r="CY46" s="3" t="s">
        <v>1500</v>
      </c>
      <c r="CZ46" s="8">
        <f>EXPENSES!J32</f>
        <v>8790.5</v>
      </c>
    </row>
    <row r="47" spans="1:104" ht="15">
      <c r="A47" s="3"/>
      <c r="B47" s="3" t="s">
        <v>938</v>
      </c>
      <c r="C47" s="8">
        <f>BILLDIF!G19</f>
        <v>0</v>
      </c>
      <c r="E47" s="3"/>
      <c r="F47" s="3" t="s">
        <v>1651</v>
      </c>
      <c r="G47" s="8">
        <f>BILLDIF!G13</f>
        <v>0</v>
      </c>
      <c r="I47" s="3"/>
      <c r="J47" s="3"/>
      <c r="K47" s="3"/>
      <c r="L47" s="3"/>
      <c r="M47" s="151"/>
      <c r="N47" s="3"/>
      <c r="O47" s="18"/>
      <c r="P47" s="3"/>
      <c r="Q47" s="3"/>
      <c r="R47" s="158"/>
      <c r="S47" s="18">
        <v>25</v>
      </c>
      <c r="T47" s="3" t="s">
        <v>205</v>
      </c>
      <c r="U47" s="8">
        <f>'UNIT 2 PWR BILL'!U28</f>
        <v>39486.01</v>
      </c>
      <c r="V47" s="8"/>
      <c r="W47" s="18"/>
      <c r="Y47" s="59" t="s">
        <v>1072</v>
      </c>
      <c r="Z47" s="3"/>
      <c r="AA47" s="18" t="s">
        <v>979</v>
      </c>
      <c r="AB47" s="3" t="s">
        <v>310</v>
      </c>
      <c r="AC47" s="155">
        <f>ROUND((AC29*AC39),6)</f>
        <v>0.005003</v>
      </c>
      <c r="AD47" s="8"/>
      <c r="AE47" s="18" t="s">
        <v>1589</v>
      </c>
      <c r="AF47" s="3" t="s">
        <v>1172</v>
      </c>
      <c r="AG47" s="8">
        <f>IF((AG31&gt;AG45),AG45,AG31)</f>
        <v>17244601</v>
      </c>
      <c r="AN47" s="18"/>
      <c r="AO47" s="18"/>
      <c r="BC47" s="18"/>
      <c r="BF47" s="6"/>
      <c r="BJ47" s="8"/>
      <c r="BK47" s="18"/>
      <c r="BL47" s="18"/>
      <c r="BN47" s="16" t="s">
        <v>1072</v>
      </c>
      <c r="BZ47" s="18"/>
      <c r="CA47" s="18"/>
      <c r="CE47" s="18" t="s">
        <v>936</v>
      </c>
      <c r="CF47" s="18"/>
      <c r="CG47" s="3" t="s">
        <v>937</v>
      </c>
      <c r="CH47" s="8">
        <f>SUM(((CH27+CH36)+CH45))</f>
        <v>94290819.51</v>
      </c>
      <c r="CJ47" s="18"/>
      <c r="CK47" s="18"/>
      <c r="CO47" s="18" t="s">
        <v>1589</v>
      </c>
      <c r="CP47" s="3" t="s">
        <v>1284</v>
      </c>
      <c r="CQ47" s="155">
        <f>ROUND((CQ29*CQ39),6)</f>
        <v>0.003439</v>
      </c>
      <c r="CS47" s="18"/>
      <c r="CX47" s="18">
        <v>925</v>
      </c>
      <c r="CY47" s="3" t="s">
        <v>100</v>
      </c>
      <c r="CZ47" s="8">
        <f>EXPENSES!J33</f>
        <v>1205.31</v>
      </c>
    </row>
    <row r="48" spans="1:132" ht="15.75">
      <c r="A48" s="3"/>
      <c r="B48" s="3" t="s">
        <v>1280</v>
      </c>
      <c r="C48" s="8">
        <f>BILLDIF!I19</f>
        <v>124791</v>
      </c>
      <c r="E48" s="3"/>
      <c r="F48" s="3" t="s">
        <v>1280</v>
      </c>
      <c r="G48" s="8">
        <f>BILLDIF!I13</f>
        <v>291182</v>
      </c>
      <c r="I48" s="3" t="s">
        <v>959</v>
      </c>
      <c r="J48" s="8">
        <f>SUM(J30)</f>
        <v>12172632.895000001</v>
      </c>
      <c r="K48" s="8">
        <f>SUM(K30)</f>
        <v>3651790.67</v>
      </c>
      <c r="L48" s="8">
        <f>SUM(L30)</f>
        <v>8520842.225</v>
      </c>
      <c r="M48" s="152"/>
      <c r="N48" s="8"/>
      <c r="O48" s="18">
        <v>23</v>
      </c>
      <c r="P48" s="3" t="s">
        <v>1497</v>
      </c>
      <c r="Q48" s="8">
        <f>SUM((CC48-Q24))</f>
        <v>1034099.36</v>
      </c>
      <c r="R48" s="158"/>
      <c r="S48" s="18">
        <v>26</v>
      </c>
      <c r="T48" s="26" t="s">
        <v>200</v>
      </c>
      <c r="U48" s="8">
        <f>AEGBS!F195</f>
        <v>1337916.065</v>
      </c>
      <c r="V48" s="8"/>
      <c r="W48" s="18" t="s">
        <v>1208</v>
      </c>
      <c r="X48" s="3" t="s">
        <v>1022</v>
      </c>
      <c r="Y48" s="8">
        <f>ROUND((Y39+Y46),0)</f>
        <v>796234</v>
      </c>
      <c r="Z48" s="8"/>
      <c r="AA48" s="18" t="s">
        <v>433</v>
      </c>
      <c r="AB48" s="3" t="s">
        <v>1659</v>
      </c>
      <c r="AC48" s="155">
        <f>ROUND((AC30*AC40),6)</f>
        <v>0</v>
      </c>
      <c r="AD48" s="8"/>
      <c r="AE48" s="18"/>
      <c r="AG48" s="59" t="s">
        <v>1072</v>
      </c>
      <c r="AN48" s="18" t="s">
        <v>1697</v>
      </c>
      <c r="AO48" s="18"/>
      <c r="AP48" s="3" t="s">
        <v>374</v>
      </c>
      <c r="AQ48" s="8">
        <f>AQ19+AQ21+AQ26+AQ31+AQ33+AQ36+AQ38+AQ45</f>
        <v>8064337.490000001</v>
      </c>
      <c r="BC48" s="18">
        <v>10</v>
      </c>
      <c r="BD48" s="18" t="s">
        <v>454</v>
      </c>
      <c r="BE48" s="3" t="s">
        <v>121</v>
      </c>
      <c r="BF48" s="6"/>
      <c r="BJ48" s="8"/>
      <c r="BK48" s="18" t="s">
        <v>375</v>
      </c>
      <c r="BL48" s="18"/>
      <c r="BM48" s="96" t="s">
        <v>972</v>
      </c>
      <c r="BZ48" s="18" t="s">
        <v>1697</v>
      </c>
      <c r="CA48" s="18">
        <v>105</v>
      </c>
      <c r="CB48" s="3" t="s">
        <v>135</v>
      </c>
      <c r="CC48" s="8">
        <f>AEGBS!D147</f>
        <v>1034099.36</v>
      </c>
      <c r="CE48" s="18"/>
      <c r="CF48" s="18"/>
      <c r="CH48" s="16" t="s">
        <v>1072</v>
      </c>
      <c r="CJ48" s="18"/>
      <c r="CK48" s="18"/>
      <c r="CO48" s="18" t="s">
        <v>1023</v>
      </c>
      <c r="CP48" s="3" t="s">
        <v>571</v>
      </c>
      <c r="CQ48" s="155">
        <f>ROUND((CQ30*CQ40),6)</f>
        <v>0</v>
      </c>
      <c r="CS48" s="18"/>
      <c r="CX48" s="18">
        <v>926</v>
      </c>
      <c r="CY48" s="3" t="s">
        <v>958</v>
      </c>
      <c r="CZ48" s="8">
        <f>EXPENSES!J34</f>
        <v>86546.31</v>
      </c>
      <c r="DZ48" s="131"/>
      <c r="EB48" s="131"/>
    </row>
    <row r="49" spans="1:104" ht="15" customHeight="1">
      <c r="A49" s="3"/>
      <c r="B49" s="3"/>
      <c r="C49" s="7"/>
      <c r="E49" s="3"/>
      <c r="F49" s="3"/>
      <c r="G49" s="7"/>
      <c r="I49" s="3" t="s">
        <v>227</v>
      </c>
      <c r="J49" s="8">
        <f>SUM(((J22+J23)+J25))</f>
        <v>8064337.490000001</v>
      </c>
      <c r="K49" s="8">
        <f>SUM(((K22+K23)+K25))</f>
        <v>2419301.67</v>
      </c>
      <c r="L49" s="8">
        <f>SUM(((L22+L23)+L25))</f>
        <v>5645035.82</v>
      </c>
      <c r="M49" s="152"/>
      <c r="N49" s="8"/>
      <c r="O49" s="18">
        <v>24</v>
      </c>
      <c r="P49" s="3" t="s">
        <v>935</v>
      </c>
      <c r="Q49" s="8">
        <f>SUM((CC50-Q25))</f>
        <v>756639.5</v>
      </c>
      <c r="R49" s="158"/>
      <c r="S49" s="18">
        <v>27</v>
      </c>
      <c r="T49" s="26" t="s">
        <v>199</v>
      </c>
      <c r="U49" s="8">
        <f>AEGBS!F196</f>
        <v>3960742.76</v>
      </c>
      <c r="V49" s="8"/>
      <c r="W49" s="18"/>
      <c r="Y49" s="59" t="s">
        <v>1569</v>
      </c>
      <c r="Z49" s="8"/>
      <c r="AA49" s="18"/>
      <c r="AC49" s="59" t="s">
        <v>1072</v>
      </c>
      <c r="AD49" s="8"/>
      <c r="AE49" s="18" t="s">
        <v>1023</v>
      </c>
      <c r="AF49" s="3" t="s">
        <v>960</v>
      </c>
      <c r="AG49" s="8">
        <f>ROUND((AG31-AG47),0)</f>
        <v>4791461</v>
      </c>
      <c r="AN49" s="18"/>
      <c r="AO49" s="18"/>
      <c r="AQ49" s="59" t="s">
        <v>1569</v>
      </c>
      <c r="BC49" s="18"/>
      <c r="BE49" s="3" t="s">
        <v>415</v>
      </c>
      <c r="BF49" s="109">
        <f>IF(INSTRUCTIONS!$L$29="ESTIMATE",TXPG12RV!G55+TXPG12RV!G56,IF(INSTRUCTIONS!$L$29="ACTUAL",TXPG12RV!I55+TXPG12RV!I56,"SEE NOTE"))</f>
        <v>-50.5</v>
      </c>
      <c r="BG49" s="8">
        <f>ROUND(SUM((BF49*INSTRUCTIONS!$M$20)),0)</f>
        <v>-15</v>
      </c>
      <c r="BH49" s="8">
        <f>ROUND(BF49-BG49,0)</f>
        <v>-36</v>
      </c>
      <c r="BI49" s="8"/>
      <c r="BJ49" s="8"/>
      <c r="BK49" s="18"/>
      <c r="BL49" s="18"/>
      <c r="BZ49" s="18"/>
      <c r="CA49" s="18"/>
      <c r="CE49" s="18" t="s">
        <v>961</v>
      </c>
      <c r="CF49" s="18"/>
      <c r="CG49" s="96" t="s">
        <v>1611</v>
      </c>
      <c r="CJ49" s="18"/>
      <c r="CK49" s="18"/>
      <c r="CO49" s="18" t="s">
        <v>1612</v>
      </c>
      <c r="CP49" s="3" t="s">
        <v>1026</v>
      </c>
      <c r="CQ49" s="155">
        <f>ROUND((CQ31*CQ41),6)</f>
        <v>0.038012</v>
      </c>
      <c r="CS49" s="18"/>
      <c r="CX49" s="18">
        <v>927</v>
      </c>
      <c r="CY49" s="3" t="s">
        <v>1613</v>
      </c>
      <c r="CZ49" s="8">
        <v>0</v>
      </c>
    </row>
    <row r="50" spans="1:104" ht="15">
      <c r="A50" s="3"/>
      <c r="B50" s="3"/>
      <c r="C50" s="16" t="s">
        <v>1072</v>
      </c>
      <c r="E50" s="3"/>
      <c r="F50" s="5"/>
      <c r="G50" s="16" t="s">
        <v>1072</v>
      </c>
      <c r="I50" s="3" t="s">
        <v>450</v>
      </c>
      <c r="J50" s="8">
        <f aca="true" t="shared" si="2" ref="J50:L51">SUM(J26)</f>
        <v>1869848.515</v>
      </c>
      <c r="K50" s="8">
        <f t="shared" si="2"/>
        <v>560955</v>
      </c>
      <c r="L50" s="8">
        <f t="shared" si="2"/>
        <v>1308893.515</v>
      </c>
      <c r="M50" s="152"/>
      <c r="N50" s="8"/>
      <c r="O50" s="18">
        <v>25</v>
      </c>
      <c r="P50" s="3" t="s">
        <v>1017</v>
      </c>
      <c r="Q50" s="8">
        <f>SUM(CC52)</f>
        <v>4791461</v>
      </c>
      <c r="R50" s="158"/>
      <c r="S50" s="18">
        <v>28</v>
      </c>
      <c r="T50" s="3" t="s">
        <v>990</v>
      </c>
      <c r="U50" s="8">
        <f>'UNIT 2 PWR BILL'!U31</f>
        <v>38856121</v>
      </c>
      <c r="V50" s="8"/>
      <c r="W50" s="18"/>
      <c r="Z50" s="8"/>
      <c r="AA50" s="18" t="s">
        <v>1745</v>
      </c>
      <c r="AB50" s="3" t="s">
        <v>875</v>
      </c>
      <c r="AC50" s="155">
        <f>SUM(AC46:AC48)</f>
        <v>0.011607</v>
      </c>
      <c r="AD50" s="8"/>
      <c r="AE50" s="18"/>
      <c r="AG50" s="59" t="s">
        <v>1569</v>
      </c>
      <c r="AN50" s="18"/>
      <c r="AO50" s="18"/>
      <c r="BC50" s="18"/>
      <c r="BF50" s="6"/>
      <c r="BJ50" s="8"/>
      <c r="BK50" s="18" t="s">
        <v>228</v>
      </c>
      <c r="BL50" s="18">
        <v>151</v>
      </c>
      <c r="BM50" s="3" t="s">
        <v>1140</v>
      </c>
      <c r="BN50" s="8">
        <f>SUM((AG17+AG19))</f>
        <v>18562045.42</v>
      </c>
      <c r="BZ50" s="18" t="s">
        <v>874</v>
      </c>
      <c r="CA50" s="18">
        <v>186</v>
      </c>
      <c r="CB50" s="3" t="s">
        <v>229</v>
      </c>
      <c r="CC50" s="8">
        <f>AEGBS!D151</f>
        <v>756639.5</v>
      </c>
      <c r="CE50" s="18"/>
      <c r="CF50" s="18"/>
      <c r="CJ50" s="18"/>
      <c r="CK50" s="18"/>
      <c r="CO50" s="18" t="s">
        <v>1211</v>
      </c>
      <c r="CP50" s="3" t="s">
        <v>951</v>
      </c>
      <c r="CQ50" s="155">
        <f>ROUND((CQ32*CQ42),6)</f>
        <v>0</v>
      </c>
      <c r="CS50" s="18"/>
      <c r="CX50" s="18">
        <v>928</v>
      </c>
      <c r="CY50" s="3" t="s">
        <v>902</v>
      </c>
      <c r="CZ50" s="8">
        <f>EXPENSES!J35</f>
        <v>0</v>
      </c>
    </row>
    <row r="51" spans="1:104" ht="15">
      <c r="A51" s="3"/>
      <c r="B51" s="18" t="s">
        <v>1210</v>
      </c>
      <c r="C51" s="8">
        <f>SUM(C46:C48)</f>
        <v>124791</v>
      </c>
      <c r="E51" s="3"/>
      <c r="F51" s="18" t="s">
        <v>1210</v>
      </c>
      <c r="G51" s="8">
        <f>SUM(G46:G48)</f>
        <v>291182</v>
      </c>
      <c r="I51" s="3" t="s">
        <v>962</v>
      </c>
      <c r="J51" s="8">
        <f t="shared" si="2"/>
        <v>156436.89</v>
      </c>
      <c r="K51" s="8">
        <f t="shared" si="2"/>
        <v>46931</v>
      </c>
      <c r="L51" s="8">
        <f t="shared" si="2"/>
        <v>109505.89000000001</v>
      </c>
      <c r="M51" s="152"/>
      <c r="N51" s="8"/>
      <c r="O51" s="18"/>
      <c r="P51" s="3"/>
      <c r="Q51" s="16" t="s">
        <v>1072</v>
      </c>
      <c r="R51" s="158"/>
      <c r="S51" s="18">
        <v>29</v>
      </c>
      <c r="T51" s="3" t="s">
        <v>1582</v>
      </c>
      <c r="U51" s="8">
        <f>'UNIT 2 PWR BILL'!U32</f>
        <v>-540667.9532399983</v>
      </c>
      <c r="V51" s="8"/>
      <c r="W51" s="18" t="s">
        <v>1589</v>
      </c>
      <c r="X51" s="96" t="s">
        <v>1225</v>
      </c>
      <c r="Z51" s="8"/>
      <c r="AA51" s="18"/>
      <c r="AC51" s="59" t="s">
        <v>1569</v>
      </c>
      <c r="AD51" s="8"/>
      <c r="AE51" s="18"/>
      <c r="AN51" s="18"/>
      <c r="AO51" s="18"/>
      <c r="BC51" s="18">
        <v>11</v>
      </c>
      <c r="BD51" s="18" t="s">
        <v>454</v>
      </c>
      <c r="BE51" s="3" t="s">
        <v>121</v>
      </c>
      <c r="BF51" s="6"/>
      <c r="BJ51" s="8"/>
      <c r="BK51" s="18" t="s">
        <v>1222</v>
      </c>
      <c r="BL51" s="18">
        <v>152</v>
      </c>
      <c r="BM51" s="3" t="s">
        <v>330</v>
      </c>
      <c r="BN51" s="8">
        <f>SUM(AG18)</f>
        <v>1094712.23</v>
      </c>
      <c r="BZ51" s="18"/>
      <c r="CA51" s="18"/>
      <c r="CE51" s="18" t="s">
        <v>1223</v>
      </c>
      <c r="CF51" s="18">
        <v>204</v>
      </c>
      <c r="CG51" s="3" t="s">
        <v>1224</v>
      </c>
      <c r="CH51" s="8">
        <v>0</v>
      </c>
      <c r="CJ51" s="18"/>
      <c r="CO51" s="18"/>
      <c r="CQ51" s="59" t="s">
        <v>1072</v>
      </c>
      <c r="CS51" s="18"/>
      <c r="CX51" s="18">
        <v>929</v>
      </c>
      <c r="CY51" s="3" t="s">
        <v>1257</v>
      </c>
      <c r="CZ51" s="8">
        <f>EXPENSES!J36</f>
        <v>0</v>
      </c>
    </row>
    <row r="52" spans="1:104" ht="15">
      <c r="A52" s="3"/>
      <c r="B52" s="3"/>
      <c r="C52" s="16" t="s">
        <v>1072</v>
      </c>
      <c r="E52" s="3"/>
      <c r="F52" s="3"/>
      <c r="G52" s="16" t="s">
        <v>1072</v>
      </c>
      <c r="I52" s="3" t="s">
        <v>798</v>
      </c>
      <c r="J52" s="8">
        <f>ROUND((Y46+((Y58*Y62)*Y63)),0)</f>
        <v>221998</v>
      </c>
      <c r="K52" s="8">
        <f>ROUND((J52*INSTRUCTIONS!$M$20),0)</f>
        <v>66599</v>
      </c>
      <c r="L52" s="8">
        <f>SUM((J52-K52))</f>
        <v>155399</v>
      </c>
      <c r="M52" s="152"/>
      <c r="N52" s="8"/>
      <c r="O52" s="18">
        <v>26</v>
      </c>
      <c r="P52" s="3" t="s">
        <v>76</v>
      </c>
      <c r="Q52" s="8">
        <f>SUM(Q48:Q50)</f>
        <v>6582199.859999999</v>
      </c>
      <c r="R52" s="158"/>
      <c r="S52" s="18">
        <v>30</v>
      </c>
      <c r="T52" s="3" t="s">
        <v>814</v>
      </c>
      <c r="U52" s="8">
        <f>'UNIT 2 PWR BILL'!U33</f>
        <v>13625771</v>
      </c>
      <c r="V52" s="8"/>
      <c r="W52" s="18"/>
      <c r="Z52" s="8"/>
      <c r="AA52" s="18"/>
      <c r="AD52" s="8"/>
      <c r="AE52" s="18" t="s">
        <v>1612</v>
      </c>
      <c r="AF52" s="96" t="s">
        <v>963</v>
      </c>
      <c r="AN52" s="18"/>
      <c r="AO52" s="18"/>
      <c r="BC52" s="18"/>
      <c r="BE52" s="3" t="s">
        <v>78</v>
      </c>
      <c r="BF52" s="109">
        <f>IF(INSTRUCTIONS!$L$29="ESTIMATE",TXPG12RV!G75,IF(INSTRUCTIONS!$L$29="ACTUAL",TXPG12RV!I75,"SEE NOTE"))</f>
        <v>-20049.740000000005</v>
      </c>
      <c r="BG52" s="8">
        <f>ROUND(SUM((BF52*INSTRUCTIONS!$M$20)),0)</f>
        <v>-6015</v>
      </c>
      <c r="BH52" s="8">
        <f>ROUND(BF52-BG52,0)</f>
        <v>-14035</v>
      </c>
      <c r="BI52" s="8"/>
      <c r="BJ52" s="8"/>
      <c r="BK52" s="18" t="s">
        <v>964</v>
      </c>
      <c r="BL52" s="18">
        <v>153</v>
      </c>
      <c r="BM52" s="3" t="s">
        <v>1670</v>
      </c>
      <c r="BN52" s="8">
        <v>0</v>
      </c>
      <c r="BZ52" s="18" t="s">
        <v>375</v>
      </c>
      <c r="CA52" s="18" t="s">
        <v>965</v>
      </c>
      <c r="CB52" s="3" t="s">
        <v>826</v>
      </c>
      <c r="CC52" s="8">
        <f>SUM(CC62)</f>
        <v>4791461</v>
      </c>
      <c r="CE52" s="18" t="s">
        <v>828</v>
      </c>
      <c r="CF52" s="18">
        <v>205</v>
      </c>
      <c r="CG52" s="3" t="s">
        <v>74</v>
      </c>
      <c r="CH52" s="8">
        <v>0</v>
      </c>
      <c r="CO52" s="18" t="s">
        <v>75</v>
      </c>
      <c r="CP52" s="3" t="s">
        <v>873</v>
      </c>
      <c r="CQ52" s="155">
        <f>(SUM(CQ46:CQ49))-CQ50</f>
        <v>0.045991</v>
      </c>
      <c r="CS52" s="18"/>
      <c r="CX52" s="18">
        <v>930</v>
      </c>
      <c r="CY52" s="3" t="s">
        <v>1528</v>
      </c>
      <c r="CZ52" s="8">
        <f>EXPENSES!J37</f>
        <v>54497.85</v>
      </c>
    </row>
    <row r="53" spans="1:104" ht="19.5" customHeight="1">
      <c r="A53" s="3"/>
      <c r="B53" s="3"/>
      <c r="C53" s="16"/>
      <c r="E53" s="3"/>
      <c r="F53" s="3"/>
      <c r="G53" s="16"/>
      <c r="I53" s="172" t="s">
        <v>1503</v>
      </c>
      <c r="J53" s="8">
        <f>SUM(J24)</f>
        <v>-8750</v>
      </c>
      <c r="K53" s="8">
        <f>SUM(K24)</f>
        <v>-2625</v>
      </c>
      <c r="L53" s="8">
        <f>SUM(L24)</f>
        <v>-6125</v>
      </c>
      <c r="M53" s="152"/>
      <c r="N53" s="8"/>
      <c r="O53" s="18"/>
      <c r="P53" s="3"/>
      <c r="Q53" s="16" t="s">
        <v>1072</v>
      </c>
      <c r="R53" s="158"/>
      <c r="S53" s="18"/>
      <c r="U53" s="16" t="s">
        <v>1072</v>
      </c>
      <c r="V53" s="8"/>
      <c r="W53" s="18" t="s">
        <v>1023</v>
      </c>
      <c r="X53" s="3" t="s">
        <v>1309</v>
      </c>
      <c r="Y53" s="8">
        <f>ROUND((((CM27*AC38)*CU58)/CU59),0)</f>
        <v>115980</v>
      </c>
      <c r="Z53" s="8"/>
      <c r="AA53" s="18"/>
      <c r="AE53" s="18"/>
      <c r="AO53" s="18"/>
      <c r="BC53" s="18"/>
      <c r="BF53" s="59" t="s">
        <v>1072</v>
      </c>
      <c r="BG53" s="59" t="s">
        <v>1072</v>
      </c>
      <c r="BH53" s="59" t="s">
        <v>1072</v>
      </c>
      <c r="BI53" s="59"/>
      <c r="BJ53" s="8"/>
      <c r="BK53" s="18" t="s">
        <v>1616</v>
      </c>
      <c r="BL53" s="18">
        <v>154</v>
      </c>
      <c r="BM53" s="3" t="s">
        <v>1799</v>
      </c>
      <c r="BN53" s="8">
        <f>SUM(AG20)</f>
        <v>12360428.97</v>
      </c>
      <c r="BZ53" s="18"/>
      <c r="CA53" s="18"/>
      <c r="CE53" s="18" t="s">
        <v>387</v>
      </c>
      <c r="CF53" s="18">
        <v>206</v>
      </c>
      <c r="CG53" s="3" t="s">
        <v>1255</v>
      </c>
      <c r="CO53" s="18"/>
      <c r="CQ53" s="59" t="s">
        <v>1569</v>
      </c>
      <c r="CS53" s="18"/>
      <c r="CT53" s="15"/>
      <c r="CU53" s="20" t="s">
        <v>366</v>
      </c>
      <c r="CX53" s="18">
        <v>931</v>
      </c>
      <c r="CY53" s="3" t="s">
        <v>1627</v>
      </c>
      <c r="CZ53" s="8">
        <f>EXPENSES!J38</f>
        <v>876.73</v>
      </c>
    </row>
    <row r="54" spans="1:104" ht="15">
      <c r="A54" s="3"/>
      <c r="B54" s="3"/>
      <c r="C54" s="16"/>
      <c r="E54" s="3"/>
      <c r="F54" s="3"/>
      <c r="G54" s="16"/>
      <c r="I54" s="3"/>
      <c r="J54" s="59" t="s">
        <v>1072</v>
      </c>
      <c r="K54" s="59" t="s">
        <v>1072</v>
      </c>
      <c r="L54" s="59" t="s">
        <v>1072</v>
      </c>
      <c r="M54" s="157"/>
      <c r="N54" s="8"/>
      <c r="O54" s="18"/>
      <c r="P54" s="3"/>
      <c r="Q54" s="3"/>
      <c r="R54" s="158"/>
      <c r="S54" s="18">
        <v>31</v>
      </c>
      <c r="T54" s="3" t="s">
        <v>1186</v>
      </c>
      <c r="U54" s="8">
        <f>SUM(((((((((((U40-U41)+U42)+U43)+U44)+U45)+U46)+U47)-U50)-U51)-U52))+U48-U49</f>
        <v>-11779149.301759997</v>
      </c>
      <c r="V54" s="8"/>
      <c r="W54" s="18" t="s">
        <v>1612</v>
      </c>
      <c r="X54" s="172" t="s">
        <v>1883</v>
      </c>
      <c r="Y54" s="8">
        <f>EXPENSES!F81</f>
        <v>150417.14</v>
      </c>
      <c r="Z54" s="8"/>
      <c r="AA54" s="18"/>
      <c r="AE54" s="18" t="s">
        <v>1211</v>
      </c>
      <c r="AF54" s="3" t="s">
        <v>193</v>
      </c>
      <c r="AG54" s="8">
        <v>169619238</v>
      </c>
      <c r="AO54" s="18"/>
      <c r="BC54" s="18"/>
      <c r="BD54" s="18"/>
      <c r="BJ54" s="8"/>
      <c r="BK54" s="18" t="s">
        <v>89</v>
      </c>
      <c r="BL54" s="18">
        <v>155</v>
      </c>
      <c r="BM54" s="3" t="s">
        <v>753</v>
      </c>
      <c r="BN54" s="8">
        <f>SUM(AG21)</f>
        <v>0</v>
      </c>
      <c r="BZ54" s="18" t="s">
        <v>228</v>
      </c>
      <c r="CA54" s="18"/>
      <c r="CB54" s="3" t="s">
        <v>90</v>
      </c>
      <c r="CC54" s="16" t="s">
        <v>1072</v>
      </c>
      <c r="CE54" s="18"/>
      <c r="CF54" s="18"/>
      <c r="CG54" s="3" t="s">
        <v>91</v>
      </c>
      <c r="CH54" s="8">
        <v>0</v>
      </c>
      <c r="CO54" s="18"/>
      <c r="CT54" s="18" t="s">
        <v>158</v>
      </c>
      <c r="CU54" s="8">
        <f>J22-K22-L22</f>
        <v>0</v>
      </c>
      <c r="CX54" s="18">
        <v>933</v>
      </c>
      <c r="CY54" s="3" t="s">
        <v>159</v>
      </c>
      <c r="CZ54" s="8">
        <v>0</v>
      </c>
    </row>
    <row r="55" spans="1:102" ht="15">
      <c r="A55" s="3"/>
      <c r="B55" s="3"/>
      <c r="C55" s="8"/>
      <c r="E55" s="3"/>
      <c r="F55" s="3"/>
      <c r="G55" s="8"/>
      <c r="I55" s="3" t="s">
        <v>784</v>
      </c>
      <c r="J55" s="8">
        <f>TRUNC(J48-(SUM(J49:J53)))</f>
        <v>1868762</v>
      </c>
      <c r="K55" s="8">
        <f>TRUNC(K48-(SUM(K49:K53)))</f>
        <v>560629</v>
      </c>
      <c r="L55" s="8">
        <f>TRUNC(L48-(SUM(L49:L53)))</f>
        <v>1308133</v>
      </c>
      <c r="M55" s="152"/>
      <c r="N55" s="8"/>
      <c r="O55" s="18">
        <v>27</v>
      </c>
      <c r="P55" s="3" t="s">
        <v>201</v>
      </c>
      <c r="Q55" s="8">
        <f>SUM(((Q34+Q43)+Q52))</f>
        <v>310137664.8299999</v>
      </c>
      <c r="R55" s="158"/>
      <c r="S55" s="18"/>
      <c r="U55" s="16" t="s">
        <v>1072</v>
      </c>
      <c r="V55" s="8"/>
      <c r="W55" s="18" t="s">
        <v>1211</v>
      </c>
      <c r="X55" s="172" t="s">
        <v>211</v>
      </c>
      <c r="Y55" s="8">
        <f>EXPENSES!F82</f>
        <v>0</v>
      </c>
      <c r="Z55" s="8"/>
      <c r="AA55" s="18"/>
      <c r="AE55" s="18" t="s">
        <v>75</v>
      </c>
      <c r="AF55" s="3" t="s">
        <v>133</v>
      </c>
      <c r="AG55" s="8">
        <f>SUM((((AG54*CQ59)/CU59)*CU58))</f>
        <v>954793.6423101146</v>
      </c>
      <c r="BC55" s="18">
        <v>12</v>
      </c>
      <c r="BD55" s="18" t="s">
        <v>631</v>
      </c>
      <c r="BE55" s="3" t="s">
        <v>1074</v>
      </c>
      <c r="BF55" s="8">
        <f>BF35+BF38+BF42+BF45+BF49+BF52</f>
        <v>1556576.76</v>
      </c>
      <c r="BG55" s="8">
        <f>BG35+BG38+BG42+BG45+BG49+BG52</f>
        <v>466973</v>
      </c>
      <c r="BH55" s="8">
        <f>BH35+BH38+BH42+BH45+BH49+BH52</f>
        <v>1089603</v>
      </c>
      <c r="BI55" s="8"/>
      <c r="BJ55" s="8"/>
      <c r="BK55" s="18" t="s">
        <v>134</v>
      </c>
      <c r="BL55" s="18">
        <v>156</v>
      </c>
      <c r="BM55" s="3" t="s">
        <v>160</v>
      </c>
      <c r="BN55" s="8">
        <v>0</v>
      </c>
      <c r="BZ55" s="18"/>
      <c r="CA55" s="18"/>
      <c r="CB55" s="3" t="s">
        <v>622</v>
      </c>
      <c r="CC55" s="8">
        <f>CC48+CC50+CC52</f>
        <v>6582199.859999999</v>
      </c>
      <c r="CE55" s="18"/>
      <c r="CF55" s="18"/>
      <c r="CH55" s="16" t="s">
        <v>1072</v>
      </c>
      <c r="CO55" s="18" t="s">
        <v>162</v>
      </c>
      <c r="CP55" s="3" t="s">
        <v>782</v>
      </c>
      <c r="CQ55" s="155">
        <f>SUM(((CQ46+CQ47)-CQ50))</f>
        <v>0.007979</v>
      </c>
      <c r="CT55" s="18" t="s">
        <v>783</v>
      </c>
      <c r="CU55" s="16" t="s">
        <v>1072</v>
      </c>
      <c r="CX55" s="18"/>
    </row>
    <row r="56" spans="1:104" ht="15">
      <c r="A56" s="3"/>
      <c r="B56" s="3"/>
      <c r="C56" s="40"/>
      <c r="E56" s="3"/>
      <c r="F56" s="3"/>
      <c r="G56" s="8"/>
      <c r="I56" s="3" t="s">
        <v>980</v>
      </c>
      <c r="J56" s="8">
        <f>SUM(J35)</f>
        <v>-3251756.66</v>
      </c>
      <c r="K56" s="8">
        <f>SUM(K35)</f>
        <v>-975527</v>
      </c>
      <c r="L56" s="8">
        <f>SUM(L35)</f>
        <v>-2276230</v>
      </c>
      <c r="M56" s="152"/>
      <c r="N56" s="8"/>
      <c r="O56" s="18"/>
      <c r="P56" s="3"/>
      <c r="Q56" s="16" t="s">
        <v>1569</v>
      </c>
      <c r="R56" s="158"/>
      <c r="S56" s="18">
        <v>32</v>
      </c>
      <c r="T56" s="3" t="s">
        <v>827</v>
      </c>
      <c r="U56" s="8">
        <f>SUM((U35+U54))</f>
        <v>246658551.67000005</v>
      </c>
      <c r="V56" s="8"/>
      <c r="W56" s="18" t="s">
        <v>75</v>
      </c>
      <c r="X56" s="3" t="s">
        <v>1865</v>
      </c>
      <c r="Y56" s="8">
        <f>ROUND((((Y24*AC50)*CU58)/CU59),0)</f>
        <v>0</v>
      </c>
      <c r="Z56" s="8"/>
      <c r="AA56" s="18"/>
      <c r="AE56" s="18" t="s">
        <v>162</v>
      </c>
      <c r="AF56" s="3" t="s">
        <v>451</v>
      </c>
      <c r="AG56" s="8">
        <f>IF(AG69&gt;0,AG69,0)</f>
        <v>26739</v>
      </c>
      <c r="BC56" s="18"/>
      <c r="BF56" s="59" t="s">
        <v>1569</v>
      </c>
      <c r="BG56" s="59" t="s">
        <v>1569</v>
      </c>
      <c r="BH56" s="59" t="s">
        <v>1569</v>
      </c>
      <c r="BI56" s="59"/>
      <c r="BJ56" s="8"/>
      <c r="BK56" s="18" t="s">
        <v>452</v>
      </c>
      <c r="BL56" s="18">
        <v>163</v>
      </c>
      <c r="BM56" s="3" t="s">
        <v>1895</v>
      </c>
      <c r="BN56" s="8">
        <f>SUM(AG22)</f>
        <v>0</v>
      </c>
      <c r="CC56" s="16" t="s">
        <v>1569</v>
      </c>
      <c r="CE56" s="18" t="s">
        <v>173</v>
      </c>
      <c r="CF56" s="18"/>
      <c r="CG56" s="3" t="s">
        <v>114</v>
      </c>
      <c r="CH56" s="8">
        <f>CH51+CH52+CH54</f>
        <v>0</v>
      </c>
      <c r="CO56" s="18"/>
      <c r="CP56" s="3" t="s">
        <v>63</v>
      </c>
      <c r="CU56" s="20" t="s">
        <v>1554</v>
      </c>
      <c r="CX56" s="18"/>
      <c r="CY56" s="3" t="s">
        <v>1866</v>
      </c>
      <c r="CZ56" s="8">
        <f>SUM(CZ42:CZ54)</f>
        <v>315579.04</v>
      </c>
    </row>
    <row r="57" spans="1:102" ht="15">
      <c r="A57" s="3"/>
      <c r="B57" s="3"/>
      <c r="C57" s="16"/>
      <c r="E57" s="3"/>
      <c r="F57" s="3"/>
      <c r="G57" s="16"/>
      <c r="I57" s="3"/>
      <c r="J57" s="59" t="s">
        <v>1072</v>
      </c>
      <c r="K57" s="59" t="s">
        <v>1072</v>
      </c>
      <c r="L57" s="59" t="s">
        <v>1072</v>
      </c>
      <c r="M57" s="157"/>
      <c r="N57" s="8"/>
      <c r="O57" s="18"/>
      <c r="P57" s="3"/>
      <c r="Q57" s="3"/>
      <c r="R57" s="158"/>
      <c r="S57" s="18"/>
      <c r="U57" s="16" t="s">
        <v>1569</v>
      </c>
      <c r="V57" s="8"/>
      <c r="W57" s="18"/>
      <c r="Y57" s="16" t="s">
        <v>1072</v>
      </c>
      <c r="Z57" s="8"/>
      <c r="AE57" s="18" t="s">
        <v>1867</v>
      </c>
      <c r="AF57" s="3" t="s">
        <v>104</v>
      </c>
      <c r="AG57" s="8">
        <f>IF(AG69&lt;0,-1*AG69,0)</f>
        <v>0</v>
      </c>
      <c r="BC57" s="18"/>
      <c r="BD57" s="34" t="s">
        <v>1073</v>
      </c>
      <c r="BJ57" s="8"/>
      <c r="BK57" s="18" t="s">
        <v>105</v>
      </c>
      <c r="BL57" s="18"/>
      <c r="BM57" s="3" t="s">
        <v>1653</v>
      </c>
      <c r="BN57" s="16" t="s">
        <v>1072</v>
      </c>
      <c r="CH57" s="16" t="s">
        <v>1072</v>
      </c>
      <c r="CO57" s="18" t="s">
        <v>1867</v>
      </c>
      <c r="CP57" s="3" t="s">
        <v>1173</v>
      </c>
      <c r="CQ57" s="155">
        <f>ROUND((CQ49/0.65),6)</f>
        <v>0.05848</v>
      </c>
      <c r="CX57" s="18"/>
    </row>
    <row r="58" spans="1:104" ht="15">
      <c r="A58" s="3"/>
      <c r="B58" s="18"/>
      <c r="C58" s="8"/>
      <c r="E58" s="3"/>
      <c r="F58" s="18"/>
      <c r="G58" s="8"/>
      <c r="I58" s="3" t="s">
        <v>526</v>
      </c>
      <c r="J58" s="8">
        <f>SUM((J55+J56))</f>
        <v>-1382994.6600000001</v>
      </c>
      <c r="K58" s="8">
        <f>SUM((K55+K56))</f>
        <v>-414898</v>
      </c>
      <c r="L58" s="8">
        <f>SUM((L55+L56))</f>
        <v>-968097</v>
      </c>
      <c r="M58" s="152"/>
      <c r="N58" s="8"/>
      <c r="O58" s="18">
        <v>28</v>
      </c>
      <c r="P58" s="3" t="s">
        <v>202</v>
      </c>
      <c r="Q58" s="155">
        <f>ROUND((Q34/Q55),6)</f>
        <v>0.79532</v>
      </c>
      <c r="R58" s="158"/>
      <c r="S58" s="18"/>
      <c r="V58" s="8"/>
      <c r="W58" s="18" t="s">
        <v>162</v>
      </c>
      <c r="X58" s="3" t="s">
        <v>1800</v>
      </c>
      <c r="Y58" s="8">
        <f>SUM((((Y53+Y54)+Y55)-Y56))</f>
        <v>266397.14</v>
      </c>
      <c r="Z58" s="8"/>
      <c r="AE58" s="18"/>
      <c r="AG58" s="59" t="s">
        <v>1072</v>
      </c>
      <c r="BD58" s="34" t="s">
        <v>1213</v>
      </c>
      <c r="BJ58" s="8"/>
      <c r="BK58" s="18"/>
      <c r="BL58" s="18"/>
      <c r="BM58" s="3" t="s">
        <v>34</v>
      </c>
      <c r="BN58" s="8">
        <f>SUM(BN50:BN56)</f>
        <v>32017186.620000005</v>
      </c>
      <c r="CA58" s="34" t="s">
        <v>35</v>
      </c>
      <c r="CC58" s="3" t="s">
        <v>1554</v>
      </c>
      <c r="CO58" s="18"/>
      <c r="CP58" s="3" t="s">
        <v>64</v>
      </c>
      <c r="CQ58" s="59" t="s">
        <v>1072</v>
      </c>
      <c r="CT58" s="18" t="s">
        <v>1347</v>
      </c>
      <c r="CU58" s="3">
        <v>31</v>
      </c>
      <c r="CX58" s="18">
        <v>935</v>
      </c>
      <c r="CY58" s="3" t="s">
        <v>1606</v>
      </c>
      <c r="CZ58" s="8">
        <f>EXPENSES!J43</f>
        <v>36634.13</v>
      </c>
    </row>
    <row r="59" spans="1:102" ht="15">
      <c r="A59" s="3"/>
      <c r="B59" s="3"/>
      <c r="C59" s="59" t="s">
        <v>1569</v>
      </c>
      <c r="E59" s="3"/>
      <c r="F59" s="3"/>
      <c r="G59" s="59" t="s">
        <v>1569</v>
      </c>
      <c r="I59" s="3" t="s">
        <v>833</v>
      </c>
      <c r="J59" s="158">
        <v>0.35</v>
      </c>
      <c r="K59" s="158">
        <f>+J59</f>
        <v>0.35</v>
      </c>
      <c r="L59" s="158">
        <f>+J59</f>
        <v>0.35</v>
      </c>
      <c r="M59" s="173"/>
      <c r="N59" s="158"/>
      <c r="O59" s="18"/>
      <c r="P59" s="3"/>
      <c r="Q59" s="3"/>
      <c r="R59" s="158"/>
      <c r="S59" s="18"/>
      <c r="V59" s="158"/>
      <c r="W59" s="18" t="s">
        <v>1867</v>
      </c>
      <c r="X59" s="3" t="s">
        <v>772</v>
      </c>
      <c r="Y59" s="8">
        <v>0</v>
      </c>
      <c r="Z59" s="158"/>
      <c r="AE59" s="18" t="s">
        <v>527</v>
      </c>
      <c r="AF59" s="3" t="s">
        <v>528</v>
      </c>
      <c r="AG59" s="8">
        <f>SUM(AG54+AG55+AG56-AG57)</f>
        <v>170600770.6423101</v>
      </c>
      <c r="BJ59" s="8"/>
      <c r="BK59" s="18"/>
      <c r="BL59" s="18"/>
      <c r="BN59" s="16" t="s">
        <v>1072</v>
      </c>
      <c r="CB59" s="3" t="s">
        <v>271</v>
      </c>
      <c r="CC59" s="8">
        <f>IF((AG17=AG28),0,(IF((AG45&gt;AG17),(ROUND((AG28-AG17),0)),(ROUND((AG28-AG45),0)))))</f>
        <v>4791461</v>
      </c>
      <c r="CO59" s="18" t="s">
        <v>527</v>
      </c>
      <c r="CP59" s="3" t="s">
        <v>1264</v>
      </c>
      <c r="CQ59" s="155">
        <f>SUM((CQ55+CQ57))</f>
        <v>0.06645899999999999</v>
      </c>
      <c r="CT59" s="18" t="s">
        <v>1348</v>
      </c>
      <c r="CU59" s="3">
        <f>INSTRUCTIONS!L16</f>
        <v>366</v>
      </c>
      <c r="CX59" s="18"/>
    </row>
    <row r="60" spans="1:104" ht="15.75">
      <c r="A60" s="3"/>
      <c r="B60" s="18" t="s">
        <v>77</v>
      </c>
      <c r="C60" s="8">
        <f>C42+C51</f>
        <v>3776581.67</v>
      </c>
      <c r="E60" s="26"/>
      <c r="F60" s="18" t="s">
        <v>77</v>
      </c>
      <c r="G60" s="8">
        <f>G42+G51</f>
        <v>8812024.225000001</v>
      </c>
      <c r="I60" s="3" t="s">
        <v>217</v>
      </c>
      <c r="J60" s="8">
        <f>SUM(K60:L60)</f>
        <v>-484048</v>
      </c>
      <c r="K60" s="8">
        <f>ROUND((K58*K59),0)</f>
        <v>-145214</v>
      </c>
      <c r="L60" s="8">
        <f>ROUND((L58*L59),0)</f>
        <v>-338834</v>
      </c>
      <c r="M60" s="152"/>
      <c r="N60" s="8"/>
      <c r="O60" s="18">
        <v>29</v>
      </c>
      <c r="P60" s="3" t="s">
        <v>203</v>
      </c>
      <c r="Q60" s="155">
        <f>ROUND((Q43/Q55),6)</f>
        <v>0.183457</v>
      </c>
      <c r="R60" s="8"/>
      <c r="S60" s="18">
        <v>33</v>
      </c>
      <c r="T60" s="96" t="s">
        <v>474</v>
      </c>
      <c r="V60" s="8"/>
      <c r="W60" s="18"/>
      <c r="Y60" s="16" t="s">
        <v>1072</v>
      </c>
      <c r="Z60" s="8"/>
      <c r="AE60" s="18"/>
      <c r="AG60" s="59" t="s">
        <v>1569</v>
      </c>
      <c r="BE60" s="86" t="s">
        <v>1324</v>
      </c>
      <c r="BF60" s="109">
        <f>IF(INSTRUCTIONS!$L$29="ESTIMATE",TXPG12RV!G39,IF(INSTRUCTIONS!$L$29="ACTUAL",TXPG12RV!I39,"SEE NOTE"))</f>
        <v>-3251756.66</v>
      </c>
      <c r="BJ60" s="8"/>
      <c r="BK60" s="18" t="s">
        <v>834</v>
      </c>
      <c r="BL60" s="18">
        <v>165</v>
      </c>
      <c r="BM60" s="3" t="s">
        <v>1656</v>
      </c>
      <c r="BN60" s="8">
        <f>AEGBS!F31</f>
        <v>24200.01</v>
      </c>
      <c r="CB60" s="3" t="s">
        <v>1228</v>
      </c>
      <c r="CC60" s="7">
        <v>0</v>
      </c>
      <c r="CO60" s="18"/>
      <c r="CQ60" s="59" t="s">
        <v>1569</v>
      </c>
      <c r="CT60" s="18" t="s">
        <v>981</v>
      </c>
      <c r="CU60" s="15" t="str">
        <f>INSTRUCTIONS!L4</f>
        <v>2016</v>
      </c>
      <c r="CX60" s="18"/>
      <c r="CY60" s="18" t="s">
        <v>1834</v>
      </c>
      <c r="CZ60" s="8">
        <f>SUM((CZ56+CZ58))</f>
        <v>352213.17</v>
      </c>
    </row>
    <row r="61" spans="1:99" ht="15">
      <c r="A61" s="3"/>
      <c r="B61" s="3"/>
      <c r="C61" s="59" t="s">
        <v>1569</v>
      </c>
      <c r="E61" s="174"/>
      <c r="F61" s="3"/>
      <c r="G61" s="59" t="s">
        <v>1569</v>
      </c>
      <c r="I61" s="3" t="s">
        <v>869</v>
      </c>
      <c r="J61" s="8">
        <f>SUM(K61:L61)</f>
        <v>1556576</v>
      </c>
      <c r="K61" s="8">
        <f>SUM(K36)</f>
        <v>466973</v>
      </c>
      <c r="L61" s="8">
        <f>SUM(L36)</f>
        <v>1089603</v>
      </c>
      <c r="M61" s="152"/>
      <c r="N61" s="8"/>
      <c r="O61" s="18"/>
      <c r="P61" s="3"/>
      <c r="Q61" s="3"/>
      <c r="R61" s="8"/>
      <c r="S61" s="18"/>
      <c r="V61" s="8"/>
      <c r="W61" s="18" t="s">
        <v>527</v>
      </c>
      <c r="X61" s="3" t="s">
        <v>1401</v>
      </c>
      <c r="Y61" s="8">
        <f>SUM(Y58:Y59)</f>
        <v>266397.14</v>
      </c>
      <c r="Z61" s="8"/>
      <c r="AE61" s="18"/>
      <c r="AG61" s="8"/>
      <c r="BE61" s="86" t="s">
        <v>457</v>
      </c>
      <c r="BF61" s="109">
        <f>IF(INSTRUCTIONS!$L$29="ESTIMATE",TXPG12RV!G77,IF(INSTRUCTIONS!$L$29="ACTUAL",TXPG12RV!I77,"SEE NOTE"))</f>
        <v>1556576.76</v>
      </c>
      <c r="BJ61" s="8"/>
      <c r="BK61" s="18"/>
      <c r="BL61" s="18"/>
      <c r="BN61" s="16" t="s">
        <v>1072</v>
      </c>
      <c r="CC61" s="16" t="s">
        <v>1072</v>
      </c>
      <c r="CT61" s="18" t="s">
        <v>213</v>
      </c>
      <c r="CU61" s="15">
        <f>INSTRUCTIONS!L3</f>
        <v>1</v>
      </c>
    </row>
    <row r="62" spans="1:99" ht="15">
      <c r="A62" s="34" t="s">
        <v>161</v>
      </c>
      <c r="B62" s="3"/>
      <c r="C62" s="3"/>
      <c r="E62" s="34" t="s">
        <v>161</v>
      </c>
      <c r="F62" s="3"/>
      <c r="G62" s="3"/>
      <c r="I62" s="3"/>
      <c r="J62" s="59" t="s">
        <v>1072</v>
      </c>
      <c r="K62" s="59" t="s">
        <v>1072</v>
      </c>
      <c r="L62" s="59" t="s">
        <v>1072</v>
      </c>
      <c r="M62" s="157"/>
      <c r="N62" s="8"/>
      <c r="O62" s="18">
        <v>30</v>
      </c>
      <c r="P62" s="3" t="s">
        <v>204</v>
      </c>
      <c r="Q62" s="155">
        <f>SUM(((Q64-Q58)-Q60))</f>
        <v>0.021222999999999964</v>
      </c>
      <c r="R62" s="59"/>
      <c r="S62" s="18">
        <v>34</v>
      </c>
      <c r="T62" s="3" t="s">
        <v>206</v>
      </c>
      <c r="U62" s="155">
        <f>ROUND((U35/U56),4)</f>
        <v>1.0478</v>
      </c>
      <c r="V62" s="59"/>
      <c r="W62" s="18" t="s">
        <v>241</v>
      </c>
      <c r="X62" s="3" t="s">
        <v>703</v>
      </c>
      <c r="Y62" s="155">
        <f>SUM(Q58)</f>
        <v>0.79532</v>
      </c>
      <c r="Z62" s="59"/>
      <c r="AE62" s="18"/>
      <c r="AF62" s="3" t="s">
        <v>53</v>
      </c>
      <c r="AG62" s="8"/>
      <c r="BJ62" s="8"/>
      <c r="BK62" s="18" t="s">
        <v>1428</v>
      </c>
      <c r="BL62" s="18">
        <v>186</v>
      </c>
      <c r="BM62" s="3" t="s">
        <v>229</v>
      </c>
      <c r="BN62" s="8">
        <v>0</v>
      </c>
      <c r="CB62" s="3" t="s">
        <v>1062</v>
      </c>
      <c r="CC62" s="8">
        <f>ROUND((CC59+CC60),0)</f>
        <v>4791461</v>
      </c>
      <c r="CT62" s="18" t="s">
        <v>492</v>
      </c>
      <c r="CU62" s="175" t="str">
        <f>INSTRUCTIONS!L7</f>
        <v>January, 2016</v>
      </c>
    </row>
    <row r="63" spans="1:104" ht="15">
      <c r="A63" s="3"/>
      <c r="B63" s="3"/>
      <c r="C63" s="3"/>
      <c r="E63" s="3"/>
      <c r="F63" s="3"/>
      <c r="G63" s="3"/>
      <c r="I63" s="3" t="s">
        <v>1868</v>
      </c>
      <c r="J63" s="8">
        <f>SUM((J60+J61))</f>
        <v>1072528</v>
      </c>
      <c r="K63" s="8">
        <f>SUM((K60+K61))</f>
        <v>321759</v>
      </c>
      <c r="L63" s="8">
        <f>SUM((L60+L61))</f>
        <v>750769</v>
      </c>
      <c r="M63" s="152"/>
      <c r="N63" s="8"/>
      <c r="O63" s="18"/>
      <c r="P63" s="3"/>
      <c r="Q63" s="16" t="s">
        <v>1072</v>
      </c>
      <c r="R63" s="8"/>
      <c r="S63" s="18"/>
      <c r="V63" s="8"/>
      <c r="W63" s="18" t="s">
        <v>771</v>
      </c>
      <c r="X63" s="3" t="s">
        <v>975</v>
      </c>
      <c r="Y63" s="155">
        <f>ROUND((U35/U56),4)</f>
        <v>1.0478</v>
      </c>
      <c r="Z63" s="8"/>
      <c r="AF63" s="3" t="s">
        <v>1666</v>
      </c>
      <c r="AG63" s="8"/>
      <c r="BD63" s="3" t="s">
        <v>458</v>
      </c>
      <c r="BE63" s="3" t="s">
        <v>669</v>
      </c>
      <c r="BK63" s="18"/>
      <c r="BL63" s="18"/>
      <c r="BN63" s="16" t="s">
        <v>1072</v>
      </c>
      <c r="CC63" s="16" t="s">
        <v>1569</v>
      </c>
      <c r="CX63" s="34" t="s">
        <v>645</v>
      </c>
      <c r="CZ63" s="8">
        <f>SUM(((((((CU24+CU35)+CU41)+CZ22)+CZ32)+CZ40)+CZ60))</f>
        <v>8064337.49</v>
      </c>
    </row>
    <row r="64" spans="1:104" ht="15">
      <c r="A64" s="3" t="s">
        <v>1654</v>
      </c>
      <c r="B64" s="176">
        <v>42419</v>
      </c>
      <c r="C64" s="3"/>
      <c r="E64" s="3" t="s">
        <v>1654</v>
      </c>
      <c r="F64" s="176">
        <v>42419</v>
      </c>
      <c r="G64" s="3"/>
      <c r="I64" s="3"/>
      <c r="J64" s="59" t="s">
        <v>1569</v>
      </c>
      <c r="K64" s="59" t="s">
        <v>1569</v>
      </c>
      <c r="L64" s="59" t="s">
        <v>1569</v>
      </c>
      <c r="M64" s="157"/>
      <c r="N64" s="8"/>
      <c r="O64" s="18">
        <v>31</v>
      </c>
      <c r="P64" s="3" t="s">
        <v>1429</v>
      </c>
      <c r="Q64" s="155">
        <v>1</v>
      </c>
      <c r="R64" s="59"/>
      <c r="S64" s="18">
        <v>35</v>
      </c>
      <c r="T64" s="3" t="s">
        <v>207</v>
      </c>
      <c r="U64" s="155">
        <f>ROUND((U54/U56),4)</f>
        <v>-0.0478</v>
      </c>
      <c r="V64" s="59"/>
      <c r="W64" s="18"/>
      <c r="Z64" s="59"/>
      <c r="AG64" s="8"/>
      <c r="BE64" s="3" t="s">
        <v>347</v>
      </c>
      <c r="BK64" s="18"/>
      <c r="BL64" s="18"/>
      <c r="CX64" s="34" t="s">
        <v>1452</v>
      </c>
      <c r="CZ64" s="8">
        <f>+CZ63</f>
        <v>8064337.49</v>
      </c>
    </row>
    <row r="65" spans="1:104" ht="15">
      <c r="A65" s="34" t="s">
        <v>1793</v>
      </c>
      <c r="B65" s="3"/>
      <c r="C65" s="3"/>
      <c r="E65" s="34" t="s">
        <v>1793</v>
      </c>
      <c r="F65" s="3"/>
      <c r="G65" s="3"/>
      <c r="I65" s="34" t="s">
        <v>190</v>
      </c>
      <c r="J65" s="3"/>
      <c r="K65" s="3"/>
      <c r="L65" s="3"/>
      <c r="M65" s="3"/>
      <c r="N65" s="3"/>
      <c r="O65" s="3" t="s">
        <v>770</v>
      </c>
      <c r="P65" s="3"/>
      <c r="Q65" s="16" t="s">
        <v>1569</v>
      </c>
      <c r="R65" s="3"/>
      <c r="S65" s="18"/>
      <c r="U65" s="59" t="s">
        <v>1072</v>
      </c>
      <c r="V65" s="3"/>
      <c r="W65" s="18" t="s">
        <v>1396</v>
      </c>
      <c r="X65" s="3" t="s">
        <v>107</v>
      </c>
      <c r="Y65" s="8">
        <f>ROUND(((Y61*Y62)*Y63),0)</f>
        <v>221998</v>
      </c>
      <c r="Z65" s="3"/>
      <c r="AG65" s="8" t="s">
        <v>1554</v>
      </c>
      <c r="BK65" s="18"/>
      <c r="BL65" s="18"/>
      <c r="CX65" s="34" t="s">
        <v>1411</v>
      </c>
      <c r="CZ65" s="8">
        <f>SUM((CZ63-CZ64))</f>
        <v>0</v>
      </c>
    </row>
    <row r="66" spans="1:64" ht="15">
      <c r="A66" s="34" t="s">
        <v>234</v>
      </c>
      <c r="B66" s="3"/>
      <c r="C66" s="3"/>
      <c r="E66" s="34" t="s">
        <v>234</v>
      </c>
      <c r="F66" s="3"/>
      <c r="G66" s="3"/>
      <c r="I66" s="3"/>
      <c r="J66" s="3"/>
      <c r="K66" s="3"/>
      <c r="L66" s="3"/>
      <c r="M66" s="3"/>
      <c r="N66" s="3"/>
      <c r="O66" s="3" t="s">
        <v>1451</v>
      </c>
      <c r="P66" s="3"/>
      <c r="Q66" s="3"/>
      <c r="R66" s="3"/>
      <c r="S66" s="18"/>
      <c r="U66" s="155">
        <f>SUM((U62+U64))</f>
        <v>1</v>
      </c>
      <c r="V66" s="3"/>
      <c r="X66" s="18" t="s">
        <v>376</v>
      </c>
      <c r="Y66" s="59" t="s">
        <v>1569</v>
      </c>
      <c r="Z66" s="3"/>
      <c r="BK66" s="18"/>
      <c r="BL66" s="18"/>
    </row>
    <row r="67" spans="1:64" ht="15">
      <c r="A67" s="34" t="s">
        <v>1019</v>
      </c>
      <c r="B67" s="3"/>
      <c r="C67" s="3"/>
      <c r="E67" s="34" t="s">
        <v>1019</v>
      </c>
      <c r="F67" s="3"/>
      <c r="G67" s="3"/>
      <c r="O67" s="3" t="s">
        <v>253</v>
      </c>
      <c r="P67" s="3"/>
      <c r="Q67" s="3"/>
      <c r="S67" s="18"/>
      <c r="T67" s="3" t="s">
        <v>1025</v>
      </c>
      <c r="U67" s="177" t="s">
        <v>1569</v>
      </c>
      <c r="AF67" s="3" t="s">
        <v>858</v>
      </c>
      <c r="AG67" s="8">
        <v>15346369.345</v>
      </c>
      <c r="BK67" s="18"/>
      <c r="BL67" s="18"/>
    </row>
    <row r="68" spans="1:64" ht="15">
      <c r="A68" s="34" t="s">
        <v>1619</v>
      </c>
      <c r="B68" s="3"/>
      <c r="C68" s="3"/>
      <c r="E68" s="34" t="s">
        <v>737</v>
      </c>
      <c r="F68" s="3"/>
      <c r="G68" s="3"/>
      <c r="O68" s="3" t="s">
        <v>1317</v>
      </c>
      <c r="P68" s="3"/>
      <c r="Q68" s="3"/>
      <c r="S68" s="18"/>
      <c r="T68" s="3" t="s">
        <v>1453</v>
      </c>
      <c r="AF68" s="3" t="s">
        <v>1376</v>
      </c>
      <c r="AG68" s="8">
        <v>15319630.345</v>
      </c>
      <c r="BK68" s="18"/>
      <c r="BL68" s="18"/>
    </row>
    <row r="69" spans="1:64" ht="15.75">
      <c r="A69" s="34" t="s">
        <v>546</v>
      </c>
      <c r="B69" s="3"/>
      <c r="C69" s="3"/>
      <c r="E69" s="34" t="s">
        <v>546</v>
      </c>
      <c r="F69" s="3"/>
      <c r="G69" s="3"/>
      <c r="S69" s="18"/>
      <c r="T69" s="3" t="s">
        <v>1269</v>
      </c>
      <c r="AE69" s="26"/>
      <c r="AF69" s="3" t="s">
        <v>367</v>
      </c>
      <c r="AG69" s="8">
        <f>Total_unit_1_Actual-Total_Unit_1_Capped</f>
        <v>26739</v>
      </c>
      <c r="BK69" s="18"/>
      <c r="BL69" s="18"/>
    </row>
    <row r="70" spans="1:64" ht="15.75">
      <c r="A70" s="34" t="s">
        <v>1383</v>
      </c>
      <c r="B70" s="3"/>
      <c r="C70" s="3"/>
      <c r="E70" s="34"/>
      <c r="F70" s="3"/>
      <c r="G70" s="3"/>
      <c r="S70" s="18"/>
      <c r="AE70" s="26"/>
      <c r="BE70" s="5"/>
      <c r="BF70" s="5"/>
      <c r="BK70" s="18"/>
      <c r="BL70" s="18"/>
    </row>
    <row r="71" spans="1:64" ht="15.75">
      <c r="A71" s="34" t="s">
        <v>1306</v>
      </c>
      <c r="B71" s="3"/>
      <c r="C71" s="3"/>
      <c r="E71" s="34" t="s">
        <v>1306</v>
      </c>
      <c r="F71" s="3"/>
      <c r="G71" s="3"/>
      <c r="S71" s="18"/>
      <c r="AE71" s="26"/>
      <c r="BK71" s="18"/>
      <c r="BL71" s="18"/>
    </row>
    <row r="72" spans="1:64" ht="15.75">
      <c r="A72" s="178"/>
      <c r="B72" s="178"/>
      <c r="C72" s="3"/>
      <c r="E72" s="34"/>
      <c r="F72" s="3"/>
      <c r="G72" s="3"/>
      <c r="S72" s="18"/>
      <c r="AE72" s="26"/>
      <c r="BK72" s="18"/>
      <c r="BL72" s="18"/>
    </row>
    <row r="73" spans="1:64" ht="15">
      <c r="A73" s="178"/>
      <c r="B73" s="178"/>
      <c r="E73" s="34"/>
      <c r="F73" s="3"/>
      <c r="BK73" s="18"/>
      <c r="BL73" s="18"/>
    </row>
    <row r="74" spans="1:64" ht="15">
      <c r="A74" s="178"/>
      <c r="B74" s="178"/>
      <c r="E74" s="34"/>
      <c r="BK74" s="18"/>
      <c r="BL74" s="18"/>
    </row>
    <row r="75" spans="1:64" ht="15">
      <c r="A75" s="178"/>
      <c r="B75" s="178"/>
      <c r="E75" s="34"/>
      <c r="BK75" s="18"/>
      <c r="BL75" s="18"/>
    </row>
    <row r="76" spans="1:64" ht="15">
      <c r="A76" s="178"/>
      <c r="B76" s="178"/>
      <c r="E76" s="34"/>
      <c r="BK76" s="18"/>
      <c r="BL76" s="18"/>
    </row>
    <row r="77" spans="1:226" ht="15">
      <c r="A77" s="178"/>
      <c r="B77" s="178"/>
      <c r="Z77" s="3"/>
      <c r="BG77" s="18"/>
      <c r="BH77" s="18"/>
      <c r="HO77" s="24"/>
      <c r="HP77" s="24"/>
      <c r="HQ77" s="24"/>
      <c r="HR77" s="24"/>
    </row>
    <row r="78" spans="26:226" ht="15">
      <c r="Z78" s="3"/>
      <c r="BG78" s="18"/>
      <c r="BH78" s="18"/>
      <c r="DT78" s="131"/>
      <c r="HO78" s="24"/>
      <c r="HP78" s="24"/>
      <c r="HQ78" s="24"/>
      <c r="HR78" s="24"/>
    </row>
    <row r="79" spans="15:226" ht="15">
      <c r="O79" s="3"/>
      <c r="P79" s="3"/>
      <c r="Q79" s="3"/>
      <c r="Z79" s="3"/>
      <c r="BG79" s="18"/>
      <c r="BH79" s="18"/>
      <c r="DT79" s="131"/>
      <c r="HO79" s="24"/>
      <c r="HP79" s="24"/>
      <c r="HQ79" s="24"/>
      <c r="HR79" s="24"/>
    </row>
    <row r="80" spans="15:226" ht="15">
      <c r="O80" s="3"/>
      <c r="P80" s="3"/>
      <c r="Q80" s="3"/>
      <c r="Z80" s="3"/>
      <c r="BG80" s="18"/>
      <c r="BH80" s="18"/>
      <c r="HO80" s="24"/>
      <c r="HP80" s="24"/>
      <c r="HQ80" s="24"/>
      <c r="HR80" s="24"/>
    </row>
    <row r="81" spans="15:226" ht="15">
      <c r="O81" s="3"/>
      <c r="P81" s="3"/>
      <c r="Q81" s="3"/>
      <c r="Z81" s="3"/>
      <c r="BG81" s="18"/>
      <c r="BH81" s="18"/>
      <c r="DT81" s="131"/>
      <c r="HO81" s="24"/>
      <c r="HP81" s="24"/>
      <c r="HQ81" s="24"/>
      <c r="HR81" s="24"/>
    </row>
    <row r="82" spans="15:226" ht="15">
      <c r="O82" s="3"/>
      <c r="P82" s="3"/>
      <c r="Q82" s="3"/>
      <c r="Z82" s="3"/>
      <c r="BG82" s="18"/>
      <c r="BH82" s="18"/>
      <c r="HO82" s="24"/>
      <c r="HP82" s="24"/>
      <c r="HQ82" s="24"/>
      <c r="HR82" s="24"/>
    </row>
    <row r="83" spans="15:226" ht="15">
      <c r="O83" s="3"/>
      <c r="P83" s="3"/>
      <c r="Q83" s="3"/>
      <c r="Z83" s="3"/>
      <c r="BG83" s="18"/>
      <c r="BH83" s="18"/>
      <c r="HO83" s="24"/>
      <c r="HP83" s="24"/>
      <c r="HQ83" s="24"/>
      <c r="HR83" s="24"/>
    </row>
    <row r="84" spans="15:226" ht="15">
      <c r="O84" s="3"/>
      <c r="P84" s="3"/>
      <c r="Q84" s="3"/>
      <c r="Z84" s="3"/>
      <c r="BG84" s="18"/>
      <c r="BH84" s="18"/>
      <c r="DT84" s="131"/>
      <c r="HO84" s="24"/>
      <c r="HP84" s="24"/>
      <c r="HQ84" s="24"/>
      <c r="HR84" s="24"/>
    </row>
    <row r="85" spans="15:226" ht="15">
      <c r="O85" s="3"/>
      <c r="P85" s="3"/>
      <c r="Q85" s="3"/>
      <c r="Z85" s="3"/>
      <c r="BG85" s="18"/>
      <c r="BH85" s="18"/>
      <c r="DT85" s="131"/>
      <c r="HO85" s="24"/>
      <c r="HP85" s="24"/>
      <c r="HQ85" s="24"/>
      <c r="HR85" s="24"/>
    </row>
    <row r="86" spans="15:226" ht="15">
      <c r="O86" s="3"/>
      <c r="P86" s="3"/>
      <c r="Q86" s="3"/>
      <c r="Z86" s="3"/>
      <c r="DT86" s="131"/>
      <c r="HO86" s="24"/>
      <c r="HP86" s="24"/>
      <c r="HQ86" s="24"/>
      <c r="HR86" s="24"/>
    </row>
    <row r="87" spans="15:226" ht="15">
      <c r="O87" s="3"/>
      <c r="P87" s="3"/>
      <c r="Q87" s="3"/>
      <c r="Z87" s="3"/>
      <c r="DT87" s="131"/>
      <c r="HO87" s="24"/>
      <c r="HP87" s="24"/>
      <c r="HQ87" s="24"/>
      <c r="HR87" s="24"/>
    </row>
    <row r="88" spans="15:226" ht="15">
      <c r="O88" s="3"/>
      <c r="P88" s="3"/>
      <c r="Q88" s="3"/>
      <c r="Z88" s="3"/>
      <c r="DT88" s="131"/>
      <c r="HO88" s="24"/>
      <c r="HP88" s="24"/>
      <c r="HQ88" s="24"/>
      <c r="HR88" s="24"/>
    </row>
    <row r="89" spans="15:226" ht="15">
      <c r="O89" s="3"/>
      <c r="P89" s="3"/>
      <c r="Q89" s="3"/>
      <c r="Z89" s="3"/>
      <c r="DT89" s="131"/>
      <c r="HO89" s="24"/>
      <c r="HP89" s="24"/>
      <c r="HQ89" s="24"/>
      <c r="HR89" s="24"/>
    </row>
    <row r="90" spans="15:226" ht="15">
      <c r="O90" s="3"/>
      <c r="P90" s="3"/>
      <c r="Q90" s="3"/>
      <c r="Z90" s="3"/>
      <c r="HO90" s="24"/>
      <c r="HP90" s="24"/>
      <c r="HQ90" s="24"/>
      <c r="HR90" s="24"/>
    </row>
    <row r="91" spans="15:226" ht="15">
      <c r="O91" s="3"/>
      <c r="P91" s="3"/>
      <c r="Q91" s="3"/>
      <c r="Z91" s="3"/>
      <c r="HO91" s="24"/>
      <c r="HP91" s="24"/>
      <c r="HQ91" s="24"/>
      <c r="HR91" s="24"/>
    </row>
    <row r="92" spans="15:226" ht="15">
      <c r="O92" s="3"/>
      <c r="P92" s="3"/>
      <c r="Q92" s="3"/>
      <c r="Z92" s="3"/>
      <c r="HO92" s="24"/>
      <c r="HP92" s="24"/>
      <c r="HQ92" s="24"/>
      <c r="HR92" s="24"/>
    </row>
    <row r="93" spans="15:226" ht="15">
      <c r="O93" s="3"/>
      <c r="P93" s="3"/>
      <c r="Q93" s="3"/>
      <c r="Z93" s="3"/>
      <c r="HO93" s="24"/>
      <c r="HP93" s="24"/>
      <c r="HQ93" s="24"/>
      <c r="HR93" s="24"/>
    </row>
    <row r="94" spans="15:226" ht="15">
      <c r="O94" s="3"/>
      <c r="P94" s="3"/>
      <c r="Q94" s="3"/>
      <c r="Z94" s="3"/>
      <c r="HO94" s="24"/>
      <c r="HP94" s="24"/>
      <c r="HQ94" s="24"/>
      <c r="HR94" s="24"/>
    </row>
    <row r="95" spans="15:226" ht="15">
      <c r="O95" s="3"/>
      <c r="P95" s="3"/>
      <c r="Q95" s="3"/>
      <c r="Z95" s="3"/>
      <c r="HO95" s="24"/>
      <c r="HP95" s="24"/>
      <c r="HQ95" s="24"/>
      <c r="HR95" s="24"/>
    </row>
    <row r="96" spans="15:226" ht="15">
      <c r="O96" s="3"/>
      <c r="P96" s="3"/>
      <c r="Q96" s="3"/>
      <c r="Z96" s="3"/>
      <c r="HO96" s="24"/>
      <c r="HP96" s="24"/>
      <c r="HQ96" s="24"/>
      <c r="HR96" s="24"/>
    </row>
    <row r="97" spans="15:226" ht="15">
      <c r="O97" s="3"/>
      <c r="P97" s="3"/>
      <c r="Q97" s="3"/>
      <c r="Z97" s="3"/>
      <c r="HO97" s="24"/>
      <c r="HP97" s="24"/>
      <c r="HQ97" s="24"/>
      <c r="HR97" s="24"/>
    </row>
    <row r="98" spans="15:226" ht="15">
      <c r="O98" s="3"/>
      <c r="P98" s="3"/>
      <c r="Q98" s="3"/>
      <c r="Z98" s="3"/>
      <c r="HO98" s="24"/>
      <c r="HP98" s="24"/>
      <c r="HQ98" s="24"/>
      <c r="HR98" s="24"/>
    </row>
    <row r="99" spans="15:226" ht="15">
      <c r="O99" s="3"/>
      <c r="P99" s="3"/>
      <c r="Q99" s="3"/>
      <c r="Z99" s="3"/>
      <c r="HO99" s="24"/>
      <c r="HP99" s="24"/>
      <c r="HQ99" s="24"/>
      <c r="HR99" s="24"/>
    </row>
    <row r="100" spans="15:226" ht="15">
      <c r="O100" s="3"/>
      <c r="P100" s="3"/>
      <c r="Q100" s="3"/>
      <c r="Z100" s="3"/>
      <c r="HO100" s="24"/>
      <c r="HP100" s="24"/>
      <c r="HQ100" s="24"/>
      <c r="HR100" s="24"/>
    </row>
    <row r="101" spans="15:226" ht="15">
      <c r="O101" s="3"/>
      <c r="P101" s="3"/>
      <c r="Q101" s="3"/>
      <c r="Z101" s="3"/>
      <c r="HO101" s="24"/>
      <c r="HP101" s="24"/>
      <c r="HQ101" s="24"/>
      <c r="HR101" s="24"/>
    </row>
    <row r="102" spans="15:226" ht="15">
      <c r="O102" s="3"/>
      <c r="P102" s="3"/>
      <c r="Q102" s="3"/>
      <c r="Z102" s="3"/>
      <c r="HO102" s="24"/>
      <c r="HP102" s="24"/>
      <c r="HQ102" s="24"/>
      <c r="HR102" s="24"/>
    </row>
    <row r="103" spans="15:226" ht="15">
      <c r="O103" s="3"/>
      <c r="P103" s="3"/>
      <c r="Q103" s="3"/>
      <c r="Z103" s="3"/>
      <c r="HO103" s="24"/>
      <c r="HP103" s="24"/>
      <c r="HQ103" s="24"/>
      <c r="HR103" s="24"/>
    </row>
    <row r="104" spans="15:226" ht="15">
      <c r="O104" s="3"/>
      <c r="P104" s="3"/>
      <c r="Q104" s="3"/>
      <c r="Z104" s="3"/>
      <c r="HO104" s="24"/>
      <c r="HP104" s="24"/>
      <c r="HQ104" s="24"/>
      <c r="HR104" s="24"/>
    </row>
    <row r="105" spans="15:226" ht="15">
      <c r="O105" s="3"/>
      <c r="P105" s="3"/>
      <c r="Q105" s="3"/>
      <c r="Z105" s="3"/>
      <c r="HO105" s="24"/>
      <c r="HP105" s="24"/>
      <c r="HQ105" s="24"/>
      <c r="HR105" s="24"/>
    </row>
    <row r="106" spans="15:226" ht="15">
      <c r="O106" s="3"/>
      <c r="P106" s="3"/>
      <c r="Q106" s="3"/>
      <c r="Z106" s="3"/>
      <c r="HO106" s="24"/>
      <c r="HP106" s="24"/>
      <c r="HQ106" s="24"/>
      <c r="HR106" s="24"/>
    </row>
    <row r="107" spans="15:226" ht="15">
      <c r="O107" s="3"/>
      <c r="P107" s="3"/>
      <c r="Q107" s="3"/>
      <c r="Z107" s="3"/>
      <c r="HO107" s="24"/>
      <c r="HP107" s="24"/>
      <c r="HQ107" s="24"/>
      <c r="HR107" s="24"/>
    </row>
    <row r="108" spans="15:226" ht="15">
      <c r="O108" s="3"/>
      <c r="P108" s="3"/>
      <c r="Q108" s="3"/>
      <c r="Z108" s="3"/>
      <c r="HO108" s="24"/>
      <c r="HP108" s="24"/>
      <c r="HQ108" s="24"/>
      <c r="HR108" s="24"/>
    </row>
    <row r="109" spans="15:226" ht="15">
      <c r="O109" s="3"/>
      <c r="P109" s="3"/>
      <c r="Q109" s="3"/>
      <c r="Z109" s="3"/>
      <c r="HO109" s="24"/>
      <c r="HP109" s="24"/>
      <c r="HQ109" s="24"/>
      <c r="HR109" s="24"/>
    </row>
    <row r="110" spans="15:226" ht="15">
      <c r="O110" s="3"/>
      <c r="P110" s="3"/>
      <c r="Q110" s="3"/>
      <c r="Z110" s="3"/>
      <c r="HO110" s="24"/>
      <c r="HP110" s="24"/>
      <c r="HQ110" s="24"/>
      <c r="HR110" s="24"/>
    </row>
    <row r="111" spans="15:226" ht="15">
      <c r="O111" s="3"/>
      <c r="P111" s="3"/>
      <c r="Q111" s="3"/>
      <c r="Z111" s="3"/>
      <c r="HO111" s="24"/>
      <c r="HP111" s="24"/>
      <c r="HQ111" s="24"/>
      <c r="HR111" s="24"/>
    </row>
    <row r="112" spans="15:226" ht="15">
      <c r="O112" s="3"/>
      <c r="P112" s="3"/>
      <c r="Q112" s="3"/>
      <c r="Z112" s="3"/>
      <c r="HO112" s="24"/>
      <c r="HP112" s="24"/>
      <c r="HQ112" s="24"/>
      <c r="HR112" s="24"/>
    </row>
    <row r="113" spans="15:226" ht="15">
      <c r="O113" s="3"/>
      <c r="P113" s="3"/>
      <c r="Q113" s="3"/>
      <c r="Z113" s="3"/>
      <c r="HO113" s="24"/>
      <c r="HP113" s="24"/>
      <c r="HQ113" s="24"/>
      <c r="HR113" s="24"/>
    </row>
    <row r="114" spans="15:226" ht="15">
      <c r="O114" s="3"/>
      <c r="P114" s="3"/>
      <c r="Q114" s="3"/>
      <c r="Z114" s="3"/>
      <c r="HO114" s="24"/>
      <c r="HP114" s="24"/>
      <c r="HQ114" s="24"/>
      <c r="HR114" s="24"/>
    </row>
    <row r="115" spans="15:226" ht="15">
      <c r="O115" s="3"/>
      <c r="P115" s="3"/>
      <c r="Q115" s="3"/>
      <c r="Z115" s="3"/>
      <c r="HO115" s="24"/>
      <c r="HP115" s="24"/>
      <c r="HQ115" s="24"/>
      <c r="HR115" s="24"/>
    </row>
    <row r="116" spans="15:226" ht="15">
      <c r="O116" s="3"/>
      <c r="P116" s="3"/>
      <c r="Q116" s="3"/>
      <c r="Z116" s="3"/>
      <c r="HO116" s="24"/>
      <c r="HP116" s="24"/>
      <c r="HQ116" s="24"/>
      <c r="HR116" s="24"/>
    </row>
    <row r="117" spans="15:226" ht="15">
      <c r="O117" s="3"/>
      <c r="P117" s="3"/>
      <c r="Q117" s="3"/>
      <c r="Z117" s="3"/>
      <c r="HO117" s="24"/>
      <c r="HP117" s="24"/>
      <c r="HQ117" s="24"/>
      <c r="HR117" s="24"/>
    </row>
    <row r="118" spans="15:226" ht="15">
      <c r="O118" s="3"/>
      <c r="P118" s="3"/>
      <c r="Q118" s="3"/>
      <c r="Z118" s="3"/>
      <c r="HO118" s="24"/>
      <c r="HP118" s="24"/>
      <c r="HQ118" s="24"/>
      <c r="HR118" s="24"/>
    </row>
    <row r="119" spans="15:226" ht="15">
      <c r="O119" s="3"/>
      <c r="P119" s="3"/>
      <c r="Q119" s="3"/>
      <c r="Z119" s="3"/>
      <c r="HO119" s="24"/>
      <c r="HP119" s="24"/>
      <c r="HQ119" s="24"/>
      <c r="HR119" s="24"/>
    </row>
    <row r="120" spans="15:226" ht="15">
      <c r="O120" s="3"/>
      <c r="P120" s="3"/>
      <c r="Q120" s="3"/>
      <c r="Z120" s="3"/>
      <c r="HO120" s="24"/>
      <c r="HP120" s="24"/>
      <c r="HQ120" s="24"/>
      <c r="HR120" s="24"/>
    </row>
    <row r="121" spans="15:226" ht="15">
      <c r="O121" s="3"/>
      <c r="P121" s="3"/>
      <c r="Q121" s="3"/>
      <c r="Z121" s="3"/>
      <c r="HO121" s="24"/>
      <c r="HP121" s="24"/>
      <c r="HQ121" s="24"/>
      <c r="HR121" s="24"/>
    </row>
    <row r="122" spans="15:226" ht="15.75">
      <c r="O122" s="3"/>
      <c r="P122" s="3"/>
      <c r="Q122" s="3"/>
      <c r="Z122" s="3"/>
      <c r="AA122" s="26"/>
      <c r="HO122" s="24"/>
      <c r="HP122" s="24"/>
      <c r="HQ122" s="24"/>
      <c r="HR122" s="24"/>
    </row>
    <row r="123" spans="15:226" ht="15">
      <c r="O123" s="3"/>
      <c r="P123" s="3"/>
      <c r="Q123" s="3"/>
      <c r="Z123" s="3"/>
      <c r="HO123" s="24"/>
      <c r="HP123" s="24"/>
      <c r="HQ123" s="24"/>
      <c r="HR123" s="24"/>
    </row>
    <row r="124" spans="15:226" ht="15">
      <c r="O124" s="3"/>
      <c r="P124" s="3"/>
      <c r="Q124" s="3"/>
      <c r="Z124" s="3"/>
      <c r="HO124" s="24"/>
      <c r="HP124" s="24"/>
      <c r="HQ124" s="24"/>
      <c r="HR124" s="24"/>
    </row>
    <row r="125" spans="15:226" ht="15">
      <c r="O125" s="3"/>
      <c r="P125" s="3"/>
      <c r="Q125" s="3"/>
      <c r="Z125" s="3"/>
      <c r="HO125" s="24"/>
      <c r="HP125" s="24"/>
      <c r="HQ125" s="24"/>
      <c r="HR125" s="24"/>
    </row>
    <row r="126" spans="15:226" ht="15">
      <c r="O126" s="3"/>
      <c r="P126" s="3"/>
      <c r="Q126" s="3"/>
      <c r="Z126" s="3"/>
      <c r="HO126" s="24"/>
      <c r="HP126" s="24"/>
      <c r="HQ126" s="24"/>
      <c r="HR126" s="24"/>
    </row>
    <row r="127" spans="15:226" ht="15">
      <c r="O127" s="3"/>
      <c r="P127" s="3"/>
      <c r="Q127" s="3"/>
      <c r="Z127" s="3"/>
      <c r="HO127" s="24"/>
      <c r="HP127" s="24"/>
      <c r="HQ127" s="24"/>
      <c r="HR127" s="24"/>
    </row>
    <row r="128" spans="15:226" ht="15">
      <c r="O128" s="3"/>
      <c r="P128" s="3"/>
      <c r="Q128" s="3"/>
      <c r="Z128" s="3"/>
      <c r="HO128" s="24"/>
      <c r="HP128" s="24"/>
      <c r="HQ128" s="24"/>
      <c r="HR128" s="24"/>
    </row>
    <row r="129" spans="15:226" ht="15">
      <c r="O129" s="3"/>
      <c r="P129" s="3"/>
      <c r="Q129" s="3"/>
      <c r="Z129" s="3"/>
      <c r="HO129" s="24"/>
      <c r="HP129" s="24"/>
      <c r="HQ129" s="24"/>
      <c r="HR129" s="24"/>
    </row>
    <row r="130" spans="15:226" ht="15">
      <c r="O130" s="3"/>
      <c r="P130" s="3"/>
      <c r="Q130" s="3"/>
      <c r="Z130" s="3"/>
      <c r="HO130" s="24"/>
      <c r="HP130" s="24"/>
      <c r="HQ130" s="24"/>
      <c r="HR130" s="24"/>
    </row>
    <row r="131" spans="15:226" ht="15">
      <c r="O131" s="3"/>
      <c r="P131" s="3"/>
      <c r="Q131" s="3"/>
      <c r="Z131" s="3"/>
      <c r="DP131" s="9"/>
      <c r="DT131" s="9"/>
      <c r="DV131" s="131"/>
      <c r="HO131" s="24"/>
      <c r="HP131" s="24"/>
      <c r="HQ131" s="24"/>
      <c r="HR131" s="24"/>
    </row>
    <row r="132" spans="15:226" ht="15">
      <c r="O132" s="3"/>
      <c r="P132" s="3"/>
      <c r="Q132" s="3"/>
      <c r="Z132" s="3"/>
      <c r="HO132" s="24"/>
      <c r="HP132" s="24"/>
      <c r="HQ132" s="24"/>
      <c r="HR132" s="24"/>
    </row>
    <row r="133" spans="15:226" ht="15">
      <c r="O133" s="3"/>
      <c r="P133" s="3"/>
      <c r="Q133" s="3"/>
      <c r="Z133" s="3"/>
      <c r="DV133" s="131"/>
      <c r="HO133" s="24"/>
      <c r="HP133" s="24"/>
      <c r="HQ133" s="24"/>
      <c r="HR133" s="24"/>
    </row>
    <row r="134" spans="15:226" ht="15">
      <c r="O134" s="3"/>
      <c r="P134" s="3"/>
      <c r="Q134" s="3"/>
      <c r="Z134" s="3"/>
      <c r="DP134" s="9"/>
      <c r="DT134" s="9"/>
      <c r="DX134" s="131"/>
      <c r="HO134" s="24"/>
      <c r="HP134" s="24"/>
      <c r="HQ134" s="24"/>
      <c r="HR134" s="24"/>
    </row>
    <row r="135" spans="15:226" ht="15">
      <c r="O135" s="3"/>
      <c r="P135" s="3"/>
      <c r="Q135" s="3"/>
      <c r="Z135" s="3"/>
      <c r="HO135" s="24"/>
      <c r="HP135" s="24"/>
      <c r="HQ135" s="24"/>
      <c r="HR135" s="24"/>
    </row>
    <row r="136" spans="15:226" ht="15">
      <c r="O136" s="3"/>
      <c r="P136" s="3"/>
      <c r="Q136" s="3"/>
      <c r="Z136" s="3"/>
      <c r="DX136" s="131"/>
      <c r="HO136" s="24"/>
      <c r="HP136" s="24"/>
      <c r="HQ136" s="24"/>
      <c r="HR136" s="24"/>
    </row>
    <row r="137" spans="15:226" ht="15">
      <c r="O137" s="3"/>
      <c r="P137" s="3"/>
      <c r="Q137" s="3"/>
      <c r="Z137" s="3"/>
      <c r="DX137" s="131"/>
      <c r="HO137" s="24"/>
      <c r="HP137" s="24"/>
      <c r="HQ137" s="24"/>
      <c r="HR137" s="24"/>
    </row>
    <row r="138" spans="15:226" ht="15">
      <c r="O138" s="3"/>
      <c r="P138" s="3"/>
      <c r="Q138" s="3"/>
      <c r="Z138" s="3"/>
      <c r="DX138" s="131"/>
      <c r="HO138" s="24"/>
      <c r="HP138" s="24"/>
      <c r="HQ138" s="24"/>
      <c r="HR138" s="24"/>
    </row>
    <row r="139" spans="15:226" ht="15">
      <c r="O139" s="3"/>
      <c r="P139" s="3"/>
      <c r="Q139" s="3"/>
      <c r="Z139" s="3"/>
      <c r="HO139" s="24"/>
      <c r="HP139" s="24"/>
      <c r="HQ139" s="24"/>
      <c r="HR139" s="24"/>
    </row>
    <row r="140" spans="15:226" ht="15">
      <c r="O140" s="3"/>
      <c r="P140" s="3"/>
      <c r="Q140" s="3"/>
      <c r="Z140" s="3"/>
      <c r="HO140" s="24"/>
      <c r="HP140" s="24"/>
      <c r="HQ140" s="24"/>
      <c r="HR140" s="24"/>
    </row>
    <row r="141" spans="15:226" ht="15">
      <c r="O141" s="3"/>
      <c r="P141" s="3"/>
      <c r="Q141" s="3"/>
      <c r="Z141" s="3"/>
      <c r="HO141" s="24"/>
      <c r="HP141" s="24"/>
      <c r="HQ141" s="24"/>
      <c r="HR141" s="24"/>
    </row>
    <row r="142" spans="15:226" ht="15">
      <c r="O142" s="3"/>
      <c r="P142" s="3"/>
      <c r="Q142" s="3"/>
      <c r="Z142" s="3"/>
      <c r="HO142" s="24"/>
      <c r="HP142" s="24"/>
      <c r="HQ142" s="24"/>
      <c r="HR142" s="24"/>
    </row>
    <row r="143" spans="15:226" ht="15">
      <c r="O143" s="3"/>
      <c r="P143" s="3"/>
      <c r="Q143" s="3"/>
      <c r="Z143" s="3"/>
      <c r="HO143" s="24"/>
      <c r="HP143" s="24"/>
      <c r="HQ143" s="24"/>
      <c r="HR143" s="24"/>
    </row>
    <row r="144" spans="15:226" ht="15">
      <c r="O144" s="3"/>
      <c r="P144" s="3"/>
      <c r="Q144" s="3"/>
      <c r="Z144" s="3"/>
      <c r="HO144" s="24"/>
      <c r="HP144" s="24"/>
      <c r="HQ144" s="24"/>
      <c r="HR144" s="24"/>
    </row>
    <row r="145" spans="15:226" ht="15">
      <c r="O145" s="3"/>
      <c r="P145" s="3"/>
      <c r="Q145" s="3"/>
      <c r="Z145" s="3"/>
      <c r="HO145" s="24"/>
      <c r="HP145" s="24"/>
      <c r="HQ145" s="24"/>
      <c r="HR145" s="24"/>
    </row>
    <row r="146" spans="15:226" ht="15">
      <c r="O146" s="3"/>
      <c r="P146" s="3"/>
      <c r="Q146" s="3"/>
      <c r="Z146" s="3"/>
      <c r="HO146" s="24"/>
      <c r="HP146" s="24"/>
      <c r="HQ146" s="24"/>
      <c r="HR146" s="24"/>
    </row>
    <row r="147" spans="15:226" ht="15">
      <c r="O147" s="3"/>
      <c r="P147" s="3"/>
      <c r="Q147" s="3"/>
      <c r="Z147" s="3"/>
      <c r="HO147" s="24"/>
      <c r="HP147" s="24"/>
      <c r="HQ147" s="24"/>
      <c r="HR147" s="24"/>
    </row>
    <row r="148" spans="15:226" ht="15">
      <c r="O148" s="3"/>
      <c r="P148" s="3"/>
      <c r="Q148" s="3"/>
      <c r="Z148" s="3"/>
      <c r="HO148" s="24"/>
      <c r="HP148" s="24"/>
      <c r="HQ148" s="24"/>
      <c r="HR148" s="24"/>
    </row>
    <row r="149" spans="15:226" ht="15">
      <c r="O149" s="3"/>
      <c r="P149" s="3"/>
      <c r="Q149" s="3"/>
      <c r="Z149" s="3"/>
      <c r="HO149" s="24"/>
      <c r="HP149" s="24"/>
      <c r="HQ149" s="24"/>
      <c r="HR149" s="24"/>
    </row>
    <row r="150" spans="15:226" ht="15">
      <c r="O150" s="3"/>
      <c r="P150" s="3"/>
      <c r="Q150" s="3"/>
      <c r="Z150" s="3"/>
      <c r="HO150" s="24"/>
      <c r="HP150" s="24"/>
      <c r="HQ150" s="24"/>
      <c r="HR150" s="24"/>
    </row>
    <row r="151" spans="15:226" ht="15">
      <c r="O151" s="3"/>
      <c r="P151" s="3"/>
      <c r="Q151" s="3"/>
      <c r="Z151" s="3"/>
      <c r="HO151" s="24"/>
      <c r="HP151" s="24"/>
      <c r="HQ151" s="24"/>
      <c r="HR151" s="24"/>
    </row>
    <row r="152" spans="15:226" ht="15">
      <c r="O152" s="3"/>
      <c r="P152" s="3"/>
      <c r="Q152" s="3"/>
      <c r="Z152" s="3"/>
      <c r="HO152" s="24"/>
      <c r="HP152" s="24"/>
      <c r="HQ152" s="24"/>
      <c r="HR152" s="24"/>
    </row>
    <row r="153" spans="15:226" ht="15">
      <c r="O153" s="3"/>
      <c r="P153" s="3"/>
      <c r="Q153" s="3"/>
      <c r="Z153" s="3"/>
      <c r="AD153" s="8" t="s">
        <v>1554</v>
      </c>
      <c r="HO153" s="24"/>
      <c r="HP153" s="24"/>
      <c r="HQ153" s="24"/>
      <c r="HR153" s="24"/>
    </row>
    <row r="154" spans="15:226" ht="15">
      <c r="O154" s="3"/>
      <c r="P154" s="3"/>
      <c r="Q154" s="3"/>
      <c r="Z154" s="3"/>
      <c r="AD154" s="8" t="s">
        <v>1554</v>
      </c>
      <c r="HO154" s="24"/>
      <c r="HP154" s="24"/>
      <c r="HQ154" s="24"/>
      <c r="HR154" s="24"/>
    </row>
    <row r="155" spans="15:226" ht="15">
      <c r="O155" s="3"/>
      <c r="P155" s="3"/>
      <c r="Q155" s="3"/>
      <c r="Z155" s="3"/>
      <c r="AD155" s="8" t="s">
        <v>1554</v>
      </c>
      <c r="HO155" s="24"/>
      <c r="HP155" s="24"/>
      <c r="HQ155" s="24"/>
      <c r="HR155" s="24"/>
    </row>
    <row r="156" spans="15:226" ht="15">
      <c r="O156" s="3"/>
      <c r="P156" s="3"/>
      <c r="Q156" s="3"/>
      <c r="Z156" s="3"/>
      <c r="AD156" s="3" t="s">
        <v>1554</v>
      </c>
      <c r="HO156" s="24"/>
      <c r="HP156" s="24"/>
      <c r="HQ156" s="24"/>
      <c r="HR156" s="24"/>
    </row>
    <row r="157" spans="15:226" ht="15">
      <c r="O157" s="3"/>
      <c r="P157" s="3"/>
      <c r="Q157" s="3"/>
      <c r="Z157" s="3"/>
      <c r="HO157" s="24"/>
      <c r="HP157" s="24"/>
      <c r="HQ157" s="24"/>
      <c r="HR157" s="24"/>
    </row>
    <row r="158" spans="15:226" ht="15">
      <c r="O158" s="3"/>
      <c r="P158" s="3"/>
      <c r="Q158" s="3"/>
      <c r="Z158" s="3"/>
      <c r="HO158" s="24"/>
      <c r="HP158" s="24"/>
      <c r="HQ158" s="24"/>
      <c r="HR158" s="24"/>
    </row>
    <row r="159" spans="15:226" ht="15">
      <c r="O159" s="3"/>
      <c r="P159" s="3"/>
      <c r="Q159" s="3"/>
      <c r="Z159" s="3"/>
      <c r="HO159" s="24"/>
      <c r="HP159" s="24"/>
      <c r="HQ159" s="24"/>
      <c r="HR159" s="24"/>
    </row>
    <row r="160" spans="15:226" ht="15">
      <c r="O160" s="3"/>
      <c r="P160" s="3"/>
      <c r="Q160" s="3"/>
      <c r="Z160" s="3"/>
      <c r="HO160" s="24"/>
      <c r="HP160" s="24"/>
      <c r="HQ160" s="24"/>
      <c r="HR160" s="24"/>
    </row>
    <row r="161" spans="15:226" ht="15">
      <c r="O161" s="3"/>
      <c r="P161" s="3"/>
      <c r="Q161" s="3"/>
      <c r="Z161" s="3"/>
      <c r="HO161" s="24"/>
      <c r="HP161" s="24"/>
      <c r="HQ161" s="24"/>
      <c r="HR161" s="24"/>
    </row>
    <row r="162" spans="15:226" ht="15">
      <c r="O162" s="3"/>
      <c r="P162" s="3"/>
      <c r="Q162" s="3"/>
      <c r="Z162" s="3"/>
      <c r="HO162" s="24"/>
      <c r="HP162" s="24"/>
      <c r="HQ162" s="24"/>
      <c r="HR162" s="24"/>
    </row>
    <row r="163" spans="15:226" ht="15">
      <c r="O163" s="3"/>
      <c r="P163" s="3"/>
      <c r="Q163" s="3"/>
      <c r="Z163" s="3"/>
      <c r="HO163" s="24"/>
      <c r="HP163" s="24"/>
      <c r="HQ163" s="24"/>
      <c r="HR163" s="24"/>
    </row>
    <row r="164" spans="15:226" ht="15">
      <c r="O164" s="3"/>
      <c r="P164" s="3"/>
      <c r="Q164" s="3"/>
      <c r="Z164" s="3"/>
      <c r="DV164" s="131"/>
      <c r="DX164" s="131"/>
      <c r="HO164" s="24"/>
      <c r="HP164" s="24"/>
      <c r="HQ164" s="24"/>
      <c r="HR164" s="24"/>
    </row>
    <row r="165" spans="15:226" ht="15">
      <c r="O165" s="3"/>
      <c r="P165" s="3"/>
      <c r="Q165" s="3"/>
      <c r="Z165" s="3"/>
      <c r="HO165" s="24"/>
      <c r="HP165" s="24"/>
      <c r="HQ165" s="24"/>
      <c r="HR165" s="24"/>
    </row>
    <row r="166" spans="15:226" ht="15">
      <c r="O166" s="3"/>
      <c r="P166" s="3"/>
      <c r="Q166" s="3"/>
      <c r="Z166" s="3"/>
      <c r="HO166" s="24"/>
      <c r="HP166" s="24"/>
      <c r="HQ166" s="24"/>
      <c r="HR166" s="24"/>
    </row>
    <row r="167" spans="15:226" ht="15">
      <c r="O167" s="3"/>
      <c r="P167" s="3"/>
      <c r="Q167" s="3"/>
      <c r="Z167" s="3"/>
      <c r="HO167" s="24"/>
      <c r="HP167" s="24"/>
      <c r="HQ167" s="24"/>
      <c r="HR167" s="24"/>
    </row>
    <row r="168" spans="15:226" ht="15">
      <c r="O168" s="3"/>
      <c r="P168" s="3"/>
      <c r="Q168" s="3"/>
      <c r="Z168" s="3"/>
      <c r="HO168" s="24"/>
      <c r="HP168" s="24"/>
      <c r="HQ168" s="24"/>
      <c r="HR168" s="24"/>
    </row>
    <row r="169" spans="15:226" ht="15">
      <c r="O169" s="3"/>
      <c r="P169" s="3"/>
      <c r="Q169" s="3"/>
      <c r="Z169" s="3"/>
      <c r="HO169" s="24"/>
      <c r="HP169" s="24"/>
      <c r="HQ169" s="24"/>
      <c r="HR169" s="24"/>
    </row>
    <row r="170" spans="15:226" ht="15.75">
      <c r="O170" s="3"/>
      <c r="P170" s="3"/>
      <c r="Q170" s="3"/>
      <c r="Z170" s="3"/>
      <c r="AA170" s="26"/>
      <c r="HO170" s="24"/>
      <c r="HP170" s="24"/>
      <c r="HQ170" s="24"/>
      <c r="HR170" s="24"/>
    </row>
    <row r="171" spans="15:226" ht="15">
      <c r="O171" s="3"/>
      <c r="P171" s="3"/>
      <c r="Q171" s="3"/>
      <c r="Z171" s="3"/>
      <c r="HO171" s="24"/>
      <c r="HP171" s="24"/>
      <c r="HQ171" s="24"/>
      <c r="HR171" s="24"/>
    </row>
    <row r="172" spans="15:226" ht="15">
      <c r="O172" s="3"/>
      <c r="P172" s="3"/>
      <c r="Q172" s="3"/>
      <c r="Z172" s="3"/>
      <c r="HO172" s="24"/>
      <c r="HP172" s="24"/>
      <c r="HQ172" s="24"/>
      <c r="HR172" s="24"/>
    </row>
    <row r="173" spans="15:226" ht="15">
      <c r="O173" s="3"/>
      <c r="P173" s="3"/>
      <c r="Q173" s="3"/>
      <c r="Z173" s="3"/>
      <c r="HO173" s="24"/>
      <c r="HP173" s="24"/>
      <c r="HQ173" s="24"/>
      <c r="HR173" s="24"/>
    </row>
    <row r="174" spans="15:226" ht="15">
      <c r="O174" s="3"/>
      <c r="P174" s="3"/>
      <c r="Q174" s="3"/>
      <c r="Z174" s="3"/>
      <c r="HO174" s="24"/>
      <c r="HP174" s="24"/>
      <c r="HQ174" s="24"/>
      <c r="HR174" s="24"/>
    </row>
    <row r="175" spans="15:226" ht="15.75">
      <c r="O175" s="3"/>
      <c r="P175" s="3"/>
      <c r="Q175" s="3"/>
      <c r="Z175" s="3"/>
      <c r="AA175" s="26"/>
      <c r="AD175" s="179"/>
      <c r="AE175" s="2"/>
      <c r="AF175" s="2"/>
      <c r="HO175" s="24"/>
      <c r="HP175" s="24"/>
      <c r="HQ175" s="24"/>
      <c r="HR175" s="24"/>
    </row>
    <row r="176" spans="15:226" ht="15">
      <c r="O176" s="3"/>
      <c r="P176" s="3"/>
      <c r="Q176" s="3"/>
      <c r="Z176" s="3"/>
      <c r="AD176" s="2"/>
      <c r="AE176" s="2"/>
      <c r="AF176" s="2"/>
      <c r="HO176" s="24"/>
      <c r="HP176" s="24"/>
      <c r="HQ176" s="24"/>
      <c r="HR176" s="24"/>
    </row>
    <row r="177" spans="15:226" ht="15">
      <c r="O177" s="3"/>
      <c r="P177" s="3"/>
      <c r="Q177" s="3"/>
      <c r="Z177" s="3"/>
      <c r="AD177" s="2"/>
      <c r="AE177" s="2"/>
      <c r="AF177" s="2"/>
      <c r="HO177" s="24"/>
      <c r="HP177" s="24"/>
      <c r="HQ177" s="24"/>
      <c r="HR177" s="24"/>
    </row>
    <row r="178" spans="15:226" ht="15">
      <c r="O178" s="3"/>
      <c r="P178" s="3"/>
      <c r="Q178" s="3"/>
      <c r="Z178" s="3"/>
      <c r="AD178" s="2"/>
      <c r="AE178" s="2"/>
      <c r="AF178" s="2"/>
      <c r="HO178" s="24"/>
      <c r="HP178" s="24"/>
      <c r="HQ178" s="24"/>
      <c r="HR178" s="24"/>
    </row>
    <row r="179" spans="15:226" ht="15">
      <c r="O179" s="3"/>
      <c r="P179" s="3"/>
      <c r="Q179" s="3"/>
      <c r="Z179" s="3"/>
      <c r="AD179" s="2"/>
      <c r="AE179" s="2"/>
      <c r="AF179" s="2"/>
      <c r="HO179" s="24"/>
      <c r="HP179" s="24"/>
      <c r="HQ179" s="24"/>
      <c r="HR179" s="24"/>
    </row>
    <row r="180" spans="15:226" ht="15">
      <c r="O180" s="3"/>
      <c r="P180" s="3"/>
      <c r="Q180" s="3"/>
      <c r="Z180" s="3"/>
      <c r="AD180" s="2"/>
      <c r="AE180" s="2"/>
      <c r="AF180" s="2"/>
      <c r="HO180" s="24"/>
      <c r="HP180" s="24"/>
      <c r="HQ180" s="24"/>
      <c r="HR180" s="24"/>
    </row>
    <row r="181" spans="15:226" ht="15">
      <c r="O181" s="3"/>
      <c r="P181" s="3"/>
      <c r="Q181" s="3"/>
      <c r="Z181" s="3"/>
      <c r="HO181" s="24"/>
      <c r="HP181" s="24"/>
      <c r="HQ181" s="24"/>
      <c r="HR181" s="24"/>
    </row>
    <row r="182" spans="15:226" ht="15">
      <c r="O182" s="3"/>
      <c r="P182" s="3"/>
      <c r="Q182" s="3"/>
      <c r="Z182" s="3"/>
      <c r="HO182" s="24"/>
      <c r="HP182" s="24"/>
      <c r="HQ182" s="24"/>
      <c r="HR182" s="24"/>
    </row>
    <row r="183" spans="15:226" ht="15">
      <c r="O183" s="3"/>
      <c r="P183" s="3"/>
      <c r="Q183" s="3"/>
      <c r="Z183" s="3"/>
      <c r="HO183" s="24"/>
      <c r="HP183" s="24"/>
      <c r="HQ183" s="24"/>
      <c r="HR183" s="24"/>
    </row>
    <row r="184" spans="15:226" ht="15">
      <c r="O184" s="3"/>
      <c r="P184" s="3"/>
      <c r="Q184" s="3"/>
      <c r="Z184" s="3"/>
      <c r="HO184" s="24"/>
      <c r="HP184" s="24"/>
      <c r="HQ184" s="24"/>
      <c r="HR184" s="24"/>
    </row>
    <row r="185" spans="15:226" ht="15">
      <c r="O185" s="3"/>
      <c r="P185" s="3"/>
      <c r="Q185" s="3"/>
      <c r="Z185" s="3"/>
      <c r="HO185" s="24"/>
      <c r="HP185" s="24"/>
      <c r="HQ185" s="24"/>
      <c r="HR185" s="24"/>
    </row>
    <row r="186" spans="15:226" ht="15">
      <c r="O186" s="3"/>
      <c r="P186" s="3"/>
      <c r="Q186" s="3"/>
      <c r="Z186" s="3"/>
      <c r="HO186" s="24"/>
      <c r="HP186" s="24"/>
      <c r="HQ186" s="24"/>
      <c r="HR186" s="24"/>
    </row>
    <row r="187" spans="15:226" ht="15">
      <c r="O187" s="3"/>
      <c r="P187" s="3"/>
      <c r="Q187" s="3"/>
      <c r="Z187" s="3"/>
      <c r="HO187" s="24"/>
      <c r="HP187" s="24"/>
      <c r="HQ187" s="24"/>
      <c r="HR187" s="24"/>
    </row>
    <row r="188" spans="15:226" ht="15.75">
      <c r="O188" s="3"/>
      <c r="P188" s="3"/>
      <c r="Q188" s="3"/>
      <c r="Z188" s="3"/>
      <c r="AA188" s="144"/>
      <c r="AJ188" s="18"/>
      <c r="AK188" s="18"/>
      <c r="AO188" s="18"/>
      <c r="AP188" s="18"/>
      <c r="HO188" s="24"/>
      <c r="HP188" s="24"/>
      <c r="HQ188" s="24"/>
      <c r="HR188" s="24"/>
    </row>
    <row r="189" spans="15:226" ht="15">
      <c r="O189" s="3"/>
      <c r="P189" s="3"/>
      <c r="Q189" s="3"/>
      <c r="Z189" s="3"/>
      <c r="AA189" s="18"/>
      <c r="AJ189" s="18"/>
      <c r="AK189" s="18"/>
      <c r="AO189" s="18"/>
      <c r="AP189" s="18"/>
      <c r="HO189" s="24"/>
      <c r="HP189" s="24"/>
      <c r="HQ189" s="24"/>
      <c r="HR189" s="24"/>
    </row>
    <row r="190" spans="15:226" ht="15">
      <c r="O190" s="3"/>
      <c r="P190" s="3"/>
      <c r="Q190" s="3"/>
      <c r="Z190" s="3"/>
      <c r="AA190" s="18"/>
      <c r="AJ190" s="18"/>
      <c r="AK190" s="18"/>
      <c r="AO190" s="18"/>
      <c r="AP190" s="18"/>
      <c r="DT190" s="131"/>
      <c r="HO190" s="24"/>
      <c r="HP190" s="24"/>
      <c r="HQ190" s="24"/>
      <c r="HR190" s="24"/>
    </row>
    <row r="191" spans="15:226" ht="15">
      <c r="O191" s="3"/>
      <c r="P191" s="3"/>
      <c r="Q191" s="3"/>
      <c r="Z191" s="3"/>
      <c r="AA191" s="18"/>
      <c r="AJ191" s="18"/>
      <c r="AK191" s="18"/>
      <c r="AO191" s="18"/>
      <c r="AP191" s="18"/>
      <c r="DT191" s="131"/>
      <c r="HO191" s="24"/>
      <c r="HP191" s="24"/>
      <c r="HQ191" s="24"/>
      <c r="HR191" s="24"/>
    </row>
    <row r="192" spans="15:226" ht="15">
      <c r="O192" s="3"/>
      <c r="P192" s="3"/>
      <c r="Q192" s="3"/>
      <c r="Z192" s="3"/>
      <c r="AA192" s="18"/>
      <c r="AJ192" s="18"/>
      <c r="AK192" s="18"/>
      <c r="AO192" s="18"/>
      <c r="AP192" s="18"/>
      <c r="AT192" s="18"/>
      <c r="AU192" s="18"/>
      <c r="HO192" s="24"/>
      <c r="HP192" s="24"/>
      <c r="HQ192" s="24"/>
      <c r="HR192" s="24"/>
    </row>
    <row r="193" spans="15:226" ht="15">
      <c r="O193" s="3"/>
      <c r="P193" s="3"/>
      <c r="Q193" s="3"/>
      <c r="Z193" s="3"/>
      <c r="AA193" s="18"/>
      <c r="AJ193" s="18"/>
      <c r="AK193" s="18"/>
      <c r="AO193" s="18"/>
      <c r="AP193" s="18"/>
      <c r="AT193" s="18"/>
      <c r="AU193" s="18"/>
      <c r="DT193" s="131"/>
      <c r="HO193" s="24"/>
      <c r="HP193" s="24"/>
      <c r="HQ193" s="24"/>
      <c r="HR193" s="24"/>
    </row>
    <row r="194" spans="15:226" ht="15.75">
      <c r="O194" s="3"/>
      <c r="P194" s="3"/>
      <c r="Q194" s="3"/>
      <c r="Z194" s="3"/>
      <c r="AA194" s="180"/>
      <c r="AB194" s="2"/>
      <c r="AC194" s="2"/>
      <c r="AD194" s="2"/>
      <c r="AH194" s="2"/>
      <c r="AI194" s="2"/>
      <c r="AJ194" s="28"/>
      <c r="AK194" s="28"/>
      <c r="AL194" s="2"/>
      <c r="AM194" s="2"/>
      <c r="AN194" s="2"/>
      <c r="AO194" s="28"/>
      <c r="AP194" s="28"/>
      <c r="AQ194" s="2"/>
      <c r="AR194" s="2"/>
      <c r="AT194" s="18"/>
      <c r="AU194" s="18"/>
      <c r="AW194" s="2"/>
      <c r="HO194" s="24"/>
      <c r="HP194" s="24"/>
      <c r="HQ194" s="24"/>
      <c r="HR194" s="24"/>
    </row>
    <row r="195" spans="15:226" ht="15">
      <c r="O195" s="3"/>
      <c r="P195" s="3"/>
      <c r="Q195" s="3"/>
      <c r="Z195" s="3"/>
      <c r="AA195" s="2"/>
      <c r="AB195" s="28"/>
      <c r="AC195" s="28"/>
      <c r="AD195" s="28"/>
      <c r="AH195" s="2"/>
      <c r="AI195" s="2"/>
      <c r="AJ195" s="28"/>
      <c r="AK195" s="28"/>
      <c r="AL195" s="28"/>
      <c r="AM195" s="28"/>
      <c r="AN195" s="28"/>
      <c r="AO195" s="28"/>
      <c r="AP195" s="28"/>
      <c r="AQ195" s="28"/>
      <c r="AR195" s="28"/>
      <c r="AT195" s="18"/>
      <c r="AU195" s="18"/>
      <c r="AW195" s="2"/>
      <c r="HO195" s="24"/>
      <c r="HP195" s="24"/>
      <c r="HQ195" s="24"/>
      <c r="HR195" s="24"/>
    </row>
    <row r="196" spans="15:226" ht="15">
      <c r="O196" s="3"/>
      <c r="P196" s="3"/>
      <c r="Q196" s="3"/>
      <c r="Z196" s="3"/>
      <c r="AA196" s="28"/>
      <c r="AB196" s="28"/>
      <c r="AC196" s="28"/>
      <c r="AD196" s="28"/>
      <c r="AH196" s="2"/>
      <c r="AI196" s="2"/>
      <c r="AJ196" s="28"/>
      <c r="AK196" s="28"/>
      <c r="AL196" s="28"/>
      <c r="AM196" s="28"/>
      <c r="AN196" s="28"/>
      <c r="AO196" s="28"/>
      <c r="AP196" s="28"/>
      <c r="AQ196" s="28"/>
      <c r="AR196" s="28"/>
      <c r="AT196" s="18"/>
      <c r="AU196" s="18"/>
      <c r="AW196" s="2"/>
      <c r="HO196" s="24"/>
      <c r="HP196" s="24"/>
      <c r="HQ196" s="24"/>
      <c r="HR196" s="24"/>
    </row>
    <row r="197" spans="15:226" ht="15">
      <c r="O197" s="3"/>
      <c r="P197" s="3"/>
      <c r="Q197" s="3"/>
      <c r="Z197" s="3"/>
      <c r="AA197" s="28"/>
      <c r="AB197" s="28"/>
      <c r="AC197" s="28"/>
      <c r="AD197" s="28"/>
      <c r="AH197" s="2"/>
      <c r="AI197" s="2"/>
      <c r="AJ197" s="28"/>
      <c r="AK197" s="28"/>
      <c r="AL197" s="28"/>
      <c r="AM197" s="28"/>
      <c r="AN197" s="28"/>
      <c r="AO197" s="28"/>
      <c r="AP197" s="28"/>
      <c r="AQ197" s="28"/>
      <c r="AR197" s="28"/>
      <c r="AT197" s="18"/>
      <c r="AU197" s="18"/>
      <c r="AW197" s="2"/>
      <c r="HO197" s="24"/>
      <c r="HP197" s="24"/>
      <c r="HQ197" s="24"/>
      <c r="HR197" s="24"/>
    </row>
    <row r="198" spans="15:226" ht="15">
      <c r="O198" s="3"/>
      <c r="P198" s="3"/>
      <c r="Q198" s="3"/>
      <c r="Z198" s="3"/>
      <c r="AA198" s="28"/>
      <c r="AB198" s="2"/>
      <c r="AC198" s="2"/>
      <c r="AD198" s="2"/>
      <c r="AH198" s="2"/>
      <c r="AI198" s="2"/>
      <c r="AJ198" s="28"/>
      <c r="AK198" s="28"/>
      <c r="AL198" s="2"/>
      <c r="AM198" s="2"/>
      <c r="AN198" s="2"/>
      <c r="AO198" s="28"/>
      <c r="AP198" s="28"/>
      <c r="AQ198" s="2"/>
      <c r="AR198" s="2"/>
      <c r="AS198" s="2"/>
      <c r="AT198" s="28"/>
      <c r="AU198" s="28"/>
      <c r="AV198" s="2"/>
      <c r="AW198" s="2"/>
      <c r="HO198" s="24"/>
      <c r="HP198" s="24"/>
      <c r="HQ198" s="24"/>
      <c r="HR198" s="24"/>
    </row>
    <row r="199" spans="15:226" ht="15.75">
      <c r="O199" s="3"/>
      <c r="P199" s="3"/>
      <c r="Q199" s="3"/>
      <c r="Z199" s="3"/>
      <c r="AA199" s="180"/>
      <c r="AB199" s="2"/>
      <c r="AC199" s="2"/>
      <c r="AD199" s="2"/>
      <c r="AJ199" s="18"/>
      <c r="AK199" s="18"/>
      <c r="AO199" s="18"/>
      <c r="AP199" s="18"/>
      <c r="AS199" s="28"/>
      <c r="AT199" s="28"/>
      <c r="AU199" s="28"/>
      <c r="AV199" s="28"/>
      <c r="HO199" s="24"/>
      <c r="HP199" s="24"/>
      <c r="HQ199" s="24"/>
      <c r="HR199" s="24"/>
    </row>
    <row r="200" spans="15:226" ht="15">
      <c r="O200" s="3"/>
      <c r="P200" s="3"/>
      <c r="Q200" s="3"/>
      <c r="Z200" s="3"/>
      <c r="AA200" s="2"/>
      <c r="AB200" s="2"/>
      <c r="AC200" s="2"/>
      <c r="AD200" s="2"/>
      <c r="AJ200" s="18"/>
      <c r="AK200" s="18"/>
      <c r="AO200" s="18"/>
      <c r="AP200" s="18"/>
      <c r="AS200" s="28"/>
      <c r="AT200" s="28"/>
      <c r="AU200" s="28"/>
      <c r="AV200" s="28"/>
      <c r="HO200" s="24"/>
      <c r="HP200" s="24"/>
      <c r="HQ200" s="24"/>
      <c r="HR200" s="24"/>
    </row>
    <row r="201" spans="15:226" ht="15">
      <c r="O201" s="3"/>
      <c r="P201" s="3"/>
      <c r="Q201" s="3"/>
      <c r="Z201" s="3"/>
      <c r="AA201" s="28"/>
      <c r="AB201" s="2"/>
      <c r="AC201" s="2"/>
      <c r="AD201" s="2"/>
      <c r="AJ201" s="18"/>
      <c r="AK201" s="18"/>
      <c r="AO201" s="18"/>
      <c r="AP201" s="18"/>
      <c r="AS201" s="28"/>
      <c r="AT201" s="28"/>
      <c r="AU201" s="28"/>
      <c r="AV201" s="28"/>
      <c r="HO201" s="24"/>
      <c r="HP201" s="24"/>
      <c r="HQ201" s="24"/>
      <c r="HR201" s="24"/>
    </row>
    <row r="202" spans="15:226" ht="15">
      <c r="O202" s="3"/>
      <c r="P202" s="3"/>
      <c r="Q202" s="3"/>
      <c r="Z202" s="3"/>
      <c r="AA202" s="28"/>
      <c r="AB202" s="2"/>
      <c r="AC202" s="2"/>
      <c r="AD202" s="2"/>
      <c r="AJ202" s="18"/>
      <c r="AK202" s="18"/>
      <c r="AO202" s="18"/>
      <c r="AP202" s="18"/>
      <c r="AS202" s="2"/>
      <c r="AT202" s="28"/>
      <c r="AU202" s="28"/>
      <c r="AV202" s="2"/>
      <c r="HO202" s="24"/>
      <c r="HP202" s="24"/>
      <c r="HQ202" s="24"/>
      <c r="HR202" s="24"/>
    </row>
    <row r="203" spans="15:226" ht="15">
      <c r="O203" s="3"/>
      <c r="P203" s="3"/>
      <c r="Q203" s="3"/>
      <c r="Z203" s="3"/>
      <c r="AA203" s="18"/>
      <c r="AJ203" s="18"/>
      <c r="AK203" s="18"/>
      <c r="AO203" s="18"/>
      <c r="AP203" s="18"/>
      <c r="AT203" s="18"/>
      <c r="AU203" s="18"/>
      <c r="HO203" s="24"/>
      <c r="HP203" s="24"/>
      <c r="HQ203" s="24"/>
      <c r="HR203" s="24"/>
    </row>
    <row r="204" spans="15:226" ht="15.75">
      <c r="O204" s="3"/>
      <c r="P204" s="3"/>
      <c r="Q204" s="3"/>
      <c r="Z204" s="3"/>
      <c r="AA204" s="17"/>
      <c r="AJ204" s="18"/>
      <c r="AK204" s="18"/>
      <c r="AO204" s="18"/>
      <c r="AP204" s="18"/>
      <c r="AT204" s="18"/>
      <c r="AU204" s="18"/>
      <c r="HO204" s="24"/>
      <c r="HP204" s="24"/>
      <c r="HQ204" s="24"/>
      <c r="HR204" s="24"/>
    </row>
    <row r="205" spans="15:226" ht="15">
      <c r="O205" s="3"/>
      <c r="P205" s="3"/>
      <c r="Q205" s="3"/>
      <c r="Z205" s="3"/>
      <c r="AA205" s="18"/>
      <c r="AJ205" s="18"/>
      <c r="AK205" s="18"/>
      <c r="AO205" s="18"/>
      <c r="AP205" s="18"/>
      <c r="AT205" s="18"/>
      <c r="AU205" s="18"/>
      <c r="HO205" s="24"/>
      <c r="HP205" s="24"/>
      <c r="HQ205" s="24"/>
      <c r="HR205" s="24"/>
    </row>
    <row r="206" spans="15:226" ht="15">
      <c r="O206" s="3"/>
      <c r="P206" s="3"/>
      <c r="Q206" s="3"/>
      <c r="Z206" s="3"/>
      <c r="AA206" s="18"/>
      <c r="AJ206" s="18"/>
      <c r="AK206" s="18"/>
      <c r="AO206" s="18"/>
      <c r="AP206" s="18"/>
      <c r="AT206" s="18"/>
      <c r="AU206" s="18"/>
      <c r="HO206" s="24"/>
      <c r="HP206" s="24"/>
      <c r="HQ206" s="24"/>
      <c r="HR206" s="24"/>
    </row>
    <row r="207" spans="15:226" ht="15">
      <c r="O207" s="3"/>
      <c r="P207" s="3"/>
      <c r="Q207" s="3"/>
      <c r="Z207" s="3"/>
      <c r="AA207" s="18"/>
      <c r="AJ207" s="18"/>
      <c r="AK207" s="18"/>
      <c r="AO207" s="18"/>
      <c r="AP207" s="18"/>
      <c r="AT207" s="18"/>
      <c r="AU207" s="18"/>
      <c r="HO207" s="24"/>
      <c r="HP207" s="24"/>
      <c r="HQ207" s="24"/>
      <c r="HR207" s="24"/>
    </row>
    <row r="208" spans="15:226" ht="15">
      <c r="O208" s="3"/>
      <c r="P208" s="3"/>
      <c r="Q208" s="3"/>
      <c r="Z208" s="3"/>
      <c r="AA208" s="18"/>
      <c r="AJ208" s="18"/>
      <c r="AK208" s="18"/>
      <c r="AO208" s="18"/>
      <c r="AP208" s="18"/>
      <c r="AT208" s="18"/>
      <c r="AU208" s="18"/>
      <c r="HO208" s="24"/>
      <c r="HP208" s="24"/>
      <c r="HQ208" s="24"/>
      <c r="HR208" s="24"/>
    </row>
    <row r="209" spans="15:226" ht="15">
      <c r="O209" s="3"/>
      <c r="P209" s="3"/>
      <c r="Q209" s="3"/>
      <c r="Z209" s="3"/>
      <c r="AA209" s="18"/>
      <c r="AJ209" s="18"/>
      <c r="AK209" s="18"/>
      <c r="AO209" s="18"/>
      <c r="AP209" s="18"/>
      <c r="AT209" s="18"/>
      <c r="AU209" s="18"/>
      <c r="HO209" s="24"/>
      <c r="HP209" s="24"/>
      <c r="HQ209" s="24"/>
      <c r="HR209" s="24"/>
    </row>
    <row r="210" spans="15:226" ht="15">
      <c r="O210" s="3"/>
      <c r="P210" s="3"/>
      <c r="Q210" s="3"/>
      <c r="Z210" s="3"/>
      <c r="AA210" s="18"/>
      <c r="AJ210" s="18"/>
      <c r="AK210" s="18"/>
      <c r="AO210" s="18"/>
      <c r="AP210" s="18"/>
      <c r="AT210" s="18"/>
      <c r="AU210" s="18"/>
      <c r="HO210" s="24"/>
      <c r="HP210" s="24"/>
      <c r="HQ210" s="24"/>
      <c r="HR210" s="24"/>
    </row>
    <row r="211" spans="15:226" ht="15">
      <c r="O211" s="3"/>
      <c r="P211" s="3"/>
      <c r="Q211" s="3"/>
      <c r="Z211" s="3"/>
      <c r="AA211" s="18"/>
      <c r="AJ211" s="18"/>
      <c r="AK211" s="18"/>
      <c r="AO211" s="18"/>
      <c r="AP211" s="18"/>
      <c r="AT211" s="18"/>
      <c r="AU211" s="18"/>
      <c r="HO211" s="24"/>
      <c r="HP211" s="24"/>
      <c r="HQ211" s="24"/>
      <c r="HR211" s="24"/>
    </row>
    <row r="212" spans="15:226" ht="15">
      <c r="O212" s="3"/>
      <c r="P212" s="3"/>
      <c r="Q212" s="3"/>
      <c r="Z212" s="3"/>
      <c r="AA212" s="18"/>
      <c r="AJ212" s="18"/>
      <c r="AK212" s="18"/>
      <c r="AO212" s="18"/>
      <c r="AP212" s="18"/>
      <c r="AT212" s="18"/>
      <c r="AU212" s="18"/>
      <c r="HO212" s="24"/>
      <c r="HP212" s="24"/>
      <c r="HQ212" s="24"/>
      <c r="HR212" s="24"/>
    </row>
    <row r="213" spans="15:226" ht="15">
      <c r="O213" s="3"/>
      <c r="P213" s="3"/>
      <c r="Q213" s="3"/>
      <c r="Z213" s="3"/>
      <c r="AA213" s="18"/>
      <c r="AJ213" s="18"/>
      <c r="AK213" s="18"/>
      <c r="AO213" s="18"/>
      <c r="AP213" s="18"/>
      <c r="AT213" s="18"/>
      <c r="AU213" s="18"/>
      <c r="HO213" s="24"/>
      <c r="HP213" s="24"/>
      <c r="HQ213" s="24"/>
      <c r="HR213" s="24"/>
    </row>
    <row r="214" spans="15:226" ht="15">
      <c r="O214" s="3"/>
      <c r="P214" s="3"/>
      <c r="Q214" s="3"/>
      <c r="Z214" s="3"/>
      <c r="AA214" s="18"/>
      <c r="AJ214" s="18"/>
      <c r="AK214" s="18"/>
      <c r="AO214" s="18"/>
      <c r="AT214" s="18"/>
      <c r="AU214" s="18"/>
      <c r="HO214" s="24"/>
      <c r="HP214" s="24"/>
      <c r="HQ214" s="24"/>
      <c r="HR214" s="24"/>
    </row>
    <row r="215" spans="15:226" ht="15">
      <c r="O215" s="3"/>
      <c r="P215" s="3"/>
      <c r="Q215" s="3"/>
      <c r="Z215" s="3"/>
      <c r="AA215" s="18"/>
      <c r="AJ215" s="18"/>
      <c r="AK215" s="18"/>
      <c r="AO215" s="18"/>
      <c r="AT215" s="18"/>
      <c r="AU215" s="18"/>
      <c r="HO215" s="24"/>
      <c r="HP215" s="24"/>
      <c r="HQ215" s="24"/>
      <c r="HR215" s="24"/>
    </row>
    <row r="216" spans="15:226" ht="15">
      <c r="O216" s="3"/>
      <c r="P216" s="3"/>
      <c r="Q216" s="3"/>
      <c r="Z216" s="3"/>
      <c r="AA216" s="18"/>
      <c r="AJ216" s="18"/>
      <c r="AK216" s="18"/>
      <c r="AO216" s="18"/>
      <c r="AT216" s="18"/>
      <c r="AU216" s="18"/>
      <c r="HO216" s="24"/>
      <c r="HP216" s="24"/>
      <c r="HQ216" s="24"/>
      <c r="HR216" s="24"/>
    </row>
    <row r="217" spans="15:226" ht="15">
      <c r="O217" s="3"/>
      <c r="P217" s="3"/>
      <c r="Q217" s="3"/>
      <c r="Z217" s="3"/>
      <c r="AA217" s="18"/>
      <c r="AJ217" s="18"/>
      <c r="AK217" s="18"/>
      <c r="AO217" s="18"/>
      <c r="AT217" s="18"/>
      <c r="AU217" s="18"/>
      <c r="HO217" s="24"/>
      <c r="HP217" s="24"/>
      <c r="HQ217" s="24"/>
      <c r="HR217" s="24"/>
    </row>
    <row r="218" spans="15:226" ht="15">
      <c r="O218" s="3"/>
      <c r="P218" s="3"/>
      <c r="Q218" s="3"/>
      <c r="Z218" s="3"/>
      <c r="AA218" s="18"/>
      <c r="AJ218" s="18"/>
      <c r="AK218" s="18"/>
      <c r="AO218" s="18"/>
      <c r="AT218" s="18"/>
      <c r="AU218" s="18"/>
      <c r="HO218" s="24"/>
      <c r="HP218" s="24"/>
      <c r="HQ218" s="24"/>
      <c r="HR218" s="24"/>
    </row>
    <row r="219" spans="15:226" ht="15">
      <c r="O219" s="3"/>
      <c r="P219" s="3"/>
      <c r="Q219" s="3"/>
      <c r="Z219" s="3"/>
      <c r="AA219" s="18"/>
      <c r="AJ219" s="18"/>
      <c r="AK219" s="18"/>
      <c r="AO219" s="18"/>
      <c r="AT219" s="18"/>
      <c r="AU219" s="18"/>
      <c r="HO219" s="24"/>
      <c r="HP219" s="24"/>
      <c r="HQ219" s="24"/>
      <c r="HR219" s="24"/>
    </row>
    <row r="220" spans="15:226" ht="15">
      <c r="O220" s="3"/>
      <c r="P220" s="3"/>
      <c r="Q220" s="3"/>
      <c r="Z220" s="3"/>
      <c r="AA220" s="18"/>
      <c r="AJ220" s="18"/>
      <c r="AK220" s="18"/>
      <c r="AO220" s="18"/>
      <c r="AP220" s="18"/>
      <c r="AT220" s="18"/>
      <c r="AU220" s="18"/>
      <c r="HO220" s="24"/>
      <c r="HP220" s="24"/>
      <c r="HQ220" s="24"/>
      <c r="HR220" s="24"/>
    </row>
    <row r="221" spans="15:226" ht="15">
      <c r="O221" s="3"/>
      <c r="P221" s="3"/>
      <c r="Q221" s="3"/>
      <c r="Z221" s="3"/>
      <c r="AA221" s="18"/>
      <c r="AJ221" s="18"/>
      <c r="AK221" s="18"/>
      <c r="AO221" s="18"/>
      <c r="AP221" s="18"/>
      <c r="AT221" s="18"/>
      <c r="AU221" s="18"/>
      <c r="HO221" s="24"/>
      <c r="HP221" s="24"/>
      <c r="HQ221" s="24"/>
      <c r="HR221" s="24"/>
    </row>
    <row r="222" spans="15:226" ht="15">
      <c r="O222" s="3"/>
      <c r="P222" s="3"/>
      <c r="Q222" s="3"/>
      <c r="Z222" s="3"/>
      <c r="AA222" s="18"/>
      <c r="AJ222" s="18"/>
      <c r="AK222" s="18"/>
      <c r="AO222" s="18"/>
      <c r="AP222" s="18"/>
      <c r="AT222" s="18"/>
      <c r="AU222" s="18"/>
      <c r="HO222" s="24"/>
      <c r="HP222" s="24"/>
      <c r="HQ222" s="24"/>
      <c r="HR222" s="24"/>
    </row>
    <row r="223" spans="15:226" ht="15">
      <c r="O223" s="3"/>
      <c r="P223" s="3"/>
      <c r="Q223" s="3"/>
      <c r="Z223" s="3"/>
      <c r="AA223" s="18"/>
      <c r="AJ223" s="18"/>
      <c r="AK223" s="18"/>
      <c r="AO223" s="18"/>
      <c r="AP223" s="18"/>
      <c r="AT223" s="18"/>
      <c r="AU223" s="18"/>
      <c r="HO223" s="24"/>
      <c r="HP223" s="24"/>
      <c r="HQ223" s="24"/>
      <c r="HR223" s="24"/>
    </row>
    <row r="224" spans="15:226" ht="15">
      <c r="O224" s="3"/>
      <c r="P224" s="3"/>
      <c r="Q224" s="3"/>
      <c r="Z224" s="3"/>
      <c r="AA224" s="18"/>
      <c r="AJ224" s="18"/>
      <c r="AK224" s="18"/>
      <c r="AO224" s="18"/>
      <c r="AP224" s="18"/>
      <c r="AT224" s="18"/>
      <c r="AU224" s="18"/>
      <c r="HO224" s="24"/>
      <c r="HP224" s="24"/>
      <c r="HQ224" s="24"/>
      <c r="HR224" s="24"/>
    </row>
    <row r="225" spans="15:226" ht="15">
      <c r="O225" s="3"/>
      <c r="P225" s="3"/>
      <c r="Q225" s="3"/>
      <c r="Z225" s="3"/>
      <c r="AA225" s="18"/>
      <c r="AJ225" s="18"/>
      <c r="AK225" s="18"/>
      <c r="AO225" s="18"/>
      <c r="AP225" s="18"/>
      <c r="AT225" s="18"/>
      <c r="AU225" s="18"/>
      <c r="HO225" s="24"/>
      <c r="HP225" s="24"/>
      <c r="HQ225" s="24"/>
      <c r="HR225" s="24"/>
    </row>
    <row r="226" spans="15:226" ht="15">
      <c r="O226" s="3"/>
      <c r="P226" s="3"/>
      <c r="Q226" s="3"/>
      <c r="Z226" s="3"/>
      <c r="AA226" s="18"/>
      <c r="AJ226" s="18"/>
      <c r="AK226" s="18"/>
      <c r="AO226" s="18"/>
      <c r="AP226" s="18"/>
      <c r="AT226" s="18"/>
      <c r="AU226" s="18"/>
      <c r="HO226" s="24"/>
      <c r="HP226" s="24"/>
      <c r="HQ226" s="24"/>
      <c r="HR226" s="24"/>
    </row>
    <row r="227" spans="15:226" ht="15">
      <c r="O227" s="3"/>
      <c r="P227" s="3"/>
      <c r="Q227" s="3"/>
      <c r="Z227" s="3"/>
      <c r="AA227" s="18"/>
      <c r="AJ227" s="18"/>
      <c r="AK227" s="18"/>
      <c r="AO227" s="18"/>
      <c r="AP227" s="18"/>
      <c r="AT227" s="18"/>
      <c r="AU227" s="18"/>
      <c r="HO227" s="24"/>
      <c r="HP227" s="24"/>
      <c r="HQ227" s="24"/>
      <c r="HR227" s="24"/>
    </row>
    <row r="228" spans="15:226" ht="15">
      <c r="O228" s="3"/>
      <c r="P228" s="3"/>
      <c r="Q228" s="3"/>
      <c r="Z228" s="3"/>
      <c r="AA228" s="18"/>
      <c r="AJ228" s="18"/>
      <c r="AK228" s="18"/>
      <c r="AO228" s="18"/>
      <c r="AP228" s="18"/>
      <c r="AT228" s="18"/>
      <c r="AU228" s="18"/>
      <c r="HO228" s="24"/>
      <c r="HP228" s="24"/>
      <c r="HQ228" s="24"/>
      <c r="HR228" s="24"/>
    </row>
    <row r="229" spans="15:226" ht="15">
      <c r="O229" s="3"/>
      <c r="P229" s="3"/>
      <c r="Q229" s="3"/>
      <c r="Z229" s="3"/>
      <c r="AA229" s="18"/>
      <c r="AJ229" s="18"/>
      <c r="AK229" s="18"/>
      <c r="AO229" s="18"/>
      <c r="AP229" s="18"/>
      <c r="AT229" s="18"/>
      <c r="AU229" s="18"/>
      <c r="HO229" s="24"/>
      <c r="HP229" s="24"/>
      <c r="HQ229" s="24"/>
      <c r="HR229" s="24"/>
    </row>
    <row r="230" spans="15:226" ht="15">
      <c r="O230" s="3"/>
      <c r="P230" s="3"/>
      <c r="Q230" s="3"/>
      <c r="Z230" s="3"/>
      <c r="AA230" s="18"/>
      <c r="AJ230" s="18"/>
      <c r="AK230" s="18"/>
      <c r="AO230" s="18"/>
      <c r="AP230" s="18"/>
      <c r="AT230" s="18"/>
      <c r="AU230" s="18"/>
      <c r="HO230" s="24"/>
      <c r="HP230" s="24"/>
      <c r="HQ230" s="24"/>
      <c r="HR230" s="24"/>
    </row>
    <row r="231" spans="15:226" ht="15">
      <c r="O231" s="3"/>
      <c r="P231" s="3"/>
      <c r="Q231" s="3"/>
      <c r="Z231" s="3"/>
      <c r="AA231" s="18"/>
      <c r="AD231" s="3" t="s">
        <v>1554</v>
      </c>
      <c r="AJ231" s="18"/>
      <c r="AK231" s="18"/>
      <c r="AO231" s="18"/>
      <c r="AP231" s="18"/>
      <c r="AT231" s="18"/>
      <c r="AU231" s="18"/>
      <c r="HO231" s="24"/>
      <c r="HP231" s="24"/>
      <c r="HQ231" s="24"/>
      <c r="HR231" s="24"/>
    </row>
    <row r="232" spans="15:226" ht="15">
      <c r="O232" s="3"/>
      <c r="P232" s="3"/>
      <c r="Q232" s="3"/>
      <c r="Z232" s="3"/>
      <c r="AA232" s="18"/>
      <c r="AD232" s="3" t="s">
        <v>1554</v>
      </c>
      <c r="AJ232" s="18"/>
      <c r="AK232" s="18"/>
      <c r="AO232" s="18"/>
      <c r="AP232" s="18"/>
      <c r="AT232" s="18"/>
      <c r="AU232" s="18"/>
      <c r="HO232" s="24"/>
      <c r="HP232" s="24"/>
      <c r="HQ232" s="24"/>
      <c r="HR232" s="24"/>
    </row>
    <row r="233" spans="15:226" ht="15">
      <c r="O233" s="3"/>
      <c r="P233" s="3"/>
      <c r="Q233" s="3"/>
      <c r="Z233" s="3"/>
      <c r="AA233" s="18"/>
      <c r="AJ233" s="18"/>
      <c r="AK233" s="18"/>
      <c r="AO233" s="18"/>
      <c r="AP233" s="18"/>
      <c r="AT233" s="18"/>
      <c r="AU233" s="18"/>
      <c r="HO233" s="24"/>
      <c r="HP233" s="24"/>
      <c r="HQ233" s="24"/>
      <c r="HR233" s="24"/>
    </row>
    <row r="234" spans="15:226" ht="15">
      <c r="O234" s="3"/>
      <c r="P234" s="3"/>
      <c r="Q234" s="3"/>
      <c r="Z234" s="3"/>
      <c r="AA234" s="18"/>
      <c r="AJ234" s="18"/>
      <c r="AK234" s="18"/>
      <c r="AO234" s="18"/>
      <c r="AP234" s="18"/>
      <c r="AT234" s="18"/>
      <c r="AU234" s="18"/>
      <c r="HO234" s="24"/>
      <c r="HP234" s="24"/>
      <c r="HQ234" s="24"/>
      <c r="HR234" s="24"/>
    </row>
    <row r="235" spans="15:226" ht="15">
      <c r="O235" s="3"/>
      <c r="P235" s="3"/>
      <c r="Q235" s="3"/>
      <c r="Z235" s="3"/>
      <c r="AA235" s="18"/>
      <c r="AJ235" s="18"/>
      <c r="AK235" s="18"/>
      <c r="AO235" s="18"/>
      <c r="AP235" s="18"/>
      <c r="AT235" s="18"/>
      <c r="AU235" s="18"/>
      <c r="HO235" s="24"/>
      <c r="HP235" s="24"/>
      <c r="HQ235" s="24"/>
      <c r="HR235" s="24"/>
    </row>
    <row r="236" spans="15:226" ht="15">
      <c r="O236" s="3"/>
      <c r="P236" s="3"/>
      <c r="Q236" s="3"/>
      <c r="Z236" s="3"/>
      <c r="AA236" s="18"/>
      <c r="AJ236" s="18"/>
      <c r="AK236" s="18"/>
      <c r="AO236" s="18"/>
      <c r="AP236" s="18"/>
      <c r="AT236" s="18"/>
      <c r="AU236" s="18"/>
      <c r="HO236" s="24"/>
      <c r="HP236" s="24"/>
      <c r="HQ236" s="24"/>
      <c r="HR236" s="24"/>
    </row>
    <row r="237" spans="15:226" ht="15">
      <c r="O237" s="3"/>
      <c r="P237" s="3"/>
      <c r="Q237" s="3"/>
      <c r="Z237" s="3"/>
      <c r="AA237" s="18"/>
      <c r="AJ237" s="18"/>
      <c r="AK237" s="18"/>
      <c r="AO237" s="18"/>
      <c r="AP237" s="18"/>
      <c r="AT237" s="18"/>
      <c r="AU237" s="18"/>
      <c r="HO237" s="24"/>
      <c r="HP237" s="24"/>
      <c r="HQ237" s="24"/>
      <c r="HR237" s="24"/>
    </row>
    <row r="238" spans="15:226" ht="15">
      <c r="O238" s="3"/>
      <c r="P238" s="3"/>
      <c r="Q238" s="3"/>
      <c r="Z238" s="3"/>
      <c r="AA238" s="18"/>
      <c r="AJ238" s="18"/>
      <c r="AK238" s="18"/>
      <c r="AO238" s="18"/>
      <c r="AP238" s="18"/>
      <c r="AT238" s="18"/>
      <c r="AU238" s="18"/>
      <c r="HO238" s="24"/>
      <c r="HP238" s="24"/>
      <c r="HQ238" s="24"/>
      <c r="HR238" s="24"/>
    </row>
    <row r="239" spans="15:226" ht="15">
      <c r="O239" s="3"/>
      <c r="P239" s="3"/>
      <c r="Q239" s="3"/>
      <c r="Z239" s="3"/>
      <c r="AA239" s="18"/>
      <c r="AJ239" s="18"/>
      <c r="AK239" s="18"/>
      <c r="AO239" s="18"/>
      <c r="AP239" s="18"/>
      <c r="AT239" s="18"/>
      <c r="AU239" s="18"/>
      <c r="HO239" s="24"/>
      <c r="HP239" s="24"/>
      <c r="HQ239" s="24"/>
      <c r="HR239" s="24"/>
    </row>
    <row r="240" spans="15:226" ht="15">
      <c r="O240" s="3"/>
      <c r="P240" s="3"/>
      <c r="Q240" s="3"/>
      <c r="Z240" s="3"/>
      <c r="AA240" s="18"/>
      <c r="AJ240" s="18"/>
      <c r="AK240" s="18"/>
      <c r="AO240" s="18"/>
      <c r="AP240" s="18"/>
      <c r="AT240" s="18"/>
      <c r="AU240" s="18"/>
      <c r="HO240" s="24"/>
      <c r="HP240" s="24"/>
      <c r="HQ240" s="24"/>
      <c r="HR240" s="24"/>
    </row>
    <row r="241" spans="15:226" ht="15">
      <c r="O241" s="3"/>
      <c r="P241" s="3"/>
      <c r="Q241" s="3"/>
      <c r="Z241" s="3"/>
      <c r="AA241" s="18"/>
      <c r="AJ241" s="18"/>
      <c r="AK241" s="18"/>
      <c r="AO241" s="18"/>
      <c r="AP241" s="18"/>
      <c r="AT241" s="18"/>
      <c r="AU241" s="18"/>
      <c r="HO241" s="24"/>
      <c r="HP241" s="24"/>
      <c r="HQ241" s="24"/>
      <c r="HR241" s="24"/>
    </row>
    <row r="242" spans="15:226" ht="15">
      <c r="O242" s="3"/>
      <c r="P242" s="3"/>
      <c r="Q242" s="3"/>
      <c r="Z242" s="3"/>
      <c r="AA242" s="18"/>
      <c r="AJ242" s="18"/>
      <c r="AK242" s="18"/>
      <c r="AO242" s="18"/>
      <c r="AP242" s="18"/>
      <c r="AT242" s="18"/>
      <c r="AU242" s="18"/>
      <c r="HO242" s="24"/>
      <c r="HP242" s="24"/>
      <c r="HQ242" s="24"/>
      <c r="HR242" s="24"/>
    </row>
    <row r="243" spans="15:226" ht="15">
      <c r="O243" s="3"/>
      <c r="P243" s="3"/>
      <c r="Q243" s="3"/>
      <c r="Z243" s="3"/>
      <c r="AA243" s="18"/>
      <c r="AJ243" s="18"/>
      <c r="AK243" s="18"/>
      <c r="AO243" s="18"/>
      <c r="AP243" s="18"/>
      <c r="AT243" s="18"/>
      <c r="AU243" s="18"/>
      <c r="HO243" s="24"/>
      <c r="HP243" s="24"/>
      <c r="HQ243" s="24"/>
      <c r="HR243" s="24"/>
    </row>
    <row r="244" spans="15:226" ht="15">
      <c r="O244" s="3"/>
      <c r="P244" s="3"/>
      <c r="Q244" s="3"/>
      <c r="Z244" s="3"/>
      <c r="AA244" s="18"/>
      <c r="AJ244" s="18"/>
      <c r="AK244" s="18"/>
      <c r="AO244" s="18"/>
      <c r="AP244" s="18"/>
      <c r="AT244" s="18"/>
      <c r="AU244" s="18"/>
      <c r="HO244" s="24"/>
      <c r="HP244" s="24"/>
      <c r="HQ244" s="24"/>
      <c r="HR244" s="24"/>
    </row>
    <row r="245" spans="15:226" ht="15">
      <c r="O245" s="3"/>
      <c r="P245" s="3"/>
      <c r="Q245" s="3"/>
      <c r="Z245" s="3"/>
      <c r="AA245" s="18"/>
      <c r="AJ245" s="18"/>
      <c r="AK245" s="18"/>
      <c r="AO245" s="18"/>
      <c r="AP245" s="18"/>
      <c r="AT245" s="18"/>
      <c r="AU245" s="18"/>
      <c r="HO245" s="24"/>
      <c r="HP245" s="24"/>
      <c r="HQ245" s="24"/>
      <c r="HR245" s="24"/>
    </row>
    <row r="246" spans="15:226" ht="15">
      <c r="O246" s="3"/>
      <c r="P246" s="3"/>
      <c r="Q246" s="3"/>
      <c r="Z246" s="3"/>
      <c r="AA246" s="18"/>
      <c r="AJ246" s="18"/>
      <c r="AK246" s="18"/>
      <c r="AO246" s="18"/>
      <c r="AP246" s="18"/>
      <c r="AT246" s="18"/>
      <c r="AU246" s="18"/>
      <c r="HO246" s="24"/>
      <c r="HP246" s="24"/>
      <c r="HQ246" s="24"/>
      <c r="HR246" s="24"/>
    </row>
    <row r="247" spans="15:226" ht="15">
      <c r="O247" s="3"/>
      <c r="P247" s="3"/>
      <c r="Q247" s="3"/>
      <c r="Z247" s="3"/>
      <c r="AA247" s="18"/>
      <c r="AJ247" s="18"/>
      <c r="AK247" s="18"/>
      <c r="AO247" s="18"/>
      <c r="AP247" s="18"/>
      <c r="AT247" s="18"/>
      <c r="AU247" s="18"/>
      <c r="HO247" s="24"/>
      <c r="HP247" s="24"/>
      <c r="HQ247" s="24"/>
      <c r="HR247" s="24"/>
    </row>
    <row r="248" spans="15:226" ht="15">
      <c r="O248" s="3"/>
      <c r="P248" s="3"/>
      <c r="Q248" s="3"/>
      <c r="Z248" s="3"/>
      <c r="AA248" s="18"/>
      <c r="AJ248" s="18"/>
      <c r="AK248" s="18"/>
      <c r="AO248" s="18"/>
      <c r="AP248" s="18"/>
      <c r="AT248" s="18"/>
      <c r="AU248" s="18"/>
      <c r="HO248" s="24"/>
      <c r="HP248" s="24"/>
      <c r="HQ248" s="24"/>
      <c r="HR248" s="24"/>
    </row>
    <row r="249" spans="15:226" ht="15">
      <c r="O249" s="3"/>
      <c r="P249" s="3"/>
      <c r="Q249" s="3"/>
      <c r="Z249" s="3"/>
      <c r="AA249" s="18"/>
      <c r="AJ249" s="18"/>
      <c r="AK249" s="18"/>
      <c r="AO249" s="18"/>
      <c r="AP249" s="18"/>
      <c r="AT249" s="18"/>
      <c r="AU249" s="18"/>
      <c r="HO249" s="24"/>
      <c r="HP249" s="24"/>
      <c r="HQ249" s="24"/>
      <c r="HR249" s="24"/>
    </row>
    <row r="250" spans="15:226" ht="15">
      <c r="O250" s="3"/>
      <c r="P250" s="3"/>
      <c r="Q250" s="3"/>
      <c r="Z250" s="3"/>
      <c r="AA250" s="18"/>
      <c r="AJ250" s="18"/>
      <c r="AK250" s="18"/>
      <c r="AO250" s="18"/>
      <c r="AP250" s="18"/>
      <c r="AT250" s="18"/>
      <c r="AU250" s="18"/>
      <c r="HO250" s="24"/>
      <c r="HP250" s="24"/>
      <c r="HQ250" s="24"/>
      <c r="HR250" s="24"/>
    </row>
    <row r="251" spans="15:226" ht="15">
      <c r="O251" s="3"/>
      <c r="P251" s="3"/>
      <c r="Q251" s="3"/>
      <c r="Z251" s="3"/>
      <c r="AA251" s="18"/>
      <c r="AJ251" s="18"/>
      <c r="AK251" s="18"/>
      <c r="AO251" s="18"/>
      <c r="AP251" s="18"/>
      <c r="AT251" s="18"/>
      <c r="AU251" s="18"/>
      <c r="HO251" s="24"/>
      <c r="HP251" s="24"/>
      <c r="HQ251" s="24"/>
      <c r="HR251" s="24"/>
    </row>
    <row r="252" spans="15:226" ht="15">
      <c r="O252" s="3"/>
      <c r="P252" s="3"/>
      <c r="Q252" s="3"/>
      <c r="Z252" s="3"/>
      <c r="AA252" s="18"/>
      <c r="AJ252" s="18"/>
      <c r="AK252" s="18"/>
      <c r="AO252" s="18"/>
      <c r="AP252" s="18"/>
      <c r="AT252" s="18"/>
      <c r="AU252" s="18"/>
      <c r="HO252" s="24"/>
      <c r="HP252" s="24"/>
      <c r="HQ252" s="24"/>
      <c r="HR252" s="24"/>
    </row>
    <row r="253" spans="15:226" ht="15">
      <c r="O253" s="3"/>
      <c r="P253" s="3"/>
      <c r="Q253" s="3"/>
      <c r="Z253" s="3"/>
      <c r="AA253" s="18"/>
      <c r="AJ253" s="18"/>
      <c r="AK253" s="18"/>
      <c r="AO253" s="18"/>
      <c r="AP253" s="18"/>
      <c r="AT253" s="18"/>
      <c r="AU253" s="18"/>
      <c r="HO253" s="24"/>
      <c r="HP253" s="24"/>
      <c r="HQ253" s="24"/>
      <c r="HR253" s="24"/>
    </row>
    <row r="254" spans="15:226" ht="15">
      <c r="O254" s="3"/>
      <c r="P254" s="3"/>
      <c r="Q254" s="3"/>
      <c r="Z254" s="3"/>
      <c r="AA254" s="18"/>
      <c r="AJ254" s="18"/>
      <c r="AK254" s="18"/>
      <c r="AO254" s="18"/>
      <c r="AP254" s="18"/>
      <c r="AT254" s="18"/>
      <c r="AU254" s="18"/>
      <c r="HO254" s="24"/>
      <c r="HP254" s="24"/>
      <c r="HQ254" s="24"/>
      <c r="HR254" s="24"/>
    </row>
    <row r="255" spans="15:226" ht="15">
      <c r="O255" s="3"/>
      <c r="P255" s="3"/>
      <c r="Q255" s="3"/>
      <c r="Z255" s="3"/>
      <c r="AA255" s="18"/>
      <c r="AJ255" s="18"/>
      <c r="AK255" s="18"/>
      <c r="AO255" s="18"/>
      <c r="AP255" s="18"/>
      <c r="AT255" s="18"/>
      <c r="AU255" s="18"/>
      <c r="HO255" s="24"/>
      <c r="HP255" s="24"/>
      <c r="HQ255" s="24"/>
      <c r="HR255" s="24"/>
    </row>
    <row r="256" spans="15:226" ht="15">
      <c r="O256" s="3"/>
      <c r="P256" s="3"/>
      <c r="Q256" s="3"/>
      <c r="Z256" s="3"/>
      <c r="AA256" s="18"/>
      <c r="AJ256" s="18"/>
      <c r="AK256" s="18"/>
      <c r="AO256" s="18"/>
      <c r="AP256" s="18"/>
      <c r="AT256" s="18"/>
      <c r="AU256" s="18"/>
      <c r="HO256" s="24"/>
      <c r="HP256" s="24"/>
      <c r="HQ256" s="24"/>
      <c r="HR256" s="24"/>
    </row>
    <row r="257" spans="15:226" ht="15">
      <c r="O257" s="3"/>
      <c r="P257" s="3"/>
      <c r="Q257" s="3"/>
      <c r="Z257" s="3"/>
      <c r="AA257" s="18"/>
      <c r="AJ257" s="18"/>
      <c r="AK257" s="18"/>
      <c r="AO257" s="18"/>
      <c r="AP257" s="18"/>
      <c r="AT257" s="18"/>
      <c r="AU257" s="18"/>
      <c r="HO257" s="24"/>
      <c r="HP257" s="24"/>
      <c r="HQ257" s="24"/>
      <c r="HR257" s="24"/>
    </row>
    <row r="258" spans="15:226" ht="15">
      <c r="O258" s="3"/>
      <c r="P258" s="3"/>
      <c r="Q258" s="3"/>
      <c r="Z258" s="3"/>
      <c r="AA258" s="18"/>
      <c r="AJ258" s="18"/>
      <c r="AK258" s="18"/>
      <c r="AO258" s="18"/>
      <c r="AP258" s="18"/>
      <c r="AT258" s="18"/>
      <c r="AU258" s="18"/>
      <c r="HO258" s="24"/>
      <c r="HP258" s="24"/>
      <c r="HQ258" s="24"/>
      <c r="HR258" s="24"/>
    </row>
    <row r="259" spans="15:226" ht="15">
      <c r="O259" s="3"/>
      <c r="P259" s="3"/>
      <c r="Q259" s="3"/>
      <c r="Z259" s="3"/>
      <c r="AA259" s="18"/>
      <c r="AJ259" s="18"/>
      <c r="AK259" s="18"/>
      <c r="AO259" s="18"/>
      <c r="AP259" s="18"/>
      <c r="AT259" s="18"/>
      <c r="AU259" s="18"/>
      <c r="HO259" s="24"/>
      <c r="HP259" s="24"/>
      <c r="HQ259" s="24"/>
      <c r="HR259" s="24"/>
    </row>
    <row r="260" spans="15:226" ht="15">
      <c r="O260" s="3"/>
      <c r="P260" s="3"/>
      <c r="Q260" s="3"/>
      <c r="Z260" s="3"/>
      <c r="AA260" s="18"/>
      <c r="AJ260" s="18"/>
      <c r="AK260" s="18"/>
      <c r="AO260" s="18"/>
      <c r="AP260" s="18"/>
      <c r="AT260" s="18"/>
      <c r="AU260" s="18"/>
      <c r="HO260" s="24"/>
      <c r="HP260" s="24"/>
      <c r="HQ260" s="24"/>
      <c r="HR260" s="24"/>
    </row>
    <row r="261" spans="15:226" ht="15">
      <c r="O261" s="3"/>
      <c r="P261" s="3"/>
      <c r="Q261" s="3"/>
      <c r="Z261" s="3"/>
      <c r="AA261" s="18"/>
      <c r="AJ261" s="18"/>
      <c r="AK261" s="18"/>
      <c r="AO261" s="18"/>
      <c r="AP261" s="18"/>
      <c r="AT261" s="18"/>
      <c r="AU261" s="18"/>
      <c r="HO261" s="24"/>
      <c r="HP261" s="24"/>
      <c r="HQ261" s="24"/>
      <c r="HR261" s="24"/>
    </row>
    <row r="262" spans="15:226" ht="15">
      <c r="O262" s="3"/>
      <c r="P262" s="3"/>
      <c r="Q262" s="3"/>
      <c r="Z262" s="3"/>
      <c r="AA262" s="18"/>
      <c r="AJ262" s="18"/>
      <c r="AK262" s="18"/>
      <c r="AO262" s="18"/>
      <c r="AP262" s="18"/>
      <c r="AT262" s="18"/>
      <c r="AU262" s="18"/>
      <c r="HO262" s="24"/>
      <c r="HP262" s="24"/>
      <c r="HQ262" s="24"/>
      <c r="HR262" s="24"/>
    </row>
    <row r="263" spans="15:226" ht="15">
      <c r="O263" s="3"/>
      <c r="P263" s="3"/>
      <c r="Q263" s="3"/>
      <c r="Z263" s="3"/>
      <c r="AA263" s="18"/>
      <c r="AJ263" s="18"/>
      <c r="AK263" s="18"/>
      <c r="AO263" s="18"/>
      <c r="AP263" s="18"/>
      <c r="AT263" s="18"/>
      <c r="AU263" s="18"/>
      <c r="HO263" s="24"/>
      <c r="HP263" s="24"/>
      <c r="HQ263" s="24"/>
      <c r="HR263" s="24"/>
    </row>
    <row r="264" spans="15:226" ht="15">
      <c r="O264" s="3"/>
      <c r="P264" s="3"/>
      <c r="Q264" s="3"/>
      <c r="Z264" s="3"/>
      <c r="AA264" s="18"/>
      <c r="AJ264" s="18"/>
      <c r="AK264" s="18"/>
      <c r="AO264" s="18"/>
      <c r="AP264" s="18"/>
      <c r="AT264" s="18"/>
      <c r="AU264" s="18"/>
      <c r="HO264" s="24"/>
      <c r="HP264" s="24"/>
      <c r="HQ264" s="24"/>
      <c r="HR264" s="24"/>
    </row>
    <row r="265" spans="15:226" ht="15">
      <c r="O265" s="3"/>
      <c r="P265" s="3"/>
      <c r="Q265" s="3"/>
      <c r="Z265" s="3"/>
      <c r="AA265" s="18"/>
      <c r="AJ265" s="18"/>
      <c r="AK265" s="18"/>
      <c r="AO265" s="18"/>
      <c r="AP265" s="18"/>
      <c r="AT265" s="18"/>
      <c r="AU265" s="18"/>
      <c r="HO265" s="24"/>
      <c r="HP265" s="24"/>
      <c r="HQ265" s="24"/>
      <c r="HR265" s="24"/>
    </row>
    <row r="266" spans="15:226" ht="15">
      <c r="O266" s="3"/>
      <c r="P266" s="3"/>
      <c r="Q266" s="3"/>
      <c r="Z266" s="3"/>
      <c r="AA266" s="18"/>
      <c r="AJ266" s="18"/>
      <c r="AK266" s="18"/>
      <c r="AO266" s="18"/>
      <c r="AP266" s="18"/>
      <c r="AT266" s="18"/>
      <c r="AU266" s="18"/>
      <c r="HO266" s="24"/>
      <c r="HP266" s="24"/>
      <c r="HQ266" s="24"/>
      <c r="HR266" s="24"/>
    </row>
    <row r="267" spans="15:226" ht="15">
      <c r="O267" s="3"/>
      <c r="P267" s="3"/>
      <c r="Q267" s="3"/>
      <c r="Z267" s="3"/>
      <c r="AA267" s="18"/>
      <c r="AJ267" s="18"/>
      <c r="AK267" s="18"/>
      <c r="AO267" s="18"/>
      <c r="AP267" s="18"/>
      <c r="AT267" s="18"/>
      <c r="AU267" s="18"/>
      <c r="HO267" s="24"/>
      <c r="HP267" s="24"/>
      <c r="HQ267" s="24"/>
      <c r="HR267" s="24"/>
    </row>
    <row r="268" spans="15:226" ht="15">
      <c r="O268" s="3"/>
      <c r="P268" s="3"/>
      <c r="Q268" s="3"/>
      <c r="Z268" s="3"/>
      <c r="AA268" s="18"/>
      <c r="AJ268" s="18"/>
      <c r="AK268" s="18"/>
      <c r="AO268" s="18"/>
      <c r="AP268" s="18"/>
      <c r="AT268" s="18"/>
      <c r="AU268" s="18"/>
      <c r="HO268" s="24"/>
      <c r="HP268" s="24"/>
      <c r="HQ268" s="24"/>
      <c r="HR268" s="24"/>
    </row>
    <row r="269" spans="15:226" ht="15.75">
      <c r="O269" s="3"/>
      <c r="P269" s="3"/>
      <c r="Q269" s="3"/>
      <c r="Z269" s="3"/>
      <c r="AA269" s="17"/>
      <c r="AJ269" s="18"/>
      <c r="AK269" s="18"/>
      <c r="AO269" s="18"/>
      <c r="AP269" s="18"/>
      <c r="AT269" s="18"/>
      <c r="AU269" s="18"/>
      <c r="HO269" s="24"/>
      <c r="HP269" s="24"/>
      <c r="HQ269" s="24"/>
      <c r="HR269" s="24"/>
    </row>
    <row r="270" spans="15:226" ht="15">
      <c r="O270" s="3"/>
      <c r="P270" s="3"/>
      <c r="Q270" s="3"/>
      <c r="Z270" s="3"/>
      <c r="AA270" s="18"/>
      <c r="AJ270" s="18"/>
      <c r="AK270" s="18"/>
      <c r="AO270" s="18"/>
      <c r="AP270" s="18"/>
      <c r="AT270" s="18"/>
      <c r="AU270" s="18"/>
      <c r="HO270" s="24"/>
      <c r="HP270" s="24"/>
      <c r="HQ270" s="24"/>
      <c r="HR270" s="24"/>
    </row>
    <row r="271" spans="15:226" ht="15">
      <c r="O271" s="3"/>
      <c r="P271" s="3"/>
      <c r="Q271" s="3"/>
      <c r="Z271" s="3"/>
      <c r="AA271" s="18"/>
      <c r="AJ271" s="18"/>
      <c r="AK271" s="18"/>
      <c r="AO271" s="18"/>
      <c r="AP271" s="18"/>
      <c r="AT271" s="18"/>
      <c r="AU271" s="18"/>
      <c r="HO271" s="24"/>
      <c r="HP271" s="24"/>
      <c r="HQ271" s="24"/>
      <c r="HR271" s="24"/>
    </row>
    <row r="272" spans="15:226" ht="15">
      <c r="O272" s="3"/>
      <c r="P272" s="3"/>
      <c r="Q272" s="3"/>
      <c r="Z272" s="3"/>
      <c r="AA272" s="18"/>
      <c r="AJ272" s="18"/>
      <c r="AK272" s="18"/>
      <c r="AO272" s="18"/>
      <c r="AP272" s="18"/>
      <c r="AT272" s="18"/>
      <c r="AU272" s="18"/>
      <c r="HO272" s="24"/>
      <c r="HP272" s="24"/>
      <c r="HQ272" s="24"/>
      <c r="HR272" s="24"/>
    </row>
    <row r="273" spans="15:226" ht="15">
      <c r="O273" s="3"/>
      <c r="P273" s="3"/>
      <c r="Q273" s="3"/>
      <c r="Z273" s="3"/>
      <c r="AA273" s="18"/>
      <c r="AJ273" s="18"/>
      <c r="AK273" s="18"/>
      <c r="AO273" s="18"/>
      <c r="AP273" s="18"/>
      <c r="AT273" s="18"/>
      <c r="AU273" s="18"/>
      <c r="HO273" s="24"/>
      <c r="HP273" s="24"/>
      <c r="HQ273" s="24"/>
      <c r="HR273" s="24"/>
    </row>
    <row r="274" spans="15:226" ht="15">
      <c r="O274" s="3"/>
      <c r="P274" s="3"/>
      <c r="Q274" s="3"/>
      <c r="Z274" s="3"/>
      <c r="AA274" s="18"/>
      <c r="AJ274" s="18"/>
      <c r="AK274" s="18"/>
      <c r="AO274" s="18"/>
      <c r="AP274" s="18"/>
      <c r="AT274" s="18"/>
      <c r="AU274" s="18"/>
      <c r="HO274" s="24"/>
      <c r="HP274" s="24"/>
      <c r="HQ274" s="24"/>
      <c r="HR274" s="24"/>
    </row>
    <row r="275" spans="15:226" ht="15">
      <c r="O275" s="3"/>
      <c r="P275" s="3"/>
      <c r="Q275" s="3"/>
      <c r="Z275" s="3"/>
      <c r="AA275" s="18"/>
      <c r="AJ275" s="18"/>
      <c r="AK275" s="18"/>
      <c r="AO275" s="18"/>
      <c r="AP275" s="18"/>
      <c r="AT275" s="18"/>
      <c r="AU275" s="18"/>
      <c r="HO275" s="24"/>
      <c r="HP275" s="24"/>
      <c r="HQ275" s="24"/>
      <c r="HR275" s="24"/>
    </row>
    <row r="276" spans="15:226" ht="15">
      <c r="O276" s="3"/>
      <c r="P276" s="3"/>
      <c r="Q276" s="3"/>
      <c r="Z276" s="3"/>
      <c r="AA276" s="18"/>
      <c r="AJ276" s="18"/>
      <c r="AK276" s="18"/>
      <c r="AO276" s="18"/>
      <c r="AP276" s="18"/>
      <c r="AT276" s="18"/>
      <c r="AU276" s="18"/>
      <c r="HO276" s="24"/>
      <c r="HP276" s="24"/>
      <c r="HQ276" s="24"/>
      <c r="HR276" s="24"/>
    </row>
    <row r="277" spans="15:226" ht="15">
      <c r="O277" s="3"/>
      <c r="P277" s="3"/>
      <c r="Q277" s="3"/>
      <c r="Z277" s="3"/>
      <c r="AA277" s="18"/>
      <c r="AJ277" s="18"/>
      <c r="AK277" s="18"/>
      <c r="AO277" s="18"/>
      <c r="AP277" s="18"/>
      <c r="AT277" s="18"/>
      <c r="AU277" s="18"/>
      <c r="HO277" s="24"/>
      <c r="HP277" s="24"/>
      <c r="HQ277" s="24"/>
      <c r="HR277" s="24"/>
    </row>
    <row r="278" spans="15:226" ht="15">
      <c r="O278" s="3"/>
      <c r="P278" s="3"/>
      <c r="Q278" s="3"/>
      <c r="Z278" s="3"/>
      <c r="AA278" s="18"/>
      <c r="AJ278" s="18"/>
      <c r="AK278" s="18"/>
      <c r="AO278" s="18"/>
      <c r="AP278" s="18"/>
      <c r="AT278" s="18"/>
      <c r="AU278" s="18"/>
      <c r="HO278" s="24"/>
      <c r="HP278" s="24"/>
      <c r="HQ278" s="24"/>
      <c r="HR278" s="24"/>
    </row>
    <row r="279" spans="15:226" ht="15">
      <c r="O279" s="3"/>
      <c r="P279" s="3"/>
      <c r="Q279" s="3"/>
      <c r="Z279" s="3"/>
      <c r="AA279" s="18"/>
      <c r="AJ279" s="18"/>
      <c r="AK279" s="18"/>
      <c r="AO279" s="18"/>
      <c r="AP279" s="18"/>
      <c r="AT279" s="18"/>
      <c r="AU279" s="18"/>
      <c r="HO279" s="24"/>
      <c r="HP279" s="24"/>
      <c r="HQ279" s="24"/>
      <c r="HR279" s="24"/>
    </row>
    <row r="280" spans="15:226" ht="15">
      <c r="O280" s="3"/>
      <c r="P280" s="3"/>
      <c r="Q280" s="3"/>
      <c r="Z280" s="3"/>
      <c r="AA280" s="18"/>
      <c r="AJ280" s="18"/>
      <c r="AK280" s="18"/>
      <c r="AO280" s="18"/>
      <c r="AP280" s="18"/>
      <c r="AT280" s="18"/>
      <c r="AU280" s="18"/>
      <c r="HO280" s="24"/>
      <c r="HP280" s="24"/>
      <c r="HQ280" s="24"/>
      <c r="HR280" s="24"/>
    </row>
    <row r="281" spans="15:226" ht="15">
      <c r="O281" s="3"/>
      <c r="P281" s="3"/>
      <c r="Q281" s="3"/>
      <c r="Z281" s="3"/>
      <c r="AA281" s="18"/>
      <c r="AJ281" s="18"/>
      <c r="AK281" s="18"/>
      <c r="AO281" s="18"/>
      <c r="AP281" s="18"/>
      <c r="AT281" s="18"/>
      <c r="AU281" s="18"/>
      <c r="HO281" s="24"/>
      <c r="HP281" s="24"/>
      <c r="HQ281" s="24"/>
      <c r="HR281" s="24"/>
    </row>
    <row r="282" spans="15:226" ht="15">
      <c r="O282" s="3"/>
      <c r="P282" s="3"/>
      <c r="Q282" s="3"/>
      <c r="Z282" s="3"/>
      <c r="AA282" s="18"/>
      <c r="AJ282" s="18"/>
      <c r="AK282" s="18"/>
      <c r="AO282" s="18"/>
      <c r="AP282" s="18"/>
      <c r="AT282" s="18"/>
      <c r="AU282" s="18"/>
      <c r="HO282" s="24"/>
      <c r="HP282" s="24"/>
      <c r="HQ282" s="24"/>
      <c r="HR282" s="24"/>
    </row>
    <row r="283" spans="15:226" ht="15.75">
      <c r="O283" s="3"/>
      <c r="P283" s="3"/>
      <c r="Q283" s="3"/>
      <c r="Z283" s="3"/>
      <c r="AA283" s="17"/>
      <c r="AJ283" s="18"/>
      <c r="AK283" s="18"/>
      <c r="AO283" s="18"/>
      <c r="AP283" s="18"/>
      <c r="AT283" s="18"/>
      <c r="AU283" s="18"/>
      <c r="HO283" s="24"/>
      <c r="HP283" s="24"/>
      <c r="HQ283" s="24"/>
      <c r="HR283" s="24"/>
    </row>
    <row r="284" spans="15:226" ht="15.75">
      <c r="O284" s="3"/>
      <c r="P284" s="3"/>
      <c r="Q284" s="3"/>
      <c r="Z284" s="3"/>
      <c r="AA284" s="17"/>
      <c r="AJ284" s="18"/>
      <c r="AK284" s="18"/>
      <c r="AO284" s="18"/>
      <c r="AP284" s="18"/>
      <c r="AT284" s="18"/>
      <c r="AU284" s="18"/>
      <c r="HO284" s="24"/>
      <c r="HP284" s="24"/>
      <c r="HQ284" s="24"/>
      <c r="HR284" s="24"/>
    </row>
    <row r="285" spans="15:226" ht="15.75">
      <c r="O285" s="3"/>
      <c r="P285" s="3"/>
      <c r="Q285" s="3"/>
      <c r="Z285" s="3"/>
      <c r="AA285" s="17"/>
      <c r="AJ285" s="18"/>
      <c r="AK285" s="18"/>
      <c r="AO285" s="18"/>
      <c r="AP285" s="18"/>
      <c r="AT285" s="18"/>
      <c r="AU285" s="18"/>
      <c r="HO285" s="24"/>
      <c r="HP285" s="24"/>
      <c r="HQ285" s="24"/>
      <c r="HR285" s="24"/>
    </row>
    <row r="286" spans="15:226" ht="15.75">
      <c r="O286" s="3"/>
      <c r="P286" s="3"/>
      <c r="Q286" s="3"/>
      <c r="Z286" s="3"/>
      <c r="AA286" s="17"/>
      <c r="AJ286" s="18"/>
      <c r="AK286" s="18"/>
      <c r="AO286" s="18"/>
      <c r="AP286" s="18"/>
      <c r="AT286" s="18"/>
      <c r="AU286" s="18"/>
      <c r="HO286" s="24"/>
      <c r="HP286" s="24"/>
      <c r="HQ286" s="24"/>
      <c r="HR286" s="24"/>
    </row>
    <row r="287" spans="15:226" ht="15.75">
      <c r="O287" s="3"/>
      <c r="P287" s="3"/>
      <c r="Q287" s="3"/>
      <c r="Z287" s="3"/>
      <c r="AA287" s="17"/>
      <c r="AJ287" s="18"/>
      <c r="AK287" s="18"/>
      <c r="AO287" s="18"/>
      <c r="AP287" s="18"/>
      <c r="AT287" s="18"/>
      <c r="AU287" s="18"/>
      <c r="HO287" s="24"/>
      <c r="HP287" s="24"/>
      <c r="HQ287" s="24"/>
      <c r="HR287" s="24"/>
    </row>
    <row r="288" spans="15:226" ht="15.75">
      <c r="O288" s="3"/>
      <c r="P288" s="3"/>
      <c r="Q288" s="3"/>
      <c r="Z288" s="3"/>
      <c r="AA288" s="17"/>
      <c r="AJ288" s="18"/>
      <c r="AK288" s="18"/>
      <c r="AO288" s="18"/>
      <c r="AP288" s="18"/>
      <c r="AT288" s="18"/>
      <c r="AU288" s="18"/>
      <c r="HO288" s="24"/>
      <c r="HP288" s="24"/>
      <c r="HQ288" s="24"/>
      <c r="HR288" s="24"/>
    </row>
    <row r="289" spans="15:226" ht="15.75">
      <c r="O289" s="3"/>
      <c r="P289" s="3"/>
      <c r="Q289" s="3"/>
      <c r="Z289" s="3"/>
      <c r="AA289" s="17"/>
      <c r="AJ289" s="18"/>
      <c r="AK289" s="18"/>
      <c r="AO289" s="18"/>
      <c r="AP289" s="18"/>
      <c r="AT289" s="18"/>
      <c r="AU289" s="18"/>
      <c r="HO289" s="24"/>
      <c r="HP289" s="24"/>
      <c r="HQ289" s="24"/>
      <c r="HR289" s="24"/>
    </row>
    <row r="290" spans="15:226" ht="15.75">
      <c r="O290" s="3"/>
      <c r="P290" s="3"/>
      <c r="Q290" s="3"/>
      <c r="Z290" s="3"/>
      <c r="AA290" s="17"/>
      <c r="AJ290" s="18"/>
      <c r="AK290" s="18"/>
      <c r="AO290" s="18"/>
      <c r="AP290" s="18"/>
      <c r="AT290" s="18"/>
      <c r="AU290" s="18"/>
      <c r="HO290" s="24"/>
      <c r="HP290" s="24"/>
      <c r="HQ290" s="24"/>
      <c r="HR290" s="24"/>
    </row>
    <row r="291" spans="15:226" ht="15.75">
      <c r="O291" s="3"/>
      <c r="P291" s="3"/>
      <c r="Q291" s="3"/>
      <c r="Z291" s="3"/>
      <c r="AA291" s="17"/>
      <c r="AJ291" s="18"/>
      <c r="AK291" s="18"/>
      <c r="AO291" s="18"/>
      <c r="AP291" s="18"/>
      <c r="AT291" s="18"/>
      <c r="AU291" s="18"/>
      <c r="HO291" s="24"/>
      <c r="HP291" s="24"/>
      <c r="HQ291" s="24"/>
      <c r="HR291" s="24"/>
    </row>
    <row r="292" spans="15:226" ht="15.75">
      <c r="O292" s="3"/>
      <c r="P292" s="3"/>
      <c r="Q292" s="3"/>
      <c r="Z292" s="3"/>
      <c r="AA292" s="17"/>
      <c r="AJ292" s="18"/>
      <c r="AK292" s="18"/>
      <c r="AO292" s="18"/>
      <c r="AP292" s="18"/>
      <c r="AT292" s="18"/>
      <c r="AU292" s="18"/>
      <c r="HO292" s="24"/>
      <c r="HP292" s="24"/>
      <c r="HQ292" s="24"/>
      <c r="HR292" s="24"/>
    </row>
    <row r="293" spans="15:226" ht="15.75">
      <c r="O293" s="3"/>
      <c r="P293" s="3"/>
      <c r="Q293" s="3"/>
      <c r="Z293" s="3"/>
      <c r="AA293" s="17"/>
      <c r="AJ293" s="18"/>
      <c r="AK293" s="18"/>
      <c r="AO293" s="18"/>
      <c r="AP293" s="18"/>
      <c r="AT293" s="18"/>
      <c r="AU293" s="18"/>
      <c r="HO293" s="24"/>
      <c r="HP293" s="24"/>
      <c r="HQ293" s="24"/>
      <c r="HR293" s="24"/>
    </row>
    <row r="294" spans="15:226" ht="15.75">
      <c r="O294" s="3"/>
      <c r="P294" s="3"/>
      <c r="Q294" s="3"/>
      <c r="Z294" s="3"/>
      <c r="AA294" s="17"/>
      <c r="AJ294" s="18"/>
      <c r="AK294" s="18"/>
      <c r="AO294" s="18"/>
      <c r="AP294" s="18"/>
      <c r="AT294" s="18"/>
      <c r="AU294" s="18"/>
      <c r="HO294" s="24"/>
      <c r="HP294" s="24"/>
      <c r="HQ294" s="24"/>
      <c r="HR294" s="24"/>
    </row>
    <row r="295" spans="15:226" ht="15.75">
      <c r="O295" s="3"/>
      <c r="P295" s="3"/>
      <c r="Q295" s="3"/>
      <c r="Z295" s="3"/>
      <c r="AA295" s="17"/>
      <c r="AJ295" s="18"/>
      <c r="AK295" s="18"/>
      <c r="AO295" s="18"/>
      <c r="AP295" s="18"/>
      <c r="AT295" s="18"/>
      <c r="AU295" s="18"/>
      <c r="HO295" s="24"/>
      <c r="HP295" s="24"/>
      <c r="HQ295" s="24"/>
      <c r="HR295" s="24"/>
    </row>
    <row r="296" spans="15:226" ht="15.75">
      <c r="O296" s="3"/>
      <c r="P296" s="3"/>
      <c r="Q296" s="3"/>
      <c r="Z296" s="3"/>
      <c r="AA296" s="17"/>
      <c r="AJ296" s="18"/>
      <c r="AK296" s="18"/>
      <c r="AO296" s="18"/>
      <c r="AP296" s="18"/>
      <c r="AT296" s="18"/>
      <c r="AU296" s="18"/>
      <c r="HO296" s="24"/>
      <c r="HP296" s="24"/>
      <c r="HQ296" s="24"/>
      <c r="HR296" s="24"/>
    </row>
    <row r="297" spans="15:226" ht="15.75">
      <c r="O297" s="3"/>
      <c r="P297" s="3"/>
      <c r="Q297" s="3"/>
      <c r="Z297" s="3"/>
      <c r="AA297" s="17"/>
      <c r="AJ297" s="18"/>
      <c r="AK297" s="18"/>
      <c r="AO297" s="18"/>
      <c r="AP297" s="18"/>
      <c r="AT297" s="18"/>
      <c r="AU297" s="18"/>
      <c r="HO297" s="24"/>
      <c r="HP297" s="24"/>
      <c r="HQ297" s="24"/>
      <c r="HR297" s="24"/>
    </row>
    <row r="298" spans="15:226" ht="15.75">
      <c r="O298" s="3"/>
      <c r="P298" s="3"/>
      <c r="Q298" s="3"/>
      <c r="Z298" s="3"/>
      <c r="AA298" s="17"/>
      <c r="AJ298" s="18"/>
      <c r="AK298" s="18"/>
      <c r="AO298" s="18"/>
      <c r="AP298" s="18"/>
      <c r="AT298" s="18"/>
      <c r="AU298" s="18"/>
      <c r="HO298" s="24"/>
      <c r="HP298" s="24"/>
      <c r="HQ298" s="24"/>
      <c r="HR298" s="24"/>
    </row>
    <row r="299" spans="15:226" ht="15.75">
      <c r="O299" s="3"/>
      <c r="P299" s="3"/>
      <c r="Q299" s="3"/>
      <c r="Z299" s="3"/>
      <c r="AA299" s="17"/>
      <c r="AJ299" s="18"/>
      <c r="AK299" s="18"/>
      <c r="AO299" s="18"/>
      <c r="AP299" s="18"/>
      <c r="AT299" s="18"/>
      <c r="AU299" s="18"/>
      <c r="HO299" s="24"/>
      <c r="HP299" s="24"/>
      <c r="HQ299" s="24"/>
      <c r="HR299" s="24"/>
    </row>
    <row r="300" spans="15:226" ht="15.75">
      <c r="O300" s="3"/>
      <c r="P300" s="3"/>
      <c r="Q300" s="3"/>
      <c r="Z300" s="3"/>
      <c r="AA300" s="17"/>
      <c r="AJ300" s="18"/>
      <c r="AK300" s="18"/>
      <c r="AO300" s="18"/>
      <c r="AP300" s="18"/>
      <c r="AT300" s="18"/>
      <c r="AU300" s="18"/>
      <c r="HO300" s="24"/>
      <c r="HP300" s="24"/>
      <c r="HQ300" s="24"/>
      <c r="HR300" s="24"/>
    </row>
    <row r="301" spans="15:226" ht="15.75">
      <c r="O301" s="3"/>
      <c r="P301" s="3"/>
      <c r="Q301" s="3"/>
      <c r="Z301" s="3"/>
      <c r="AA301" s="17"/>
      <c r="AJ301" s="18"/>
      <c r="AK301" s="18"/>
      <c r="AO301" s="18"/>
      <c r="AP301" s="18"/>
      <c r="AT301" s="18"/>
      <c r="AU301" s="18"/>
      <c r="HO301" s="24"/>
      <c r="HP301" s="24"/>
      <c r="HQ301" s="24"/>
      <c r="HR301" s="24"/>
    </row>
    <row r="302" spans="15:226" ht="15.75">
      <c r="O302" s="3"/>
      <c r="P302" s="3"/>
      <c r="Q302" s="3"/>
      <c r="Z302" s="3"/>
      <c r="AA302" s="17"/>
      <c r="AJ302" s="18"/>
      <c r="AK302" s="18"/>
      <c r="AO302" s="18"/>
      <c r="AP302" s="18"/>
      <c r="AT302" s="18"/>
      <c r="AU302" s="18"/>
      <c r="HO302" s="24"/>
      <c r="HP302" s="24"/>
      <c r="HQ302" s="24"/>
      <c r="HR302" s="24"/>
    </row>
    <row r="303" spans="15:226" ht="15.75">
      <c r="O303" s="3"/>
      <c r="P303" s="3"/>
      <c r="Q303" s="3"/>
      <c r="Z303" s="3"/>
      <c r="AA303" s="17"/>
      <c r="AJ303" s="18"/>
      <c r="AK303" s="18"/>
      <c r="AO303" s="18"/>
      <c r="AP303" s="18"/>
      <c r="AT303" s="18"/>
      <c r="AU303" s="18"/>
      <c r="HO303" s="24"/>
      <c r="HP303" s="24"/>
      <c r="HQ303" s="24"/>
      <c r="HR303" s="24"/>
    </row>
    <row r="304" spans="15:226" ht="15.75">
      <c r="O304" s="3"/>
      <c r="P304" s="3"/>
      <c r="Q304" s="3"/>
      <c r="Z304" s="3"/>
      <c r="AA304" s="17"/>
      <c r="AJ304" s="18"/>
      <c r="AK304" s="18"/>
      <c r="AO304" s="18"/>
      <c r="AP304" s="18"/>
      <c r="AT304" s="18"/>
      <c r="AU304" s="18"/>
      <c r="HO304" s="24"/>
      <c r="HP304" s="24"/>
      <c r="HQ304" s="24"/>
      <c r="HR304" s="24"/>
    </row>
    <row r="305" spans="15:226" ht="15.75">
      <c r="O305" s="3"/>
      <c r="P305" s="3"/>
      <c r="Q305" s="3"/>
      <c r="Z305" s="3"/>
      <c r="AA305" s="17"/>
      <c r="AJ305" s="18"/>
      <c r="AK305" s="18"/>
      <c r="AO305" s="18"/>
      <c r="AP305" s="18"/>
      <c r="AT305" s="18"/>
      <c r="AU305" s="18"/>
      <c r="HO305" s="24"/>
      <c r="HP305" s="24"/>
      <c r="HQ305" s="24"/>
      <c r="HR305" s="24"/>
    </row>
    <row r="306" spans="15:226" ht="15.75">
      <c r="O306" s="3"/>
      <c r="P306" s="3"/>
      <c r="Q306" s="3"/>
      <c r="Z306" s="3"/>
      <c r="AA306" s="17"/>
      <c r="AJ306" s="18"/>
      <c r="AK306" s="18"/>
      <c r="AO306" s="18"/>
      <c r="AP306" s="18"/>
      <c r="AT306" s="18"/>
      <c r="AU306" s="18"/>
      <c r="HO306" s="24"/>
      <c r="HP306" s="24"/>
      <c r="HQ306" s="24"/>
      <c r="HR306" s="24"/>
    </row>
    <row r="307" spans="15:226" ht="15.75">
      <c r="O307" s="3"/>
      <c r="P307" s="3"/>
      <c r="Q307" s="3"/>
      <c r="Z307" s="3"/>
      <c r="AA307" s="17"/>
      <c r="AJ307" s="18"/>
      <c r="AK307" s="18"/>
      <c r="AO307" s="18"/>
      <c r="AP307" s="18"/>
      <c r="AT307" s="18"/>
      <c r="AU307" s="18"/>
      <c r="HO307" s="24"/>
      <c r="HP307" s="24"/>
      <c r="HQ307" s="24"/>
      <c r="HR307" s="24"/>
    </row>
    <row r="308" spans="15:226" ht="15.75">
      <c r="O308" s="3"/>
      <c r="P308" s="3"/>
      <c r="Q308" s="3"/>
      <c r="Z308" s="3"/>
      <c r="AA308" s="17"/>
      <c r="AJ308" s="18"/>
      <c r="AK308" s="18"/>
      <c r="AO308" s="18"/>
      <c r="AP308" s="18"/>
      <c r="AT308" s="18"/>
      <c r="AU308" s="18"/>
      <c r="HO308" s="24"/>
      <c r="HP308" s="24"/>
      <c r="HQ308" s="24"/>
      <c r="HR308" s="24"/>
    </row>
    <row r="309" spans="15:226" ht="15.75">
      <c r="O309" s="3"/>
      <c r="P309" s="3"/>
      <c r="Q309" s="3"/>
      <c r="Z309" s="3"/>
      <c r="AA309" s="17"/>
      <c r="AJ309" s="18"/>
      <c r="AK309" s="18"/>
      <c r="AO309" s="18"/>
      <c r="AP309" s="18"/>
      <c r="AT309" s="18"/>
      <c r="AU309" s="18"/>
      <c r="HO309" s="24"/>
      <c r="HP309" s="24"/>
      <c r="HQ309" s="24"/>
      <c r="HR309" s="24"/>
    </row>
    <row r="310" spans="15:226" ht="15.75">
      <c r="O310" s="3"/>
      <c r="P310" s="3"/>
      <c r="Q310" s="3"/>
      <c r="Z310" s="3"/>
      <c r="AA310" s="17"/>
      <c r="AJ310" s="18"/>
      <c r="AK310" s="18"/>
      <c r="AO310" s="18"/>
      <c r="AP310" s="18"/>
      <c r="AT310" s="18"/>
      <c r="AU310" s="18"/>
      <c r="HO310" s="24"/>
      <c r="HP310" s="24"/>
      <c r="HQ310" s="24"/>
      <c r="HR310" s="24"/>
    </row>
    <row r="311" spans="15:226" ht="15.75">
      <c r="O311" s="3"/>
      <c r="P311" s="3"/>
      <c r="Q311" s="3"/>
      <c r="Z311" s="3"/>
      <c r="AA311" s="83"/>
      <c r="AJ311" s="18"/>
      <c r="AK311" s="18"/>
      <c r="AO311" s="18"/>
      <c r="AP311" s="18"/>
      <c r="AT311" s="18"/>
      <c r="AU311" s="18"/>
      <c r="HO311" s="24"/>
      <c r="HP311" s="24"/>
      <c r="HQ311" s="24"/>
      <c r="HR311" s="24"/>
    </row>
    <row r="312" spans="15:226" ht="15.75">
      <c r="O312" s="3"/>
      <c r="P312" s="3"/>
      <c r="Q312" s="3"/>
      <c r="Z312" s="3"/>
      <c r="AA312" s="17"/>
      <c r="AJ312" s="18"/>
      <c r="AK312" s="18"/>
      <c r="AO312" s="18"/>
      <c r="AP312" s="18"/>
      <c r="AT312" s="18"/>
      <c r="AU312" s="18"/>
      <c r="HO312" s="24"/>
      <c r="HP312" s="24"/>
      <c r="HQ312" s="24"/>
      <c r="HR312" s="24"/>
    </row>
    <row r="313" spans="15:226" ht="15.75">
      <c r="O313" s="3"/>
      <c r="P313" s="3"/>
      <c r="Q313" s="3"/>
      <c r="Z313" s="3"/>
      <c r="AA313" s="17"/>
      <c r="AJ313" s="18"/>
      <c r="AK313" s="18"/>
      <c r="AO313" s="18"/>
      <c r="AP313" s="18"/>
      <c r="AT313" s="18"/>
      <c r="AU313" s="18"/>
      <c r="HO313" s="24"/>
      <c r="HP313" s="24"/>
      <c r="HQ313" s="24"/>
      <c r="HR313" s="24"/>
    </row>
    <row r="314" spans="15:226" ht="15.75">
      <c r="O314" s="3"/>
      <c r="P314" s="3"/>
      <c r="Q314" s="3"/>
      <c r="Z314" s="3"/>
      <c r="AA314" s="17"/>
      <c r="AJ314" s="18"/>
      <c r="AK314" s="18"/>
      <c r="AO314" s="18"/>
      <c r="AP314" s="18"/>
      <c r="AT314" s="18"/>
      <c r="AU314" s="18"/>
      <c r="HO314" s="24"/>
      <c r="HP314" s="24"/>
      <c r="HQ314" s="24"/>
      <c r="HR314" s="24"/>
    </row>
    <row r="315" spans="15:226" ht="15.75">
      <c r="O315" s="3"/>
      <c r="P315" s="3"/>
      <c r="Q315" s="3"/>
      <c r="Z315" s="3"/>
      <c r="AA315" s="17"/>
      <c r="AJ315" s="18"/>
      <c r="AK315" s="18"/>
      <c r="AO315" s="18"/>
      <c r="AP315" s="18"/>
      <c r="AT315" s="18"/>
      <c r="AU315" s="18"/>
      <c r="HO315" s="24"/>
      <c r="HP315" s="24"/>
      <c r="HQ315" s="24"/>
      <c r="HR315" s="24"/>
    </row>
    <row r="316" spans="15:226" ht="15.75">
      <c r="O316" s="3"/>
      <c r="P316" s="3"/>
      <c r="Q316" s="3"/>
      <c r="Z316" s="3"/>
      <c r="AA316" s="17"/>
      <c r="AJ316" s="18"/>
      <c r="AK316" s="18"/>
      <c r="AO316" s="18"/>
      <c r="AP316" s="18"/>
      <c r="AT316" s="18"/>
      <c r="AU316" s="18"/>
      <c r="HO316" s="24"/>
      <c r="HP316" s="24"/>
      <c r="HQ316" s="24"/>
      <c r="HR316" s="24"/>
    </row>
    <row r="317" spans="15:226" ht="15.75">
      <c r="O317" s="3"/>
      <c r="P317" s="3"/>
      <c r="Q317" s="3"/>
      <c r="Z317" s="3"/>
      <c r="AA317" s="17"/>
      <c r="AJ317" s="18"/>
      <c r="AK317" s="18"/>
      <c r="AO317" s="18"/>
      <c r="AP317" s="18"/>
      <c r="AT317" s="18"/>
      <c r="AU317" s="18"/>
      <c r="HO317" s="24"/>
      <c r="HP317" s="24"/>
      <c r="HQ317" s="24"/>
      <c r="HR317" s="24"/>
    </row>
    <row r="318" spans="15:226" ht="15.75">
      <c r="O318" s="3"/>
      <c r="P318" s="3"/>
      <c r="Q318" s="3"/>
      <c r="Z318" s="3"/>
      <c r="AA318" s="17"/>
      <c r="AJ318" s="18"/>
      <c r="AK318" s="18"/>
      <c r="AO318" s="18"/>
      <c r="AP318" s="18"/>
      <c r="AT318" s="18"/>
      <c r="AU318" s="18"/>
      <c r="HO318" s="24"/>
      <c r="HP318" s="24"/>
      <c r="HQ318" s="24"/>
      <c r="HR318" s="24"/>
    </row>
    <row r="319" spans="15:226" ht="15.75">
      <c r="O319" s="3"/>
      <c r="P319" s="3"/>
      <c r="Q319" s="3"/>
      <c r="Z319" s="3"/>
      <c r="AA319" s="17"/>
      <c r="AJ319" s="18"/>
      <c r="AK319" s="18"/>
      <c r="AO319" s="18"/>
      <c r="AP319" s="18"/>
      <c r="AT319" s="18"/>
      <c r="AU319" s="18"/>
      <c r="HO319" s="24"/>
      <c r="HP319" s="24"/>
      <c r="HQ319" s="24"/>
      <c r="HR319" s="24"/>
    </row>
    <row r="320" spans="15:226" ht="15.75">
      <c r="O320" s="3"/>
      <c r="P320" s="3"/>
      <c r="Q320" s="3"/>
      <c r="Z320" s="3"/>
      <c r="AA320" s="17"/>
      <c r="AJ320" s="18"/>
      <c r="AK320" s="18"/>
      <c r="AO320" s="18"/>
      <c r="AP320" s="18"/>
      <c r="AT320" s="18"/>
      <c r="AU320" s="18"/>
      <c r="HO320" s="24"/>
      <c r="HP320" s="24"/>
      <c r="HQ320" s="24"/>
      <c r="HR320" s="24"/>
    </row>
    <row r="321" spans="15:226" ht="15.75">
      <c r="O321" s="3"/>
      <c r="P321" s="3"/>
      <c r="Q321" s="3"/>
      <c r="Z321" s="3"/>
      <c r="AA321" s="17"/>
      <c r="AJ321" s="18"/>
      <c r="AK321" s="18"/>
      <c r="AO321" s="18"/>
      <c r="AP321" s="18"/>
      <c r="AT321" s="18"/>
      <c r="AU321" s="18"/>
      <c r="HO321" s="24"/>
      <c r="HP321" s="24"/>
      <c r="HQ321" s="24"/>
      <c r="HR321" s="24"/>
    </row>
    <row r="322" spans="15:226" ht="15.75">
      <c r="O322" s="3"/>
      <c r="P322" s="3"/>
      <c r="Q322" s="3"/>
      <c r="Z322" s="3"/>
      <c r="AA322" s="17"/>
      <c r="AJ322" s="18"/>
      <c r="AK322" s="18"/>
      <c r="AO322" s="18"/>
      <c r="AP322" s="18"/>
      <c r="AT322" s="18"/>
      <c r="AU322" s="18"/>
      <c r="HO322" s="24"/>
      <c r="HP322" s="24"/>
      <c r="HQ322" s="24"/>
      <c r="HR322" s="24"/>
    </row>
    <row r="323" spans="15:226" ht="15.75">
      <c r="O323" s="3"/>
      <c r="P323" s="3"/>
      <c r="Q323" s="3"/>
      <c r="Z323" s="3"/>
      <c r="AA323" s="17"/>
      <c r="AJ323" s="18"/>
      <c r="AK323" s="18"/>
      <c r="AO323" s="18"/>
      <c r="AP323" s="18"/>
      <c r="AT323" s="18"/>
      <c r="AU323" s="18"/>
      <c r="HO323" s="24"/>
      <c r="HP323" s="24"/>
      <c r="HQ323" s="24"/>
      <c r="HR323" s="24"/>
    </row>
    <row r="324" spans="15:226" ht="15.75">
      <c r="O324" s="3"/>
      <c r="P324" s="3"/>
      <c r="Q324" s="3"/>
      <c r="Z324" s="3"/>
      <c r="AA324" s="17"/>
      <c r="AJ324" s="18"/>
      <c r="AK324" s="18"/>
      <c r="AO324" s="18"/>
      <c r="AP324" s="18"/>
      <c r="AT324" s="18"/>
      <c r="AU324" s="18"/>
      <c r="HO324" s="24"/>
      <c r="HP324" s="24"/>
      <c r="HQ324" s="24"/>
      <c r="HR324" s="24"/>
    </row>
    <row r="325" spans="15:226" ht="15.75">
      <c r="O325" s="3"/>
      <c r="P325" s="3"/>
      <c r="Q325" s="3"/>
      <c r="Z325" s="3"/>
      <c r="AA325" s="17"/>
      <c r="AJ325" s="18"/>
      <c r="AK325" s="18"/>
      <c r="AO325" s="18"/>
      <c r="AP325" s="18"/>
      <c r="AT325" s="18"/>
      <c r="AU325" s="18"/>
      <c r="HO325" s="24"/>
      <c r="HP325" s="24"/>
      <c r="HQ325" s="24"/>
      <c r="HR325" s="24"/>
    </row>
    <row r="326" spans="15:226" ht="15.75">
      <c r="O326" s="3"/>
      <c r="P326" s="3"/>
      <c r="Q326" s="3"/>
      <c r="Z326" s="3"/>
      <c r="AA326" s="17"/>
      <c r="AJ326" s="18"/>
      <c r="AK326" s="18"/>
      <c r="AO326" s="18"/>
      <c r="AP326" s="18"/>
      <c r="AT326" s="18"/>
      <c r="AU326" s="18"/>
      <c r="HO326" s="24"/>
      <c r="HP326" s="24"/>
      <c r="HQ326" s="24"/>
      <c r="HR326" s="24"/>
    </row>
    <row r="327" spans="15:226" ht="15">
      <c r="O327" s="3"/>
      <c r="P327" s="3"/>
      <c r="Q327" s="3"/>
      <c r="Z327" s="3"/>
      <c r="AJ327" s="18"/>
      <c r="AK327" s="18"/>
      <c r="AO327" s="18"/>
      <c r="AP327" s="18"/>
      <c r="AT327" s="18"/>
      <c r="AU327" s="18"/>
      <c r="HO327" s="24"/>
      <c r="HP327" s="24"/>
      <c r="HQ327" s="24"/>
      <c r="HR327" s="24"/>
    </row>
    <row r="328" spans="15:226" ht="15">
      <c r="O328" s="3"/>
      <c r="P328" s="3"/>
      <c r="Q328" s="3"/>
      <c r="Z328" s="3"/>
      <c r="AA328" s="18"/>
      <c r="AJ328" s="18"/>
      <c r="AK328" s="18"/>
      <c r="AO328" s="18"/>
      <c r="AP328" s="18"/>
      <c r="AT328" s="18"/>
      <c r="AU328" s="18"/>
      <c r="HO328" s="24"/>
      <c r="HP328" s="24"/>
      <c r="HQ328" s="24"/>
      <c r="HR328" s="24"/>
    </row>
    <row r="329" spans="15:226" ht="15">
      <c r="O329" s="3"/>
      <c r="P329" s="3"/>
      <c r="Q329" s="3"/>
      <c r="Z329" s="3"/>
      <c r="AA329" s="18"/>
      <c r="AJ329" s="18"/>
      <c r="AK329" s="18"/>
      <c r="AO329" s="18"/>
      <c r="AP329" s="18"/>
      <c r="AT329" s="18"/>
      <c r="AU329" s="18"/>
      <c r="HO329" s="24"/>
      <c r="HP329" s="24"/>
      <c r="HQ329" s="24"/>
      <c r="HR329" s="24"/>
    </row>
    <row r="330" spans="15:226" ht="15">
      <c r="O330" s="3"/>
      <c r="P330" s="3"/>
      <c r="Q330" s="3"/>
      <c r="Z330" s="3"/>
      <c r="AA330" s="18"/>
      <c r="AJ330" s="18"/>
      <c r="AK330" s="18"/>
      <c r="AO330" s="18"/>
      <c r="AP330" s="18"/>
      <c r="AT330" s="18"/>
      <c r="AU330" s="18"/>
      <c r="HO330" s="24"/>
      <c r="HP330" s="24"/>
      <c r="HQ330" s="24"/>
      <c r="HR330" s="24"/>
    </row>
    <row r="331" spans="15:226" ht="15">
      <c r="O331" s="3"/>
      <c r="P331" s="3"/>
      <c r="Q331" s="3"/>
      <c r="Z331" s="3"/>
      <c r="AA331" s="18"/>
      <c r="AJ331" s="18"/>
      <c r="AK331" s="18"/>
      <c r="AO331" s="18"/>
      <c r="AP331" s="18"/>
      <c r="AT331" s="18"/>
      <c r="AU331" s="18"/>
      <c r="HO331" s="24"/>
      <c r="HP331" s="24"/>
      <c r="HQ331" s="24"/>
      <c r="HR331" s="24"/>
    </row>
    <row r="332" spans="15:226" ht="15">
      <c r="O332" s="3"/>
      <c r="P332" s="3"/>
      <c r="Q332" s="3"/>
      <c r="Z332" s="3"/>
      <c r="AA332" s="18"/>
      <c r="AJ332" s="18"/>
      <c r="AK332" s="18"/>
      <c r="AO332" s="18"/>
      <c r="AP332" s="18"/>
      <c r="AT332" s="18"/>
      <c r="AU332" s="18"/>
      <c r="HO332" s="24"/>
      <c r="HP332" s="24"/>
      <c r="HQ332" s="24"/>
      <c r="HR332" s="24"/>
    </row>
    <row r="333" spans="15:226" ht="15">
      <c r="O333" s="3"/>
      <c r="P333" s="3"/>
      <c r="Q333" s="3"/>
      <c r="Z333" s="3"/>
      <c r="AA333" s="18"/>
      <c r="AJ333" s="18"/>
      <c r="AK333" s="18"/>
      <c r="AO333" s="18"/>
      <c r="AP333" s="18"/>
      <c r="AT333" s="18"/>
      <c r="AU333" s="18"/>
      <c r="HO333" s="24"/>
      <c r="HP333" s="24"/>
      <c r="HQ333" s="24"/>
      <c r="HR333" s="24"/>
    </row>
    <row r="334" spans="15:226" ht="15.75">
      <c r="O334" s="3"/>
      <c r="P334" s="3"/>
      <c r="Q334" s="3"/>
      <c r="Z334" s="3"/>
      <c r="AA334" s="17"/>
      <c r="AJ334" s="18"/>
      <c r="AK334" s="18"/>
      <c r="AO334" s="18"/>
      <c r="AP334" s="18"/>
      <c r="AT334" s="18"/>
      <c r="AU334" s="18"/>
      <c r="HO334" s="24"/>
      <c r="HP334" s="24"/>
      <c r="HQ334" s="24"/>
      <c r="HR334" s="24"/>
    </row>
    <row r="335" spans="15:226" ht="15">
      <c r="O335" s="3"/>
      <c r="P335" s="3"/>
      <c r="Q335" s="3"/>
      <c r="Z335" s="3"/>
      <c r="AT335" s="18"/>
      <c r="AU335" s="18"/>
      <c r="HO335" s="24"/>
      <c r="HP335" s="24"/>
      <c r="HQ335" s="24"/>
      <c r="HR335" s="24"/>
    </row>
    <row r="336" spans="15:226" ht="15.75">
      <c r="O336" s="3"/>
      <c r="P336" s="3"/>
      <c r="Q336" s="3"/>
      <c r="Z336" s="3"/>
      <c r="AA336" s="17"/>
      <c r="AJ336" s="18"/>
      <c r="AK336" s="18"/>
      <c r="AO336" s="18"/>
      <c r="AP336" s="18"/>
      <c r="AT336" s="18"/>
      <c r="AU336" s="18"/>
      <c r="HO336" s="24"/>
      <c r="HP336" s="24"/>
      <c r="HQ336" s="24"/>
      <c r="HR336" s="24"/>
    </row>
    <row r="337" spans="15:226" ht="15.75">
      <c r="O337" s="3"/>
      <c r="P337" s="3"/>
      <c r="Q337" s="3"/>
      <c r="Z337" s="3"/>
      <c r="AA337" s="17"/>
      <c r="AJ337" s="18"/>
      <c r="AK337" s="18"/>
      <c r="AO337" s="18"/>
      <c r="AP337" s="18"/>
      <c r="AT337" s="18"/>
      <c r="AU337" s="18"/>
      <c r="HO337" s="24"/>
      <c r="HP337" s="24"/>
      <c r="HQ337" s="24"/>
      <c r="HR337" s="24"/>
    </row>
    <row r="338" spans="15:226" ht="15.75">
      <c r="O338" s="3"/>
      <c r="P338" s="3"/>
      <c r="Q338" s="3"/>
      <c r="Z338" s="3"/>
      <c r="AA338" s="17"/>
      <c r="AJ338" s="18"/>
      <c r="AK338" s="18"/>
      <c r="AO338" s="18"/>
      <c r="AP338" s="18"/>
      <c r="AT338" s="18"/>
      <c r="AU338" s="18"/>
      <c r="HO338" s="24"/>
      <c r="HP338" s="24"/>
      <c r="HQ338" s="24"/>
      <c r="HR338" s="24"/>
    </row>
    <row r="339" spans="15:226" ht="15.75">
      <c r="O339" s="3"/>
      <c r="P339" s="3"/>
      <c r="Q339" s="3"/>
      <c r="Z339" s="3"/>
      <c r="AA339" s="17"/>
      <c r="AJ339" s="18"/>
      <c r="AK339" s="18"/>
      <c r="AO339" s="18"/>
      <c r="AP339" s="18"/>
      <c r="HO339" s="24"/>
      <c r="HP339" s="24"/>
      <c r="HQ339" s="24"/>
      <c r="HR339" s="24"/>
    </row>
    <row r="340" spans="15:226" ht="15.75">
      <c r="O340" s="3"/>
      <c r="P340" s="3"/>
      <c r="Q340" s="3"/>
      <c r="Z340" s="3"/>
      <c r="AA340" s="17"/>
      <c r="AJ340" s="18"/>
      <c r="AK340" s="18"/>
      <c r="AO340" s="18"/>
      <c r="AP340" s="18"/>
      <c r="AT340" s="18"/>
      <c r="AU340" s="18"/>
      <c r="HO340" s="24"/>
      <c r="HP340" s="24"/>
      <c r="HQ340" s="24"/>
      <c r="HR340" s="24"/>
    </row>
    <row r="341" spans="15:226" ht="15.75">
      <c r="O341" s="3"/>
      <c r="P341" s="3"/>
      <c r="Q341" s="3"/>
      <c r="Z341" s="3"/>
      <c r="AA341" s="83"/>
      <c r="AJ341" s="18"/>
      <c r="AK341" s="18"/>
      <c r="AO341" s="18"/>
      <c r="AP341" s="18"/>
      <c r="AT341" s="18"/>
      <c r="AU341" s="18"/>
      <c r="HO341" s="24"/>
      <c r="HP341" s="24"/>
      <c r="HQ341" s="24"/>
      <c r="HR341" s="24"/>
    </row>
    <row r="342" spans="15:226" ht="15.75">
      <c r="O342" s="3"/>
      <c r="P342" s="3"/>
      <c r="Q342" s="3"/>
      <c r="Z342" s="3"/>
      <c r="AA342" s="17"/>
      <c r="AJ342" s="18"/>
      <c r="AK342" s="18"/>
      <c r="AO342" s="18"/>
      <c r="AP342" s="18"/>
      <c r="AT342" s="18"/>
      <c r="AU342" s="18"/>
      <c r="HO342" s="24"/>
      <c r="HP342" s="24"/>
      <c r="HQ342" s="24"/>
      <c r="HR342" s="24"/>
    </row>
    <row r="343" spans="15:226" ht="15.75">
      <c r="O343" s="3"/>
      <c r="P343" s="3"/>
      <c r="Q343" s="3"/>
      <c r="Z343" s="3"/>
      <c r="AA343" s="17"/>
      <c r="AJ343" s="18"/>
      <c r="AK343" s="18"/>
      <c r="AO343" s="18"/>
      <c r="AP343" s="18"/>
      <c r="AT343" s="18"/>
      <c r="AU343" s="18"/>
      <c r="HO343" s="24"/>
      <c r="HP343" s="24"/>
      <c r="HQ343" s="24"/>
      <c r="HR343" s="24"/>
    </row>
    <row r="344" spans="15:226" ht="15.75">
      <c r="O344" s="3"/>
      <c r="P344" s="3"/>
      <c r="Q344" s="3"/>
      <c r="Z344" s="3"/>
      <c r="AA344" s="17"/>
      <c r="AJ344" s="18"/>
      <c r="AK344" s="18"/>
      <c r="AO344" s="18"/>
      <c r="AP344" s="18"/>
      <c r="AT344" s="18"/>
      <c r="AU344" s="18"/>
      <c r="HO344" s="24"/>
      <c r="HP344" s="24"/>
      <c r="HQ344" s="24"/>
      <c r="HR344" s="24"/>
    </row>
    <row r="345" spans="15:226" ht="15.75">
      <c r="O345" s="3"/>
      <c r="P345" s="3"/>
      <c r="Q345" s="3"/>
      <c r="Z345" s="3"/>
      <c r="AA345" s="17"/>
      <c r="AJ345" s="18"/>
      <c r="AK345" s="18"/>
      <c r="AO345" s="18"/>
      <c r="AP345" s="18"/>
      <c r="AT345" s="18"/>
      <c r="AU345" s="18"/>
      <c r="HO345" s="24"/>
      <c r="HP345" s="24"/>
      <c r="HQ345" s="24"/>
      <c r="HR345" s="24"/>
    </row>
    <row r="346" spans="15:226" ht="15.75">
      <c r="O346" s="3"/>
      <c r="P346" s="3"/>
      <c r="Q346" s="3"/>
      <c r="Z346" s="3"/>
      <c r="AA346" s="17"/>
      <c r="AJ346" s="18"/>
      <c r="AK346" s="18"/>
      <c r="AO346" s="18"/>
      <c r="AP346" s="18"/>
      <c r="AT346" s="18"/>
      <c r="AU346" s="18"/>
      <c r="HO346" s="24"/>
      <c r="HP346" s="24"/>
      <c r="HQ346" s="24"/>
      <c r="HR346" s="24"/>
    </row>
    <row r="347" spans="15:226" ht="15.75">
      <c r="O347" s="3"/>
      <c r="P347" s="3"/>
      <c r="Q347" s="3"/>
      <c r="Z347" s="3"/>
      <c r="AA347" s="17"/>
      <c r="AJ347" s="18"/>
      <c r="AK347" s="18"/>
      <c r="AO347" s="18"/>
      <c r="AP347" s="18"/>
      <c r="AT347" s="18"/>
      <c r="AU347" s="18"/>
      <c r="HO347" s="24"/>
      <c r="HP347" s="24"/>
      <c r="HQ347" s="24"/>
      <c r="HR347" s="24"/>
    </row>
    <row r="348" spans="15:226" ht="15.75">
      <c r="O348" s="3"/>
      <c r="P348" s="3"/>
      <c r="Q348" s="3"/>
      <c r="Z348" s="3"/>
      <c r="AA348" s="17"/>
      <c r="AJ348" s="18"/>
      <c r="AK348" s="18"/>
      <c r="AO348" s="18"/>
      <c r="AP348" s="18"/>
      <c r="AT348" s="18"/>
      <c r="AU348" s="18"/>
      <c r="HO348" s="24"/>
      <c r="HP348" s="24"/>
      <c r="HQ348" s="24"/>
      <c r="HR348" s="24"/>
    </row>
    <row r="349" spans="15:226" ht="15.75">
      <c r="O349" s="3"/>
      <c r="P349" s="3"/>
      <c r="Q349" s="3"/>
      <c r="Z349" s="3"/>
      <c r="AA349" s="17"/>
      <c r="AJ349" s="18"/>
      <c r="AK349" s="18"/>
      <c r="AO349" s="18"/>
      <c r="AP349" s="18"/>
      <c r="AT349" s="18"/>
      <c r="AU349" s="18"/>
      <c r="HO349" s="24"/>
      <c r="HP349" s="24"/>
      <c r="HQ349" s="24"/>
      <c r="HR349" s="24"/>
    </row>
    <row r="350" spans="15:226" ht="15.75">
      <c r="O350" s="3"/>
      <c r="P350" s="3"/>
      <c r="Q350" s="3"/>
      <c r="Z350" s="3"/>
      <c r="AA350" s="17"/>
      <c r="AJ350" s="18"/>
      <c r="AK350" s="18"/>
      <c r="AO350" s="18"/>
      <c r="AP350" s="18"/>
      <c r="AT350" s="18"/>
      <c r="AU350" s="18"/>
      <c r="HO350" s="24"/>
      <c r="HP350" s="24"/>
      <c r="HQ350" s="24"/>
      <c r="HR350" s="24"/>
    </row>
    <row r="351" spans="15:226" ht="15.75">
      <c r="O351" s="3"/>
      <c r="P351" s="3"/>
      <c r="Q351" s="3"/>
      <c r="Z351" s="3"/>
      <c r="AA351" s="17"/>
      <c r="AJ351" s="18"/>
      <c r="AK351" s="18"/>
      <c r="AO351" s="18"/>
      <c r="AP351" s="18"/>
      <c r="AT351" s="18"/>
      <c r="AU351" s="18"/>
      <c r="HO351" s="24"/>
      <c r="HP351" s="24"/>
      <c r="HQ351" s="24"/>
      <c r="HR351" s="24"/>
    </row>
    <row r="352" spans="15:226" ht="15.75">
      <c r="O352" s="3"/>
      <c r="P352" s="3"/>
      <c r="Q352" s="3"/>
      <c r="Z352" s="3"/>
      <c r="AA352" s="17"/>
      <c r="AJ352" s="18"/>
      <c r="AK352" s="18"/>
      <c r="AO352" s="18"/>
      <c r="AP352" s="18"/>
      <c r="AT352" s="18"/>
      <c r="AU352" s="18"/>
      <c r="HO352" s="24"/>
      <c r="HP352" s="24"/>
      <c r="HQ352" s="24"/>
      <c r="HR352" s="24"/>
    </row>
    <row r="353" spans="15:226" ht="15.75">
      <c r="O353" s="3"/>
      <c r="P353" s="3"/>
      <c r="Q353" s="3"/>
      <c r="Z353" s="3"/>
      <c r="AA353" s="17"/>
      <c r="AJ353" s="18"/>
      <c r="AK353" s="18"/>
      <c r="AO353" s="18"/>
      <c r="AP353" s="18"/>
      <c r="AT353" s="18"/>
      <c r="AU353" s="18"/>
      <c r="HO353" s="24"/>
      <c r="HP353" s="24"/>
      <c r="HQ353" s="24"/>
      <c r="HR353" s="24"/>
    </row>
    <row r="354" spans="15:226" ht="15.75">
      <c r="O354" s="3"/>
      <c r="P354" s="3"/>
      <c r="Q354" s="3"/>
      <c r="Z354" s="3"/>
      <c r="AA354" s="17"/>
      <c r="AJ354" s="18"/>
      <c r="AK354" s="18"/>
      <c r="AO354" s="18"/>
      <c r="AP354" s="18"/>
      <c r="AT354" s="18"/>
      <c r="AU354" s="18"/>
      <c r="HO354" s="24"/>
      <c r="HP354" s="24"/>
      <c r="HQ354" s="24"/>
      <c r="HR354" s="24"/>
    </row>
    <row r="355" spans="15:226" ht="15.75">
      <c r="O355" s="3"/>
      <c r="P355" s="3"/>
      <c r="Q355" s="3"/>
      <c r="Z355" s="3"/>
      <c r="AA355" s="17"/>
      <c r="AJ355" s="18"/>
      <c r="AK355" s="18"/>
      <c r="AO355" s="18"/>
      <c r="AP355" s="18"/>
      <c r="AT355" s="18"/>
      <c r="AU355" s="18"/>
      <c r="HO355" s="24"/>
      <c r="HP355" s="24"/>
      <c r="HQ355" s="24"/>
      <c r="HR355" s="24"/>
    </row>
    <row r="356" spans="15:226" ht="15.75">
      <c r="O356" s="3"/>
      <c r="P356" s="3"/>
      <c r="Q356" s="3"/>
      <c r="Z356" s="3"/>
      <c r="AA356" s="17"/>
      <c r="AJ356" s="18"/>
      <c r="AK356" s="18"/>
      <c r="AO356" s="18"/>
      <c r="AP356" s="18"/>
      <c r="AT356" s="18"/>
      <c r="AU356" s="18"/>
      <c r="HO356" s="24"/>
      <c r="HP356" s="24"/>
      <c r="HQ356" s="24"/>
      <c r="HR356" s="24"/>
    </row>
    <row r="357" spans="15:226" ht="15.75">
      <c r="O357" s="3"/>
      <c r="P357" s="3"/>
      <c r="Q357" s="3"/>
      <c r="Z357" s="3"/>
      <c r="AA357" s="17"/>
      <c r="AJ357" s="18"/>
      <c r="AK357" s="18"/>
      <c r="AO357" s="18"/>
      <c r="AP357" s="18"/>
      <c r="AT357" s="18"/>
      <c r="AU357" s="18"/>
      <c r="HO357" s="24"/>
      <c r="HP357" s="24"/>
      <c r="HQ357" s="24"/>
      <c r="HR357" s="24"/>
    </row>
    <row r="358" spans="15:226" ht="15.75">
      <c r="O358" s="3"/>
      <c r="P358" s="3"/>
      <c r="Q358" s="3"/>
      <c r="Z358" s="3"/>
      <c r="AA358" s="17"/>
      <c r="AJ358" s="18"/>
      <c r="AK358" s="18"/>
      <c r="AO358" s="18"/>
      <c r="AP358" s="18"/>
      <c r="AT358" s="18"/>
      <c r="AU358" s="18"/>
      <c r="HO358" s="24"/>
      <c r="HP358" s="24"/>
      <c r="HQ358" s="24"/>
      <c r="HR358" s="24"/>
    </row>
    <row r="359" spans="15:226" ht="15.75">
      <c r="O359" s="3"/>
      <c r="P359" s="3"/>
      <c r="Q359" s="3"/>
      <c r="Z359" s="3"/>
      <c r="AA359" s="17"/>
      <c r="AJ359" s="18"/>
      <c r="AK359" s="18"/>
      <c r="AO359" s="18"/>
      <c r="AP359" s="18"/>
      <c r="AT359" s="18"/>
      <c r="AU359" s="18"/>
      <c r="HO359" s="24"/>
      <c r="HP359" s="24"/>
      <c r="HQ359" s="24"/>
      <c r="HR359" s="24"/>
    </row>
    <row r="360" spans="15:226" ht="15.75">
      <c r="O360" s="3"/>
      <c r="P360" s="3"/>
      <c r="Q360" s="3"/>
      <c r="Z360" s="3"/>
      <c r="AA360" s="17"/>
      <c r="AJ360" s="18"/>
      <c r="AK360" s="18"/>
      <c r="AO360" s="18"/>
      <c r="AP360" s="18"/>
      <c r="AT360" s="18"/>
      <c r="AU360" s="18"/>
      <c r="HO360" s="24"/>
      <c r="HP360" s="24"/>
      <c r="HQ360" s="24"/>
      <c r="HR360" s="24"/>
    </row>
    <row r="361" spans="15:226" ht="15.75">
      <c r="O361" s="3"/>
      <c r="P361" s="3"/>
      <c r="Q361" s="3"/>
      <c r="Z361" s="3"/>
      <c r="AA361" s="83"/>
      <c r="AJ361" s="18"/>
      <c r="AK361" s="18"/>
      <c r="AO361" s="18"/>
      <c r="AP361" s="18"/>
      <c r="AT361" s="18"/>
      <c r="AU361" s="18"/>
      <c r="HO361" s="24"/>
      <c r="HP361" s="24"/>
      <c r="HQ361" s="24"/>
      <c r="HR361" s="24"/>
    </row>
    <row r="362" spans="15:226" ht="15.75">
      <c r="O362" s="3"/>
      <c r="P362" s="3"/>
      <c r="Q362" s="3"/>
      <c r="Z362" s="3"/>
      <c r="AA362" s="17"/>
      <c r="AJ362" s="18"/>
      <c r="AK362" s="18"/>
      <c r="AO362" s="18"/>
      <c r="AP362" s="18"/>
      <c r="AT362" s="18"/>
      <c r="AU362" s="18"/>
      <c r="HO362" s="24"/>
      <c r="HP362" s="24"/>
      <c r="HQ362" s="24"/>
      <c r="HR362" s="24"/>
    </row>
    <row r="363" spans="15:226" ht="15.75">
      <c r="O363" s="3"/>
      <c r="P363" s="3"/>
      <c r="Q363" s="3"/>
      <c r="Z363" s="3"/>
      <c r="AA363" s="17"/>
      <c r="AJ363" s="18"/>
      <c r="AK363" s="18"/>
      <c r="AO363" s="18"/>
      <c r="AP363" s="18"/>
      <c r="AT363" s="18"/>
      <c r="AU363" s="18"/>
      <c r="HO363" s="24"/>
      <c r="HP363" s="24"/>
      <c r="HQ363" s="24"/>
      <c r="HR363" s="24"/>
    </row>
    <row r="364" spans="15:226" ht="15.75">
      <c r="O364" s="3"/>
      <c r="P364" s="3"/>
      <c r="Q364" s="3"/>
      <c r="Z364" s="3"/>
      <c r="AA364" s="17"/>
      <c r="AJ364" s="18"/>
      <c r="AK364" s="18"/>
      <c r="AO364" s="18"/>
      <c r="AP364" s="18"/>
      <c r="AT364" s="18"/>
      <c r="AU364" s="18"/>
      <c r="HO364" s="24"/>
      <c r="HP364" s="24"/>
      <c r="HQ364" s="24"/>
      <c r="HR364" s="24"/>
    </row>
    <row r="365" spans="15:226" ht="15.75">
      <c r="O365" s="3"/>
      <c r="P365" s="3"/>
      <c r="Q365" s="3"/>
      <c r="Z365" s="3"/>
      <c r="AA365" s="17"/>
      <c r="AJ365" s="18"/>
      <c r="AK365" s="18"/>
      <c r="AO365" s="18"/>
      <c r="AP365" s="18"/>
      <c r="AT365" s="18"/>
      <c r="AU365" s="18"/>
      <c r="HO365" s="24"/>
      <c r="HP365" s="24"/>
      <c r="HQ365" s="24"/>
      <c r="HR365" s="24"/>
    </row>
    <row r="366" spans="15:226" ht="15.75">
      <c r="O366" s="3"/>
      <c r="P366" s="3"/>
      <c r="Q366" s="3"/>
      <c r="Z366" s="3"/>
      <c r="AA366" s="17"/>
      <c r="AJ366" s="18"/>
      <c r="AK366" s="18"/>
      <c r="AO366" s="18"/>
      <c r="AP366" s="18"/>
      <c r="AT366" s="18"/>
      <c r="AU366" s="18"/>
      <c r="HO366" s="24"/>
      <c r="HP366" s="24"/>
      <c r="HQ366" s="24"/>
      <c r="HR366" s="24"/>
    </row>
    <row r="367" spans="15:226" ht="15.75">
      <c r="O367" s="3"/>
      <c r="P367" s="3"/>
      <c r="Q367" s="3"/>
      <c r="Z367" s="3"/>
      <c r="AA367" s="17"/>
      <c r="AJ367" s="18"/>
      <c r="AK367" s="18"/>
      <c r="AO367" s="18"/>
      <c r="AP367" s="18"/>
      <c r="AT367" s="18"/>
      <c r="AU367" s="18"/>
      <c r="HO367" s="24"/>
      <c r="HP367" s="24"/>
      <c r="HQ367" s="24"/>
      <c r="HR367" s="24"/>
    </row>
    <row r="368" spans="15:226" ht="15.75">
      <c r="O368" s="3"/>
      <c r="P368" s="3"/>
      <c r="Q368" s="3"/>
      <c r="Z368" s="3"/>
      <c r="AA368" s="17"/>
      <c r="AJ368" s="18"/>
      <c r="AK368" s="18"/>
      <c r="AO368" s="18"/>
      <c r="AP368" s="18"/>
      <c r="AT368" s="18"/>
      <c r="AU368" s="18"/>
      <c r="HO368" s="24"/>
      <c r="HP368" s="24"/>
      <c r="HQ368" s="24"/>
      <c r="HR368" s="24"/>
    </row>
    <row r="369" spans="15:226" ht="15.75">
      <c r="O369" s="3"/>
      <c r="P369" s="3"/>
      <c r="Q369" s="3"/>
      <c r="Z369" s="3"/>
      <c r="AA369" s="17"/>
      <c r="AJ369" s="18"/>
      <c r="AK369" s="18"/>
      <c r="AO369" s="18"/>
      <c r="AP369" s="18"/>
      <c r="AT369" s="18"/>
      <c r="AU369" s="18"/>
      <c r="HO369" s="24"/>
      <c r="HP369" s="24"/>
      <c r="HQ369" s="24"/>
      <c r="HR369" s="24"/>
    </row>
    <row r="370" spans="15:226" ht="15">
      <c r="O370" s="3"/>
      <c r="P370" s="3"/>
      <c r="Q370" s="3"/>
      <c r="Z370" s="3"/>
      <c r="AA370" s="18"/>
      <c r="AJ370" s="18"/>
      <c r="AK370" s="18"/>
      <c r="AO370" s="18"/>
      <c r="AP370" s="18"/>
      <c r="AT370" s="18"/>
      <c r="AU370" s="18"/>
      <c r="HO370" s="24"/>
      <c r="HP370" s="24"/>
      <c r="HQ370" s="24"/>
      <c r="HR370" s="24"/>
    </row>
    <row r="371" spans="15:226" ht="15">
      <c r="O371" s="3"/>
      <c r="P371" s="3"/>
      <c r="Q371" s="3"/>
      <c r="Z371" s="3"/>
      <c r="AA371" s="18"/>
      <c r="AJ371" s="18"/>
      <c r="AK371" s="18"/>
      <c r="AO371" s="18"/>
      <c r="AP371" s="18"/>
      <c r="AT371" s="18"/>
      <c r="AU371" s="18"/>
      <c r="HO371" s="24"/>
      <c r="HP371" s="24"/>
      <c r="HQ371" s="24"/>
      <c r="HR371" s="24"/>
    </row>
    <row r="372" spans="15:226" ht="15">
      <c r="O372" s="3"/>
      <c r="P372" s="3"/>
      <c r="Q372" s="3"/>
      <c r="Z372" s="3"/>
      <c r="AA372" s="18"/>
      <c r="AJ372" s="18"/>
      <c r="AK372" s="18"/>
      <c r="AO372" s="18"/>
      <c r="AP372" s="18"/>
      <c r="AT372" s="18"/>
      <c r="AU372" s="18"/>
      <c r="HO372" s="24"/>
      <c r="HP372" s="24"/>
      <c r="HQ372" s="24"/>
      <c r="HR372" s="24"/>
    </row>
    <row r="373" spans="15:226" ht="15.75">
      <c r="O373" s="3"/>
      <c r="P373" s="3"/>
      <c r="Q373" s="3"/>
      <c r="Z373" s="3"/>
      <c r="AA373" s="17"/>
      <c r="AJ373" s="18"/>
      <c r="AK373" s="18"/>
      <c r="AO373" s="18"/>
      <c r="AP373" s="18"/>
      <c r="AT373" s="18"/>
      <c r="AU373" s="18"/>
      <c r="HO373" s="24"/>
      <c r="HP373" s="24"/>
      <c r="HQ373" s="24"/>
      <c r="HR373" s="24"/>
    </row>
    <row r="374" spans="15:226" ht="15">
      <c r="O374" s="3"/>
      <c r="P374" s="3"/>
      <c r="Q374" s="3"/>
      <c r="Z374" s="3"/>
      <c r="AA374" s="18"/>
      <c r="AJ374" s="18"/>
      <c r="AK374" s="18"/>
      <c r="AO374" s="18"/>
      <c r="AP374" s="18"/>
      <c r="AT374" s="18"/>
      <c r="AU374" s="18"/>
      <c r="HO374" s="24"/>
      <c r="HP374" s="24"/>
      <c r="HQ374" s="24"/>
      <c r="HR374" s="24"/>
    </row>
    <row r="375" spans="15:226" ht="15">
      <c r="O375" s="3"/>
      <c r="P375" s="3"/>
      <c r="Q375" s="3"/>
      <c r="Z375" s="3"/>
      <c r="AA375" s="18"/>
      <c r="AJ375" s="18"/>
      <c r="AK375" s="18"/>
      <c r="AO375" s="18"/>
      <c r="AP375" s="18"/>
      <c r="AT375" s="18"/>
      <c r="AU375" s="18"/>
      <c r="HO375" s="24"/>
      <c r="HP375" s="24"/>
      <c r="HQ375" s="24"/>
      <c r="HR375" s="24"/>
    </row>
    <row r="376" spans="15:226" ht="15">
      <c r="O376" s="3"/>
      <c r="P376" s="3"/>
      <c r="Q376" s="3"/>
      <c r="Z376" s="3"/>
      <c r="AA376" s="18"/>
      <c r="AJ376" s="18"/>
      <c r="AK376" s="18"/>
      <c r="AO376" s="18"/>
      <c r="AP376" s="18"/>
      <c r="AT376" s="18"/>
      <c r="AU376" s="18"/>
      <c r="HO376" s="24"/>
      <c r="HP376" s="24"/>
      <c r="HQ376" s="24"/>
      <c r="HR376" s="24"/>
    </row>
    <row r="377" spans="15:226" ht="15">
      <c r="O377" s="3"/>
      <c r="P377" s="3"/>
      <c r="Q377" s="3"/>
      <c r="Z377" s="3"/>
      <c r="AA377" s="18"/>
      <c r="AJ377" s="18"/>
      <c r="AK377" s="18"/>
      <c r="AO377" s="18"/>
      <c r="AP377" s="18"/>
      <c r="AT377" s="18"/>
      <c r="AU377" s="18"/>
      <c r="HO377" s="24"/>
      <c r="HP377" s="24"/>
      <c r="HQ377" s="24"/>
      <c r="HR377" s="24"/>
    </row>
    <row r="378" spans="15:226" ht="15">
      <c r="O378" s="3"/>
      <c r="P378" s="3"/>
      <c r="Q378" s="3"/>
      <c r="Z378" s="3"/>
      <c r="AA378" s="18"/>
      <c r="AJ378" s="18"/>
      <c r="AK378" s="18"/>
      <c r="AO378" s="18"/>
      <c r="AP378" s="18"/>
      <c r="AT378" s="18"/>
      <c r="AU378" s="18"/>
      <c r="HO378" s="24"/>
      <c r="HP378" s="24"/>
      <c r="HQ378" s="24"/>
      <c r="HR378" s="24"/>
    </row>
    <row r="379" spans="15:226" ht="15">
      <c r="O379" s="3"/>
      <c r="P379" s="3"/>
      <c r="Q379" s="3"/>
      <c r="Z379" s="3"/>
      <c r="AA379" s="18"/>
      <c r="AJ379" s="18"/>
      <c r="AK379" s="18"/>
      <c r="AO379" s="18"/>
      <c r="AP379" s="18"/>
      <c r="AT379" s="18"/>
      <c r="AU379" s="18"/>
      <c r="HO379" s="24"/>
      <c r="HP379" s="24"/>
      <c r="HQ379" s="24"/>
      <c r="HR379" s="24"/>
    </row>
    <row r="380" spans="15:226" ht="15">
      <c r="O380" s="3"/>
      <c r="P380" s="3"/>
      <c r="Q380" s="3"/>
      <c r="Z380" s="3"/>
      <c r="AT380" s="18"/>
      <c r="AU380" s="18"/>
      <c r="HO380" s="24"/>
      <c r="HP380" s="24"/>
      <c r="HQ380" s="24"/>
      <c r="HR380" s="24"/>
    </row>
    <row r="381" spans="15:226" ht="15">
      <c r="O381" s="3"/>
      <c r="P381" s="3"/>
      <c r="Q381" s="3"/>
      <c r="Z381" s="3"/>
      <c r="AT381" s="18"/>
      <c r="AU381" s="18"/>
      <c r="HO381" s="24"/>
      <c r="HP381" s="24"/>
      <c r="HQ381" s="24"/>
      <c r="HR381" s="24"/>
    </row>
    <row r="382" spans="15:226" ht="15">
      <c r="O382" s="3"/>
      <c r="P382" s="3"/>
      <c r="Q382" s="3"/>
      <c r="Z382" s="3"/>
      <c r="AT382" s="18"/>
      <c r="AU382" s="18"/>
      <c r="HO382" s="24"/>
      <c r="HP382" s="24"/>
      <c r="HQ382" s="24"/>
      <c r="HR382" s="24"/>
    </row>
    <row r="383" spans="15:226" ht="15">
      <c r="O383" s="3"/>
      <c r="P383" s="3"/>
      <c r="Q383" s="3"/>
      <c r="Z383" s="3"/>
      <c r="AT383" s="18"/>
      <c r="AU383" s="18"/>
      <c r="HO383" s="24"/>
      <c r="HP383" s="24"/>
      <c r="HQ383" s="24"/>
      <c r="HR383" s="24"/>
    </row>
    <row r="384" spans="15:226" ht="15">
      <c r="O384" s="3"/>
      <c r="P384" s="3"/>
      <c r="Q384" s="3"/>
      <c r="Z384" s="3"/>
      <c r="HO384" s="24"/>
      <c r="HP384" s="24"/>
      <c r="HQ384" s="24"/>
      <c r="HR384" s="24"/>
    </row>
    <row r="385" spans="15:226" ht="15">
      <c r="O385" s="3"/>
      <c r="P385" s="3"/>
      <c r="Q385" s="3"/>
      <c r="Z385" s="3"/>
      <c r="HO385" s="24"/>
      <c r="HP385" s="24"/>
      <c r="HQ385" s="24"/>
      <c r="HR385" s="24"/>
    </row>
    <row r="386" spans="15:226" ht="15">
      <c r="O386" s="3"/>
      <c r="P386" s="3"/>
      <c r="Q386" s="3"/>
      <c r="Z386" s="3"/>
      <c r="HO386" s="24"/>
      <c r="HP386" s="24"/>
      <c r="HQ386" s="24"/>
      <c r="HR386" s="24"/>
    </row>
    <row r="387" spans="15:226" ht="15">
      <c r="O387" s="3"/>
      <c r="P387" s="3"/>
      <c r="Q387" s="3"/>
      <c r="Z387" s="3"/>
      <c r="HO387" s="24"/>
      <c r="HP387" s="24"/>
      <c r="HQ387" s="24"/>
      <c r="HR387" s="24"/>
    </row>
    <row r="388" spans="15:226" ht="15">
      <c r="O388" s="3"/>
      <c r="P388" s="3"/>
      <c r="Q388" s="3"/>
      <c r="Z388" s="3"/>
      <c r="HO388" s="24"/>
      <c r="HP388" s="24"/>
      <c r="HQ388" s="24"/>
      <c r="HR388" s="24"/>
    </row>
    <row r="389" spans="15:226" ht="15">
      <c r="O389" s="3"/>
      <c r="P389" s="3"/>
      <c r="Q389" s="3"/>
      <c r="Z389" s="3"/>
      <c r="HO389" s="24"/>
      <c r="HP389" s="24"/>
      <c r="HQ389" s="24"/>
      <c r="HR389" s="24"/>
    </row>
    <row r="390" spans="15:226" ht="15">
      <c r="O390" s="3"/>
      <c r="P390" s="3"/>
      <c r="Q390" s="3"/>
      <c r="Z390" s="3"/>
      <c r="HO390" s="24"/>
      <c r="HP390" s="24"/>
      <c r="HQ390" s="24"/>
      <c r="HR390" s="24"/>
    </row>
    <row r="391" spans="15:226" ht="15">
      <c r="O391" s="3"/>
      <c r="P391" s="3"/>
      <c r="Q391" s="3"/>
      <c r="Z391" s="3"/>
      <c r="HO391" s="24"/>
      <c r="HP391" s="24"/>
      <c r="HQ391" s="24"/>
      <c r="HR391" s="24"/>
    </row>
    <row r="392" spans="15:226" ht="15">
      <c r="O392" s="3"/>
      <c r="P392" s="3"/>
      <c r="Q392" s="3"/>
      <c r="Z392" s="3"/>
      <c r="HO392" s="24"/>
      <c r="HP392" s="24"/>
      <c r="HQ392" s="24"/>
      <c r="HR392" s="24"/>
    </row>
    <row r="393" spans="15:226" ht="15">
      <c r="O393" s="3"/>
      <c r="P393" s="3"/>
      <c r="Q393" s="3"/>
      <c r="Z393" s="3"/>
      <c r="HO393" s="24"/>
      <c r="HP393" s="24"/>
      <c r="HQ393" s="24"/>
      <c r="HR393" s="24"/>
    </row>
    <row r="394" spans="15:226" ht="15">
      <c r="O394" s="3"/>
      <c r="P394" s="3"/>
      <c r="Q394" s="3"/>
      <c r="Z394" s="3"/>
      <c r="HO394" s="24"/>
      <c r="HP394" s="24"/>
      <c r="HQ394" s="24"/>
      <c r="HR394" s="24"/>
    </row>
    <row r="395" spans="15:226" ht="15">
      <c r="O395" s="3"/>
      <c r="P395" s="3"/>
      <c r="Q395" s="3"/>
      <c r="Z395" s="3"/>
      <c r="HO395" s="24"/>
      <c r="HP395" s="24"/>
      <c r="HQ395" s="24"/>
      <c r="HR395" s="24"/>
    </row>
    <row r="396" spans="15:226" ht="15">
      <c r="O396" s="3"/>
      <c r="P396" s="3"/>
      <c r="Q396" s="3"/>
      <c r="Z396" s="3"/>
      <c r="HO396" s="24"/>
      <c r="HP396" s="24"/>
      <c r="HQ396" s="24"/>
      <c r="HR396" s="24"/>
    </row>
    <row r="397" spans="15:226" ht="15">
      <c r="O397" s="3"/>
      <c r="P397" s="3"/>
      <c r="Q397" s="3"/>
      <c r="Z397" s="3"/>
      <c r="HO397" s="24"/>
      <c r="HP397" s="24"/>
      <c r="HQ397" s="24"/>
      <c r="HR397" s="24"/>
    </row>
    <row r="398" spans="15:226" ht="15">
      <c r="O398" s="3"/>
      <c r="P398" s="3"/>
      <c r="Q398" s="3"/>
      <c r="Z398" s="3"/>
      <c r="HO398" s="24"/>
      <c r="HP398" s="24"/>
      <c r="HQ398" s="24"/>
      <c r="HR398" s="24"/>
    </row>
    <row r="399" spans="15:226" ht="15">
      <c r="O399" s="3"/>
      <c r="P399" s="3"/>
      <c r="Q399" s="3"/>
      <c r="Z399" s="3"/>
      <c r="HO399" s="24"/>
      <c r="HP399" s="24"/>
      <c r="HQ399" s="24"/>
      <c r="HR399" s="24"/>
    </row>
    <row r="400" spans="15:226" ht="15">
      <c r="O400" s="3"/>
      <c r="P400" s="3"/>
      <c r="Q400" s="3"/>
      <c r="Z400" s="3"/>
      <c r="HO400" s="24"/>
      <c r="HP400" s="24"/>
      <c r="HQ400" s="24"/>
      <c r="HR400" s="24"/>
    </row>
    <row r="401" spans="15:226" ht="15">
      <c r="O401" s="3"/>
      <c r="P401" s="3"/>
      <c r="Q401" s="3"/>
      <c r="Z401" s="3"/>
      <c r="HO401" s="24"/>
      <c r="HP401" s="24"/>
      <c r="HQ401" s="24"/>
      <c r="HR401" s="24"/>
    </row>
    <row r="402" spans="15:226" ht="15">
      <c r="O402" s="3"/>
      <c r="P402" s="3"/>
      <c r="Q402" s="3"/>
      <c r="Z402" s="3"/>
      <c r="AC402" s="3" t="s">
        <v>1554</v>
      </c>
      <c r="HO402" s="24"/>
      <c r="HP402" s="24"/>
      <c r="HQ402" s="24"/>
      <c r="HR402" s="24"/>
    </row>
    <row r="403" spans="15:226" ht="15">
      <c r="O403" s="3"/>
      <c r="P403" s="3"/>
      <c r="Q403" s="3"/>
      <c r="Z403" s="3"/>
      <c r="HO403" s="24"/>
      <c r="HP403" s="24"/>
      <c r="HQ403" s="24"/>
      <c r="HR403" s="24"/>
    </row>
    <row r="404" spans="15:226" ht="15">
      <c r="O404" s="3"/>
      <c r="P404" s="3"/>
      <c r="Q404" s="3"/>
      <c r="Z404" s="3"/>
      <c r="HO404" s="24"/>
      <c r="HP404" s="24"/>
      <c r="HQ404" s="24"/>
      <c r="HR404" s="24"/>
    </row>
    <row r="405" spans="15:226" ht="15">
      <c r="O405" s="3"/>
      <c r="P405" s="3"/>
      <c r="Q405" s="3"/>
      <c r="Z405" s="3"/>
      <c r="HO405" s="24"/>
      <c r="HP405" s="24"/>
      <c r="HQ405" s="24"/>
      <c r="HR405" s="24"/>
    </row>
    <row r="406" spans="15:226" ht="15">
      <c r="O406" s="3"/>
      <c r="P406" s="3"/>
      <c r="Q406" s="3"/>
      <c r="Z406" s="3"/>
      <c r="HO406" s="24"/>
      <c r="HP406" s="24"/>
      <c r="HQ406" s="24"/>
      <c r="HR406" s="24"/>
    </row>
    <row r="407" spans="15:226" ht="15">
      <c r="O407" s="3"/>
      <c r="P407" s="3"/>
      <c r="Q407" s="3"/>
      <c r="Z407" s="3"/>
      <c r="HO407" s="24"/>
      <c r="HP407" s="24"/>
      <c r="HQ407" s="24"/>
      <c r="HR407" s="24"/>
    </row>
    <row r="408" spans="15:226" ht="15">
      <c r="O408" s="3"/>
      <c r="P408" s="3"/>
      <c r="Q408" s="3"/>
      <c r="Z408" s="3"/>
      <c r="HO408" s="24"/>
      <c r="HP408" s="24"/>
      <c r="HQ408" s="24"/>
      <c r="HR408" s="24"/>
    </row>
    <row r="409" spans="15:226" ht="15">
      <c r="O409" s="3"/>
      <c r="P409" s="3"/>
      <c r="Q409" s="3"/>
      <c r="Z409" s="3"/>
      <c r="HO409" s="24"/>
      <c r="HP409" s="24"/>
      <c r="HQ409" s="24"/>
      <c r="HR409" s="24"/>
    </row>
    <row r="410" spans="15:226" ht="15">
      <c r="O410" s="3"/>
      <c r="P410" s="3"/>
      <c r="Q410" s="3"/>
      <c r="Z410" s="3"/>
      <c r="HO410" s="24"/>
      <c r="HP410" s="24"/>
      <c r="HQ410" s="24"/>
      <c r="HR410" s="24"/>
    </row>
    <row r="411" spans="15:226" ht="15">
      <c r="O411" s="3"/>
      <c r="P411" s="3"/>
      <c r="Q411" s="3"/>
      <c r="Z411" s="3"/>
      <c r="HO411" s="24"/>
      <c r="HP411" s="24"/>
      <c r="HQ411" s="24"/>
      <c r="HR411" s="24"/>
    </row>
    <row r="412" spans="15:226" ht="15">
      <c r="O412" s="3"/>
      <c r="P412" s="3"/>
      <c r="Q412" s="3"/>
      <c r="Z412" s="3"/>
      <c r="HO412" s="24"/>
      <c r="HP412" s="24"/>
      <c r="HQ412" s="24"/>
      <c r="HR412" s="24"/>
    </row>
    <row r="413" spans="15:226" ht="15">
      <c r="O413" s="3"/>
      <c r="P413" s="3"/>
      <c r="Q413" s="3"/>
      <c r="Z413" s="3"/>
      <c r="HO413" s="24"/>
      <c r="HP413" s="24"/>
      <c r="HQ413" s="24"/>
      <c r="HR413" s="24"/>
    </row>
    <row r="414" spans="15:226" ht="15">
      <c r="O414" s="3"/>
      <c r="P414" s="3"/>
      <c r="Q414" s="3"/>
      <c r="Z414" s="3"/>
      <c r="HO414" s="24"/>
      <c r="HP414" s="24"/>
      <c r="HQ414" s="24"/>
      <c r="HR414" s="24"/>
    </row>
    <row r="415" spans="15:226" ht="15">
      <c r="O415" s="3"/>
      <c r="P415" s="3"/>
      <c r="Q415" s="3"/>
      <c r="Z415" s="3"/>
      <c r="HO415" s="24"/>
      <c r="HP415" s="24"/>
      <c r="HQ415" s="24"/>
      <c r="HR415" s="24"/>
    </row>
    <row r="416" spans="15:226" ht="15">
      <c r="O416" s="3"/>
      <c r="P416" s="3"/>
      <c r="Q416" s="3"/>
      <c r="Z416" s="3"/>
      <c r="HO416" s="24"/>
      <c r="HP416" s="24"/>
      <c r="HQ416" s="24"/>
      <c r="HR416" s="24"/>
    </row>
    <row r="417" spans="15:226" ht="15">
      <c r="O417" s="3"/>
      <c r="P417" s="3"/>
      <c r="Q417" s="3"/>
      <c r="Z417" s="3"/>
      <c r="HO417" s="24"/>
      <c r="HP417" s="24"/>
      <c r="HQ417" s="24"/>
      <c r="HR417" s="24"/>
    </row>
    <row r="418" spans="15:226" ht="15">
      <c r="O418" s="3"/>
      <c r="P418" s="3"/>
      <c r="Q418" s="3"/>
      <c r="Z418" s="3"/>
      <c r="HO418" s="24"/>
      <c r="HP418" s="24"/>
      <c r="HQ418" s="24"/>
      <c r="HR418" s="24"/>
    </row>
    <row r="419" spans="15:226" ht="15">
      <c r="O419" s="3"/>
      <c r="P419" s="3"/>
      <c r="Q419" s="3"/>
      <c r="Z419" s="3"/>
      <c r="HO419" s="24"/>
      <c r="HP419" s="24"/>
      <c r="HQ419" s="24"/>
      <c r="HR419" s="24"/>
    </row>
    <row r="420" spans="15:226" ht="15">
      <c r="O420" s="3"/>
      <c r="P420" s="3"/>
      <c r="Q420" s="3"/>
      <c r="Z420" s="3"/>
      <c r="HO420" s="24"/>
      <c r="HP420" s="24"/>
      <c r="HQ420" s="24"/>
      <c r="HR420" s="24"/>
    </row>
    <row r="421" spans="15:226" ht="15">
      <c r="O421" s="3"/>
      <c r="P421" s="3"/>
      <c r="Q421" s="3"/>
      <c r="Z421" s="3"/>
      <c r="HO421" s="24"/>
      <c r="HP421" s="24"/>
      <c r="HQ421" s="24"/>
      <c r="HR421" s="24"/>
    </row>
    <row r="422" spans="15:226" ht="15">
      <c r="O422" s="3"/>
      <c r="P422" s="3"/>
      <c r="Q422" s="3"/>
      <c r="Z422" s="3"/>
      <c r="HO422" s="24"/>
      <c r="HP422" s="24"/>
      <c r="HQ422" s="24"/>
      <c r="HR422" s="24"/>
    </row>
    <row r="423" spans="15:226" ht="15">
      <c r="O423" s="3"/>
      <c r="P423" s="3"/>
      <c r="Q423" s="3"/>
      <c r="Z423" s="3"/>
      <c r="HO423" s="24"/>
      <c r="HP423" s="24"/>
      <c r="HQ423" s="24"/>
      <c r="HR423" s="24"/>
    </row>
    <row r="424" spans="15:226" ht="15">
      <c r="O424" s="3"/>
      <c r="P424" s="3"/>
      <c r="Q424" s="3"/>
      <c r="Z424" s="3"/>
      <c r="HO424" s="24"/>
      <c r="HP424" s="24"/>
      <c r="HQ424" s="24"/>
      <c r="HR424" s="24"/>
    </row>
    <row r="425" spans="15:226" ht="15">
      <c r="O425" s="3"/>
      <c r="P425" s="3"/>
      <c r="Q425" s="3"/>
      <c r="Z425" s="3"/>
      <c r="HO425" s="24"/>
      <c r="HP425" s="24"/>
      <c r="HQ425" s="24"/>
      <c r="HR425" s="24"/>
    </row>
    <row r="426" spans="15:226" ht="15">
      <c r="O426" s="3"/>
      <c r="P426" s="3"/>
      <c r="Q426" s="3"/>
      <c r="Z426" s="3"/>
      <c r="HO426" s="24"/>
      <c r="HP426" s="24"/>
      <c r="HQ426" s="24"/>
      <c r="HR426" s="24"/>
    </row>
    <row r="427" spans="15:226" ht="15">
      <c r="O427" s="3"/>
      <c r="P427" s="3"/>
      <c r="Q427" s="3"/>
      <c r="Z427" s="3"/>
      <c r="HO427" s="24"/>
      <c r="HP427" s="24"/>
      <c r="HQ427" s="24"/>
      <c r="HR427" s="24"/>
    </row>
    <row r="428" spans="15:226" ht="15">
      <c r="O428" s="3"/>
      <c r="P428" s="3"/>
      <c r="Q428" s="3"/>
      <c r="Z428" s="3"/>
      <c r="HO428" s="24"/>
      <c r="HP428" s="24"/>
      <c r="HQ428" s="24"/>
      <c r="HR428" s="24"/>
    </row>
    <row r="429" spans="15:226" ht="15">
      <c r="O429" s="3"/>
      <c r="P429" s="3"/>
      <c r="Q429" s="3"/>
      <c r="Z429" s="3"/>
      <c r="HO429" s="24"/>
      <c r="HP429" s="24"/>
      <c r="HQ429" s="24"/>
      <c r="HR429" s="24"/>
    </row>
    <row r="430" spans="15:226" ht="15">
      <c r="O430" s="3"/>
      <c r="P430" s="3"/>
      <c r="Q430" s="3"/>
      <c r="Z430" s="3"/>
      <c r="HO430" s="24"/>
      <c r="HP430" s="24"/>
      <c r="HQ430" s="24"/>
      <c r="HR430" s="24"/>
    </row>
    <row r="431" spans="15:226" ht="15">
      <c r="O431" s="3"/>
      <c r="P431" s="3"/>
      <c r="Q431" s="3"/>
      <c r="Z431" s="3"/>
      <c r="HO431" s="24"/>
      <c r="HP431" s="24"/>
      <c r="HQ431" s="24"/>
      <c r="HR431" s="24"/>
    </row>
    <row r="432" spans="15:226" ht="15">
      <c r="O432" s="3"/>
      <c r="P432" s="3"/>
      <c r="Q432" s="3"/>
      <c r="Z432" s="3"/>
      <c r="HO432" s="24"/>
      <c r="HP432" s="24"/>
      <c r="HQ432" s="24"/>
      <c r="HR432" s="24"/>
    </row>
    <row r="433" spans="15:226" ht="15">
      <c r="O433" s="3"/>
      <c r="P433" s="3"/>
      <c r="Q433" s="3"/>
      <c r="Z433" s="3"/>
      <c r="HO433" s="24"/>
      <c r="HP433" s="24"/>
      <c r="HQ433" s="24"/>
      <c r="HR433" s="24"/>
    </row>
    <row r="434" spans="15:226" ht="15">
      <c r="O434" s="3"/>
      <c r="P434" s="3"/>
      <c r="Q434" s="3"/>
      <c r="Z434" s="3"/>
      <c r="HO434" s="24"/>
      <c r="HP434" s="24"/>
      <c r="HQ434" s="24"/>
      <c r="HR434" s="24"/>
    </row>
    <row r="435" spans="15:226" ht="15">
      <c r="O435" s="3"/>
      <c r="P435" s="3"/>
      <c r="Q435" s="3"/>
      <c r="Z435" s="3"/>
      <c r="HO435" s="24"/>
      <c r="HP435" s="24"/>
      <c r="HQ435" s="24"/>
      <c r="HR435" s="24"/>
    </row>
    <row r="436" spans="15:226" ht="15">
      <c r="O436" s="3"/>
      <c r="P436" s="3"/>
      <c r="Q436" s="3"/>
      <c r="Z436" s="3"/>
      <c r="HO436" s="24"/>
      <c r="HP436" s="24"/>
      <c r="HQ436" s="24"/>
      <c r="HR436" s="24"/>
    </row>
    <row r="437" spans="15:226" ht="15">
      <c r="O437" s="3"/>
      <c r="P437" s="3"/>
      <c r="Q437" s="3"/>
      <c r="Z437" s="3"/>
      <c r="HO437" s="24"/>
      <c r="HP437" s="24"/>
      <c r="HQ437" s="24"/>
      <c r="HR437" s="24"/>
    </row>
    <row r="438" spans="15:17" ht="15">
      <c r="O438" s="3"/>
      <c r="P438" s="3"/>
      <c r="Q438" s="3"/>
    </row>
    <row r="439" spans="15:17" ht="15">
      <c r="O439" s="3"/>
      <c r="P439" s="3"/>
      <c r="Q439" s="3"/>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CC13">
      <selection activeCell="A3" sqref="A3"/>
    </sheetView>
  </sheetViews>
  <sheetFormatPr defaultColWidth="9.7109375" defaultRowHeight="12.75"/>
  <cols>
    <col min="1" max="1" width="13.7109375" style="3" customWidth="1"/>
    <col min="2" max="2" width="67.28125" style="3" customWidth="1"/>
    <col min="3" max="3" width="19.7109375" style="3" customWidth="1"/>
    <col min="4" max="4" width="9.7109375" style="3" customWidth="1"/>
    <col min="5" max="5" width="13.7109375" style="3" customWidth="1"/>
    <col min="6" max="6" width="66.00390625" style="3" customWidth="1"/>
    <col min="7" max="7" width="20.7109375" style="3" customWidth="1"/>
    <col min="8" max="8" width="9.7109375" style="3" customWidth="1"/>
    <col min="9" max="9" width="47.140625" style="3" customWidth="1"/>
    <col min="10" max="10" width="20.140625" style="3" customWidth="1"/>
    <col min="11" max="11" width="17.7109375" style="3" customWidth="1"/>
    <col min="12" max="12" width="16.421875" style="3" customWidth="1"/>
    <col min="13" max="13" width="13.140625" style="3" customWidth="1"/>
    <col min="14" max="14" width="11.7109375" style="3" customWidth="1"/>
    <col min="15" max="15" width="9.7109375" style="18" customWidth="1"/>
    <col min="16" max="16" width="63.8515625" style="3" customWidth="1"/>
    <col min="17" max="17" width="20.7109375" style="3" customWidth="1"/>
    <col min="18" max="18" width="11.7109375" style="3" customWidth="1"/>
    <col min="19" max="19" width="9.7109375" style="18" customWidth="1"/>
    <col min="20" max="20" width="55.7109375" style="3" customWidth="1"/>
    <col min="21" max="21" width="20.7109375" style="3" customWidth="1"/>
    <col min="22" max="22" width="11.7109375" style="3" customWidth="1"/>
    <col min="23" max="23" width="9.7109375" style="18" customWidth="1"/>
    <col min="24" max="24" width="60.7109375" style="3" customWidth="1"/>
    <col min="25" max="25" width="20.7109375" style="3" customWidth="1"/>
    <col min="26" max="26" width="9.7109375" style="3" customWidth="1"/>
    <col min="27" max="27" width="9.7109375" style="18" customWidth="1"/>
    <col min="28" max="28" width="55.7109375" style="3" customWidth="1"/>
    <col min="29" max="29" width="20.7109375" style="3" customWidth="1"/>
    <col min="30" max="30" width="12.00390625" style="3" customWidth="1"/>
    <col min="31" max="31" width="9.7109375" style="3" customWidth="1"/>
    <col min="32" max="32" width="9.7109375" style="18" customWidth="1"/>
    <col min="33" max="33" width="67.421875" style="3" customWidth="1"/>
    <col min="34" max="34" width="15.7109375" style="3" customWidth="1"/>
    <col min="35" max="35" width="9.7109375" style="3" customWidth="1"/>
    <col min="36" max="36" width="9.7109375" style="18" customWidth="1"/>
    <col min="37" max="37" width="10.7109375" style="18" customWidth="1"/>
    <col min="38" max="38" width="60.421875" style="3" customWidth="1"/>
    <col min="39" max="39" width="15.7109375" style="3" customWidth="1"/>
    <col min="40" max="41" width="9.7109375" style="3" customWidth="1"/>
    <col min="42" max="42" width="7.7109375" style="18" customWidth="1"/>
    <col min="43" max="43" width="14.00390625" style="18" customWidth="1"/>
    <col min="44" max="44" width="51.7109375" style="3" customWidth="1"/>
    <col min="45" max="45" width="15.7109375" style="3" customWidth="1"/>
    <col min="46" max="46" width="9.7109375" style="3" customWidth="1"/>
    <col min="47" max="48" width="9.7109375" style="18" customWidth="1"/>
    <col min="49" max="49" width="61.140625" style="3" customWidth="1"/>
    <col min="50" max="50" width="15.7109375" style="3" customWidth="1"/>
    <col min="51" max="51" width="9.7109375" style="3" customWidth="1"/>
    <col min="52" max="53" width="9.7109375" style="18" customWidth="1"/>
    <col min="54" max="54" width="55.7109375" style="3" customWidth="1"/>
    <col min="55" max="55" width="15.7109375" style="3" customWidth="1"/>
    <col min="56" max="56" width="9.7109375" style="3" customWidth="1"/>
    <col min="57" max="58" width="9.7109375" style="18" customWidth="1"/>
    <col min="59" max="59" width="47.140625" style="3" customWidth="1"/>
    <col min="60" max="60" width="14.140625" style="3" customWidth="1"/>
    <col min="61" max="61" width="16.7109375" style="3" customWidth="1"/>
    <col min="62" max="62" width="15.28125" style="3" customWidth="1"/>
    <col min="63" max="63" width="9.7109375" style="3" customWidth="1"/>
    <col min="64" max="65" width="9.7109375" style="18" customWidth="1"/>
    <col min="66" max="66" width="55.7109375" style="3" customWidth="1"/>
    <col min="67" max="67" width="15.7109375" style="3" customWidth="1"/>
    <col min="68" max="68" width="9.7109375" style="3" customWidth="1"/>
    <col min="69" max="70" width="9.7109375" style="18" customWidth="1"/>
    <col min="71" max="71" width="55.7109375" style="3" customWidth="1"/>
    <col min="72" max="72" width="19.57421875" style="3" customWidth="1"/>
    <col min="73" max="73" width="9.7109375" style="3" customWidth="1"/>
    <col min="74" max="74" width="9.7109375" style="18" customWidth="1"/>
    <col min="75" max="75" width="12.140625" style="18" customWidth="1"/>
    <col min="76" max="76" width="55.7109375" style="3" customWidth="1"/>
    <col min="77" max="77" width="20.28125" style="3" customWidth="1"/>
    <col min="78" max="78" width="9.7109375" style="3" customWidth="1"/>
    <col min="79" max="80" width="9.7109375" style="18" customWidth="1"/>
    <col min="81" max="81" width="50.7109375" style="3" customWidth="1"/>
    <col min="82" max="82" width="22.140625" style="3" customWidth="1"/>
    <col min="83" max="84" width="9.7109375" style="3" customWidth="1"/>
    <col min="85" max="86" width="9.7109375" style="18" customWidth="1"/>
    <col min="87" max="87" width="55.7109375" style="3" customWidth="1"/>
    <col min="88" max="88" width="19.7109375" style="3" customWidth="1"/>
    <col min="89" max="89" width="9.7109375" style="3" customWidth="1"/>
    <col min="90" max="90" width="9.7109375" style="18" customWidth="1"/>
    <col min="91" max="91" width="11.28125" style="18" customWidth="1"/>
    <col min="92" max="92" width="55.7109375" style="3" customWidth="1"/>
    <col min="93" max="93" width="20.28125" style="3" customWidth="1"/>
    <col min="94" max="94" width="9.7109375" style="3" customWidth="1"/>
    <col min="95" max="95" width="9.7109375" style="18" customWidth="1"/>
    <col min="96" max="96" width="55.7109375" style="3" customWidth="1"/>
    <col min="97" max="97" width="19.00390625" style="3" customWidth="1"/>
    <col min="98" max="99" width="9.7109375" style="3" customWidth="1"/>
    <col min="100" max="100" width="9.7109375" style="18" customWidth="1"/>
    <col min="101" max="101" width="56.8515625" style="3" customWidth="1"/>
    <col min="102" max="102" width="23.421875" style="3" customWidth="1"/>
    <col min="103" max="104" width="9.7109375" style="3" customWidth="1"/>
    <col min="105" max="105" width="9.7109375" style="18" customWidth="1"/>
    <col min="106" max="106" width="66.28125" style="3" customWidth="1"/>
    <col min="107" max="107" width="25.57421875" style="3" customWidth="1"/>
    <col min="108" max="16384" width="9.7109375" style="3" customWidth="1"/>
  </cols>
  <sheetData>
    <row r="1" spans="15:105" ht="15">
      <c r="O1" s="3"/>
      <c r="S1" s="3"/>
      <c r="W1" s="3"/>
      <c r="AA1" s="3"/>
      <c r="AF1" s="3" t="s">
        <v>1554</v>
      </c>
      <c r="AJ1" s="3"/>
      <c r="AK1" s="3"/>
      <c r="AP1" s="3"/>
      <c r="AQ1" s="3"/>
      <c r="AU1" s="3"/>
      <c r="AV1" s="3"/>
      <c r="AZ1" s="3"/>
      <c r="BA1" s="3"/>
      <c r="BE1" s="3"/>
      <c r="BF1" s="3"/>
      <c r="BL1" s="3"/>
      <c r="BM1" s="3"/>
      <c r="BQ1" s="3"/>
      <c r="BR1" s="3"/>
      <c r="BV1" s="3"/>
      <c r="BW1" s="3"/>
      <c r="CA1" s="3"/>
      <c r="CB1" s="3"/>
      <c r="CG1" s="3"/>
      <c r="CH1" s="3"/>
      <c r="CL1" s="3"/>
      <c r="CM1" s="3"/>
      <c r="CQ1" s="3"/>
      <c r="CV1" s="3"/>
      <c r="DA1" s="3"/>
    </row>
    <row r="2" spans="15:105" ht="15">
      <c r="O2" s="3"/>
      <c r="S2" s="3"/>
      <c r="W2" s="3"/>
      <c r="AA2" s="3"/>
      <c r="AF2" s="3"/>
      <c r="AJ2" s="3"/>
      <c r="AK2" s="3"/>
      <c r="AP2" s="3"/>
      <c r="AQ2" s="3"/>
      <c r="AU2" s="3"/>
      <c r="AV2" s="3"/>
      <c r="AZ2" s="3"/>
      <c r="BA2" s="3"/>
      <c r="BE2" s="3"/>
      <c r="BF2" s="3"/>
      <c r="BL2" s="3"/>
      <c r="BM2" s="3"/>
      <c r="BQ2" s="3"/>
      <c r="BR2" s="3"/>
      <c r="BV2" s="3"/>
      <c r="BW2" s="3"/>
      <c r="CA2" s="3"/>
      <c r="CB2" s="3"/>
      <c r="CG2" s="3"/>
      <c r="CH2" s="3"/>
      <c r="CL2" s="3"/>
      <c r="CM2" s="3"/>
      <c r="CQ2" s="3"/>
      <c r="CV2" s="3"/>
      <c r="DA2" s="3"/>
    </row>
    <row r="3" spans="15:105" ht="15.75">
      <c r="O3" s="3"/>
      <c r="S3" s="3"/>
      <c r="W3" s="3"/>
      <c r="AA3" s="3"/>
      <c r="AF3" s="3"/>
      <c r="AI3" s="4"/>
      <c r="AJ3" s="3"/>
      <c r="AK3" s="3"/>
      <c r="AN3" s="4"/>
      <c r="AO3" s="4"/>
      <c r="AP3" s="3"/>
      <c r="AQ3" s="3"/>
      <c r="AU3" s="3"/>
      <c r="AV3" s="3"/>
      <c r="AZ3" s="3"/>
      <c r="BA3" s="3"/>
      <c r="BE3" s="3"/>
      <c r="BF3" s="3"/>
      <c r="BL3" s="3"/>
      <c r="BM3" s="3"/>
      <c r="BQ3" s="3"/>
      <c r="BR3" s="3"/>
      <c r="BV3" s="3"/>
      <c r="BW3" s="3"/>
      <c r="CA3" s="3"/>
      <c r="CB3" s="3"/>
      <c r="CG3" s="3"/>
      <c r="CH3" s="3"/>
      <c r="CL3" s="3"/>
      <c r="CM3" s="3"/>
      <c r="CQ3" s="3"/>
      <c r="CV3" s="3"/>
      <c r="DA3" s="3"/>
    </row>
    <row r="4" spans="15:105" ht="15.75">
      <c r="O4" s="3"/>
      <c r="S4" s="3"/>
      <c r="W4" s="3"/>
      <c r="AA4" s="3"/>
      <c r="AF4" s="3"/>
      <c r="AI4" s="4"/>
      <c r="AJ4" s="3"/>
      <c r="AK4" s="3"/>
      <c r="AN4" s="4"/>
      <c r="AO4" s="4"/>
      <c r="AP4" s="3"/>
      <c r="AQ4" s="3"/>
      <c r="AU4" s="3"/>
      <c r="AV4" s="3"/>
      <c r="AZ4" s="3"/>
      <c r="BA4" s="3"/>
      <c r="BE4" s="3"/>
      <c r="BF4" s="3"/>
      <c r="BL4" s="3"/>
      <c r="BM4" s="3"/>
      <c r="BQ4" s="3"/>
      <c r="BR4" s="3"/>
      <c r="BV4" s="3"/>
      <c r="BW4" s="3"/>
      <c r="CA4" s="3"/>
      <c r="CB4" s="3"/>
      <c r="CG4" s="3"/>
      <c r="CH4" s="3"/>
      <c r="CL4" s="3"/>
      <c r="CM4" s="3"/>
      <c r="CQ4" s="3"/>
      <c r="CV4" s="3"/>
      <c r="DA4" s="3"/>
    </row>
    <row r="5" spans="15:105" ht="15.75">
      <c r="O5" s="3"/>
      <c r="S5" s="3"/>
      <c r="W5" s="3"/>
      <c r="AA5" s="3"/>
      <c r="AF5" s="3"/>
      <c r="AI5" s="4"/>
      <c r="AJ5" s="3"/>
      <c r="AK5" s="3"/>
      <c r="AN5" s="4"/>
      <c r="AO5" s="4"/>
      <c r="AP5" s="3"/>
      <c r="AQ5" s="3"/>
      <c r="AU5" s="3"/>
      <c r="AV5" s="3"/>
      <c r="AZ5" s="3"/>
      <c r="BA5" s="3"/>
      <c r="BE5" s="3"/>
      <c r="BF5" s="3"/>
      <c r="BL5" s="3"/>
      <c r="BM5" s="3"/>
      <c r="BQ5" s="3"/>
      <c r="BR5" s="3"/>
      <c r="BV5" s="3"/>
      <c r="BW5" s="3"/>
      <c r="CA5" s="3"/>
      <c r="CB5" s="3"/>
      <c r="CG5" s="3"/>
      <c r="CH5" s="3"/>
      <c r="CL5" s="3"/>
      <c r="CM5" s="3"/>
      <c r="CQ5" s="3"/>
      <c r="CV5" s="3"/>
      <c r="DA5" s="3"/>
    </row>
    <row r="6" spans="32:42" ht="15.75">
      <c r="AF6" s="3"/>
      <c r="AI6" s="4"/>
      <c r="AN6" s="4"/>
      <c r="AO6" s="4"/>
      <c r="AP6" s="3"/>
    </row>
    <row r="7" spans="1:107" ht="15.75">
      <c r="A7" s="26"/>
      <c r="B7" s="21" t="s">
        <v>1555</v>
      </c>
      <c r="C7" s="26"/>
      <c r="E7" s="26"/>
      <c r="F7" s="21" t="s">
        <v>1555</v>
      </c>
      <c r="G7" s="26"/>
      <c r="I7" s="78" t="s">
        <v>1555</v>
      </c>
      <c r="K7" s="24"/>
      <c r="L7" s="21"/>
      <c r="M7" s="21" t="str">
        <f>+C12</f>
        <v>ESTIMATE</v>
      </c>
      <c r="N7" s="21"/>
      <c r="O7" s="24"/>
      <c r="P7" s="21" t="s">
        <v>1555</v>
      </c>
      <c r="Q7" s="21"/>
      <c r="R7" s="21"/>
      <c r="T7" s="21" t="s">
        <v>1555</v>
      </c>
      <c r="U7" s="21"/>
      <c r="V7" s="21"/>
      <c r="X7" s="21" t="s">
        <v>1555</v>
      </c>
      <c r="Y7" s="21"/>
      <c r="AB7" s="21" t="s">
        <v>1555</v>
      </c>
      <c r="AC7" s="21"/>
      <c r="AG7" s="21" t="s">
        <v>1555</v>
      </c>
      <c r="AH7" s="21"/>
      <c r="AL7" s="21" t="s">
        <v>1555</v>
      </c>
      <c r="AM7" s="21"/>
      <c r="AR7" s="21" t="s">
        <v>1555</v>
      </c>
      <c r="AS7" s="21"/>
      <c r="AV7" s="21"/>
      <c r="AW7" s="26" t="s">
        <v>261</v>
      </c>
      <c r="AX7" s="21"/>
      <c r="BA7" s="21"/>
      <c r="BB7" s="26" t="s">
        <v>397</v>
      </c>
      <c r="BC7" s="21"/>
      <c r="BF7" s="21"/>
      <c r="BG7" s="21" t="s">
        <v>1555</v>
      </c>
      <c r="BH7" s="21"/>
      <c r="BJ7" s="21"/>
      <c r="BM7" s="21"/>
      <c r="BN7" s="21" t="s">
        <v>1555</v>
      </c>
      <c r="BO7" s="21"/>
      <c r="BR7" s="21"/>
      <c r="BS7" s="21" t="s">
        <v>1555</v>
      </c>
      <c r="BT7" s="21"/>
      <c r="BW7" s="21"/>
      <c r="BX7" s="26" t="s">
        <v>1253</v>
      </c>
      <c r="BY7" s="21"/>
      <c r="CC7" s="26" t="s">
        <v>1632</v>
      </c>
      <c r="CD7" s="21"/>
      <c r="CI7" s="21" t="s">
        <v>1555</v>
      </c>
      <c r="CJ7" s="21"/>
      <c r="CL7" s="21"/>
      <c r="CM7" s="21"/>
      <c r="CN7" s="21" t="s">
        <v>1555</v>
      </c>
      <c r="CO7" s="21"/>
      <c r="CR7" s="21" t="s">
        <v>1555</v>
      </c>
      <c r="CS7" s="21"/>
      <c r="CV7" s="21"/>
      <c r="CW7" s="21" t="s">
        <v>363</v>
      </c>
      <c r="CX7" s="21" t="str">
        <f>CS13</f>
        <v>January, 2016</v>
      </c>
      <c r="DB7" s="21" t="s">
        <v>363</v>
      </c>
      <c r="DC7" s="21" t="str">
        <f>CX7</f>
        <v>January, 2016</v>
      </c>
    </row>
    <row r="8" spans="2:107" ht="15.75">
      <c r="B8" s="21" t="s">
        <v>1628</v>
      </c>
      <c r="C8" s="26"/>
      <c r="F8" s="21" t="s">
        <v>1628</v>
      </c>
      <c r="G8" s="26"/>
      <c r="I8" s="78" t="s">
        <v>262</v>
      </c>
      <c r="K8" s="24"/>
      <c r="M8" s="21" t="s">
        <v>191</v>
      </c>
      <c r="N8" s="21"/>
      <c r="O8" s="24"/>
      <c r="P8" s="21" t="s">
        <v>262</v>
      </c>
      <c r="Q8" s="21" t="s">
        <v>549</v>
      </c>
      <c r="R8" s="21"/>
      <c r="T8" s="21" t="s">
        <v>262</v>
      </c>
      <c r="U8" s="21" t="s">
        <v>548</v>
      </c>
      <c r="V8" s="21"/>
      <c r="X8" s="21" t="s">
        <v>262</v>
      </c>
      <c r="Y8" s="21" t="s">
        <v>1182</v>
      </c>
      <c r="AB8" s="21" t="s">
        <v>262</v>
      </c>
      <c r="AC8" s="21" t="s">
        <v>1180</v>
      </c>
      <c r="AG8" s="21" t="s">
        <v>262</v>
      </c>
      <c r="AH8" s="21" t="s">
        <v>263</v>
      </c>
      <c r="AL8" s="21" t="s">
        <v>262</v>
      </c>
      <c r="AM8" s="21" t="s">
        <v>1183</v>
      </c>
      <c r="AR8" s="21" t="s">
        <v>262</v>
      </c>
      <c r="AS8" s="21" t="s">
        <v>264</v>
      </c>
      <c r="AV8" s="21"/>
      <c r="AW8" s="26" t="s">
        <v>1292</v>
      </c>
      <c r="AX8" s="21" t="s">
        <v>1414</v>
      </c>
      <c r="BA8" s="21"/>
      <c r="BB8" s="26" t="s">
        <v>1633</v>
      </c>
      <c r="BC8" s="21" t="s">
        <v>1416</v>
      </c>
      <c r="BF8" s="21"/>
      <c r="BG8" s="21" t="s">
        <v>262</v>
      </c>
      <c r="BI8" s="18"/>
      <c r="BJ8" s="21" t="s">
        <v>36</v>
      </c>
      <c r="BM8" s="21"/>
      <c r="BN8" s="21" t="s">
        <v>262</v>
      </c>
      <c r="BO8" s="21" t="s">
        <v>1543</v>
      </c>
      <c r="BR8" s="21"/>
      <c r="BS8" s="21" t="s">
        <v>262</v>
      </c>
      <c r="BT8" s="21" t="s">
        <v>1544</v>
      </c>
      <c r="BW8" s="21"/>
      <c r="BX8" s="26" t="s">
        <v>1655</v>
      </c>
      <c r="BY8" s="21" t="s">
        <v>1545</v>
      </c>
      <c r="CC8" s="26" t="s">
        <v>46</v>
      </c>
      <c r="CD8" s="21" t="s">
        <v>1546</v>
      </c>
      <c r="CG8" s="21"/>
      <c r="CH8" s="21"/>
      <c r="CI8" s="21" t="s">
        <v>262</v>
      </c>
      <c r="CJ8" s="21" t="s">
        <v>550</v>
      </c>
      <c r="CL8" s="21"/>
      <c r="CM8" s="21"/>
      <c r="CN8" s="21" t="s">
        <v>262</v>
      </c>
      <c r="CO8" s="21" t="s">
        <v>551</v>
      </c>
      <c r="CR8" s="21" t="s">
        <v>262</v>
      </c>
      <c r="CS8" s="21" t="s">
        <v>1427</v>
      </c>
      <c r="CV8" s="21"/>
      <c r="CW8" s="26"/>
      <c r="CX8" s="21" t="str">
        <f>+C12</f>
        <v>ESTIMATE</v>
      </c>
      <c r="DB8" s="26"/>
      <c r="DC8" s="21" t="str">
        <f>+C12</f>
        <v>ESTIMATE</v>
      </c>
    </row>
    <row r="9" spans="1:107" ht="15.75">
      <c r="A9" s="26"/>
      <c r="B9" s="21" t="s">
        <v>926</v>
      </c>
      <c r="C9" s="26"/>
      <c r="E9" s="26"/>
      <c r="F9" s="21" t="s">
        <v>926</v>
      </c>
      <c r="G9" s="26"/>
      <c r="I9" s="366" t="s">
        <v>460</v>
      </c>
      <c r="K9" s="2"/>
      <c r="L9" s="2"/>
      <c r="M9" s="148"/>
      <c r="N9" s="148"/>
      <c r="P9" s="17" t="s">
        <v>1904</v>
      </c>
      <c r="R9" s="148"/>
      <c r="T9" s="17" t="s">
        <v>1903</v>
      </c>
      <c r="V9" s="148"/>
      <c r="W9" s="83"/>
      <c r="X9" s="145" t="s">
        <v>1273</v>
      </c>
      <c r="AB9" s="83" t="s">
        <v>1909</v>
      </c>
      <c r="AG9" s="17" t="s">
        <v>1830</v>
      </c>
      <c r="AL9" s="17" t="s">
        <v>1289</v>
      </c>
      <c r="AR9" s="17" t="s">
        <v>170</v>
      </c>
      <c r="AV9" s="144" t="s">
        <v>472</v>
      </c>
      <c r="BA9" s="144" t="s">
        <v>1905</v>
      </c>
      <c r="BB9" s="26"/>
      <c r="BF9" s="21"/>
      <c r="BG9" s="21" t="s">
        <v>1431</v>
      </c>
      <c r="BJ9" s="21" t="s">
        <v>1228</v>
      </c>
      <c r="BM9" s="3"/>
      <c r="BN9" s="17" t="s">
        <v>1906</v>
      </c>
      <c r="BR9" s="3"/>
      <c r="BS9" s="21" t="s">
        <v>1889</v>
      </c>
      <c r="BW9" s="144" t="s">
        <v>712</v>
      </c>
      <c r="BX9" s="26"/>
      <c r="CC9" s="17" t="s">
        <v>1761</v>
      </c>
      <c r="CG9" s="21"/>
      <c r="CH9" s="21"/>
      <c r="CI9" s="17" t="s">
        <v>1907</v>
      </c>
      <c r="CJ9" s="26"/>
      <c r="CL9" s="21"/>
      <c r="CM9" s="21"/>
      <c r="CN9" s="17" t="s">
        <v>1908</v>
      </c>
      <c r="CO9" s="21"/>
      <c r="CR9" s="17" t="s">
        <v>1350</v>
      </c>
      <c r="CV9" s="26" t="s">
        <v>270</v>
      </c>
      <c r="CX9" s="21"/>
      <c r="DA9" s="26" t="s">
        <v>270</v>
      </c>
      <c r="DC9" s="21"/>
    </row>
    <row r="10" spans="2:107" ht="15.75">
      <c r="B10" s="21"/>
      <c r="F10" s="21"/>
      <c r="I10" s="78"/>
      <c r="J10" s="2"/>
      <c r="K10" s="145" t="str">
        <f>+AH13</f>
        <v>January, 2016</v>
      </c>
      <c r="L10" s="55"/>
      <c r="M10" s="367">
        <f>C13</f>
        <v>44061</v>
      </c>
      <c r="X10" s="17" t="s">
        <v>45</v>
      </c>
      <c r="BF10" s="21"/>
      <c r="BG10" s="17" t="s">
        <v>1314</v>
      </c>
      <c r="BJ10" s="21" t="str">
        <f>+AH13</f>
        <v>January, 2016</v>
      </c>
      <c r="BL10" s="21"/>
      <c r="BM10" s="21"/>
      <c r="BN10" s="26"/>
      <c r="BO10" s="21" t="s">
        <v>1228</v>
      </c>
      <c r="BR10" s="21"/>
      <c r="BS10" s="17" t="s">
        <v>1432</v>
      </c>
      <c r="BY10" s="21" t="s">
        <v>1228</v>
      </c>
      <c r="CD10" s="21" t="s">
        <v>1228</v>
      </c>
      <c r="CG10" s="21"/>
      <c r="CH10" s="21"/>
      <c r="CI10" s="26"/>
      <c r="CJ10" s="21" t="s">
        <v>1228</v>
      </c>
      <c r="CL10" s="21"/>
      <c r="CM10" s="21"/>
      <c r="CN10" s="26"/>
      <c r="CO10" s="21" t="s">
        <v>1228</v>
      </c>
      <c r="CV10" s="21"/>
      <c r="CW10" s="17" t="s">
        <v>364</v>
      </c>
      <c r="CX10" s="26"/>
      <c r="DB10" s="17" t="s">
        <v>364</v>
      </c>
      <c r="DC10" s="26"/>
    </row>
    <row r="11" spans="1:93" ht="13.5" customHeight="1">
      <c r="A11" s="34"/>
      <c r="C11" s="21"/>
      <c r="G11" s="21"/>
      <c r="N11" s="26"/>
      <c r="O11" s="21"/>
      <c r="R11" s="26"/>
      <c r="V11" s="26"/>
      <c r="AG11" s="96" t="s">
        <v>689</v>
      </c>
      <c r="AH11" s="21" t="s">
        <v>1228</v>
      </c>
      <c r="AM11" s="21" t="s">
        <v>1228</v>
      </c>
      <c r="AS11" s="21" t="s">
        <v>1228</v>
      </c>
      <c r="AZ11" s="21"/>
      <c r="BA11" s="21"/>
      <c r="BB11" s="26"/>
      <c r="BC11" s="21" t="s">
        <v>1228</v>
      </c>
      <c r="BL11" s="21" t="s">
        <v>1345</v>
      </c>
      <c r="BM11" s="21" t="s">
        <v>1346</v>
      </c>
      <c r="BN11" s="26"/>
      <c r="BO11" s="17" t="str">
        <f>+AH13</f>
        <v>January, 2016</v>
      </c>
      <c r="BV11" s="21" t="s">
        <v>1345</v>
      </c>
      <c r="BW11" s="21" t="s">
        <v>1346</v>
      </c>
      <c r="BY11" s="17" t="str">
        <f>+AH13</f>
        <v>January, 2016</v>
      </c>
      <c r="CA11" s="21" t="s">
        <v>1345</v>
      </c>
      <c r="CB11" s="21" t="s">
        <v>1346</v>
      </c>
      <c r="CC11" s="26"/>
      <c r="CD11" s="17" t="str">
        <f>+AH13</f>
        <v>January, 2016</v>
      </c>
      <c r="CG11" s="21" t="s">
        <v>1345</v>
      </c>
      <c r="CH11" s="21" t="s">
        <v>1346</v>
      </c>
      <c r="CI11" s="26"/>
      <c r="CJ11" s="17" t="str">
        <f>+AH13</f>
        <v>January, 2016</v>
      </c>
      <c r="CL11" s="21" t="s">
        <v>1345</v>
      </c>
      <c r="CM11" s="21" t="s">
        <v>1346</v>
      </c>
      <c r="CN11" s="26"/>
      <c r="CO11" s="17" t="str">
        <f>+AH13</f>
        <v>January, 2016</v>
      </c>
    </row>
    <row r="12" spans="1:97" ht="15.75">
      <c r="A12" s="78" t="s">
        <v>1058</v>
      </c>
      <c r="B12" s="26"/>
      <c r="C12" s="21" t="str">
        <f>'UNIT 1 PWR BILL'!C12</f>
        <v>ESTIMATE</v>
      </c>
      <c r="E12" s="78" t="s">
        <v>1059</v>
      </c>
      <c r="F12" s="26"/>
      <c r="G12" s="21" t="str">
        <f>+C12</f>
        <v>ESTIMATE</v>
      </c>
      <c r="J12" s="21" t="s">
        <v>1062</v>
      </c>
      <c r="K12" s="26"/>
      <c r="L12" s="26"/>
      <c r="M12" s="26"/>
      <c r="N12" s="26"/>
      <c r="O12" s="21" t="s">
        <v>1345</v>
      </c>
      <c r="Q12" s="21" t="s">
        <v>1228</v>
      </c>
      <c r="R12" s="26"/>
      <c r="S12" s="21" t="s">
        <v>1345</v>
      </c>
      <c r="T12" s="26"/>
      <c r="U12" s="21" t="s">
        <v>1228</v>
      </c>
      <c r="V12" s="26"/>
      <c r="W12" s="21" t="s">
        <v>1345</v>
      </c>
      <c r="X12" s="26"/>
      <c r="Y12" s="21" t="s">
        <v>1228</v>
      </c>
      <c r="AA12" s="21" t="s">
        <v>1345</v>
      </c>
      <c r="AB12" s="26"/>
      <c r="AC12" s="21" t="s">
        <v>1228</v>
      </c>
      <c r="AF12" s="21" t="s">
        <v>1534</v>
      </c>
      <c r="AG12" s="26"/>
      <c r="AH12" s="26" t="s">
        <v>1554</v>
      </c>
      <c r="AJ12" s="21" t="s">
        <v>1345</v>
      </c>
      <c r="AK12" s="21" t="s">
        <v>1346</v>
      </c>
      <c r="AM12" s="17" t="str">
        <f>+AH13</f>
        <v>January, 2016</v>
      </c>
      <c r="AP12" s="21" t="s">
        <v>1345</v>
      </c>
      <c r="AQ12" s="21" t="s">
        <v>1346</v>
      </c>
      <c r="AR12" s="26"/>
      <c r="AS12" s="17" t="str">
        <f>+AH13</f>
        <v>January, 2016</v>
      </c>
      <c r="AX12" s="21" t="s">
        <v>1228</v>
      </c>
      <c r="AZ12" s="21" t="s">
        <v>1345</v>
      </c>
      <c r="BA12" s="21" t="s">
        <v>1346</v>
      </c>
      <c r="BB12" s="26"/>
      <c r="BC12" s="17" t="str">
        <f>+AH13</f>
        <v>January, 2016</v>
      </c>
      <c r="BE12" s="21" t="s">
        <v>1345</v>
      </c>
      <c r="BF12" s="21" t="s">
        <v>1346</v>
      </c>
      <c r="BG12" s="26"/>
      <c r="BI12" s="21" t="s">
        <v>1060</v>
      </c>
      <c r="BJ12" s="21" t="s">
        <v>1061</v>
      </c>
      <c r="BL12" s="17" t="s">
        <v>1151</v>
      </c>
      <c r="BM12" s="17" t="s">
        <v>501</v>
      </c>
      <c r="BN12" s="17" t="s">
        <v>502</v>
      </c>
      <c r="BO12" s="17"/>
      <c r="BQ12" s="21"/>
      <c r="BR12" s="21"/>
      <c r="BS12" s="26"/>
      <c r="BT12" s="21" t="s">
        <v>1228</v>
      </c>
      <c r="BV12" s="17" t="s">
        <v>1285</v>
      </c>
      <c r="BW12" s="17" t="s">
        <v>501</v>
      </c>
      <c r="BX12" s="17" t="s">
        <v>502</v>
      </c>
      <c r="BY12" s="17"/>
      <c r="CA12" s="17" t="s">
        <v>1151</v>
      </c>
      <c r="CB12" s="17" t="s">
        <v>501</v>
      </c>
      <c r="CC12" s="17" t="s">
        <v>1537</v>
      </c>
      <c r="CD12" s="17"/>
      <c r="CG12" s="17" t="s">
        <v>1286</v>
      </c>
      <c r="CH12" s="17" t="s">
        <v>501</v>
      </c>
      <c r="CI12" s="17" t="s">
        <v>502</v>
      </c>
      <c r="CJ12" s="17"/>
      <c r="CL12" s="17" t="s">
        <v>1286</v>
      </c>
      <c r="CM12" s="17" t="s">
        <v>501</v>
      </c>
      <c r="CN12" s="17" t="s">
        <v>502</v>
      </c>
      <c r="CO12" s="17"/>
      <c r="CS12" s="21" t="s">
        <v>1228</v>
      </c>
    </row>
    <row r="13" spans="1:102" ht="15.75">
      <c r="A13" s="78" t="s">
        <v>1064</v>
      </c>
      <c r="B13" s="26"/>
      <c r="C13" s="148">
        <f ca="1">TODAY()</f>
        <v>44061</v>
      </c>
      <c r="E13" s="78" t="s">
        <v>1824</v>
      </c>
      <c r="F13" s="26"/>
      <c r="G13" s="148">
        <f>+C13</f>
        <v>44061</v>
      </c>
      <c r="J13" s="21" t="s">
        <v>1228</v>
      </c>
      <c r="K13" s="21" t="s">
        <v>1060</v>
      </c>
      <c r="L13" s="21" t="s">
        <v>1061</v>
      </c>
      <c r="M13" s="26"/>
      <c r="N13" s="26"/>
      <c r="O13" s="17" t="s">
        <v>1151</v>
      </c>
      <c r="Q13" s="17" t="str">
        <f>+AH13</f>
        <v>January, 2016</v>
      </c>
      <c r="R13" s="26"/>
      <c r="S13" s="17" t="s">
        <v>1535</v>
      </c>
      <c r="T13" s="26"/>
      <c r="U13" s="17" t="str">
        <f>+AH13</f>
        <v>January, 2016</v>
      </c>
      <c r="V13" s="26"/>
      <c r="W13" s="17" t="s">
        <v>1151</v>
      </c>
      <c r="X13" s="26"/>
      <c r="Y13" s="17" t="str">
        <f>+AH13</f>
        <v>January, 2016</v>
      </c>
      <c r="AA13" s="17" t="s">
        <v>1535</v>
      </c>
      <c r="AB13" s="26"/>
      <c r="AC13" s="17" t="str">
        <f>+AH13</f>
        <v>January, 2016</v>
      </c>
      <c r="AF13" s="17" t="s">
        <v>1151</v>
      </c>
      <c r="AG13" s="26"/>
      <c r="AH13" s="17" t="str">
        <f>'UNIT 1 PWR BILL'!AG13</f>
        <v>January, 2016</v>
      </c>
      <c r="AJ13" s="17" t="s">
        <v>1151</v>
      </c>
      <c r="AK13" s="17" t="s">
        <v>501</v>
      </c>
      <c r="AL13" s="17" t="s">
        <v>1537</v>
      </c>
      <c r="AM13" s="17"/>
      <c r="AP13" s="17" t="s">
        <v>1151</v>
      </c>
      <c r="AQ13" s="17" t="s">
        <v>1151</v>
      </c>
      <c r="AR13" s="17" t="s">
        <v>1287</v>
      </c>
      <c r="AS13" s="17"/>
      <c r="AU13" s="21" t="s">
        <v>1534</v>
      </c>
      <c r="AV13" s="21" t="s">
        <v>1346</v>
      </c>
      <c r="AW13" s="26"/>
      <c r="AX13" s="17" t="str">
        <f>+AH13</f>
        <v>January, 2016</v>
      </c>
      <c r="AZ13" s="17" t="s">
        <v>1535</v>
      </c>
      <c r="BA13" s="17" t="s">
        <v>1536</v>
      </c>
      <c r="BB13" s="17" t="s">
        <v>1537</v>
      </c>
      <c r="BC13" s="17"/>
      <c r="BE13" s="17" t="s">
        <v>1151</v>
      </c>
      <c r="BF13" s="17" t="s">
        <v>501</v>
      </c>
      <c r="BG13" s="17" t="s">
        <v>1537</v>
      </c>
      <c r="BH13" s="17" t="s">
        <v>1062</v>
      </c>
      <c r="BI13" s="17" t="s">
        <v>257</v>
      </c>
      <c r="BJ13" s="17" t="s">
        <v>257</v>
      </c>
      <c r="BQ13" s="21" t="s">
        <v>1345</v>
      </c>
      <c r="BR13" s="21" t="s">
        <v>1346</v>
      </c>
      <c r="BS13" s="26"/>
      <c r="BT13" s="17" t="str">
        <f>+AH13</f>
        <v>January, 2016</v>
      </c>
      <c r="BY13" s="8"/>
      <c r="CJ13" s="18"/>
      <c r="CQ13" s="17" t="s">
        <v>1288</v>
      </c>
      <c r="CS13" s="17" t="str">
        <f>+AH13</f>
        <v>January, 2016</v>
      </c>
      <c r="CV13" s="18">
        <v>500</v>
      </c>
      <c r="CW13" s="3" t="s">
        <v>1869</v>
      </c>
      <c r="CX13" s="8">
        <f>EXPENSES!L46</f>
        <v>130357.75</v>
      </c>
    </row>
    <row r="14" spans="1:102" ht="15.75">
      <c r="A14" s="78" t="s">
        <v>1340</v>
      </c>
      <c r="B14" s="26"/>
      <c r="C14" s="26"/>
      <c r="E14" s="78" t="s">
        <v>1341</v>
      </c>
      <c r="F14" s="26"/>
      <c r="J14" s="17" t="s">
        <v>1863</v>
      </c>
      <c r="K14" s="17" t="s">
        <v>257</v>
      </c>
      <c r="L14" s="17" t="s">
        <v>257</v>
      </c>
      <c r="Q14" s="17"/>
      <c r="S14" s="21"/>
      <c r="T14" s="26"/>
      <c r="U14" s="17"/>
      <c r="Y14" s="17"/>
      <c r="AC14" s="17"/>
      <c r="AH14" s="17"/>
      <c r="AU14" s="17" t="s">
        <v>1151</v>
      </c>
      <c r="AV14" s="17" t="s">
        <v>1536</v>
      </c>
      <c r="AW14" s="17" t="s">
        <v>502</v>
      </c>
      <c r="AX14" s="17"/>
      <c r="BL14" s="18" t="s">
        <v>71</v>
      </c>
      <c r="BN14" s="96" t="s">
        <v>862</v>
      </c>
      <c r="BQ14" s="17" t="s">
        <v>1151</v>
      </c>
      <c r="BR14" s="17" t="s">
        <v>1536</v>
      </c>
      <c r="BS14" s="17" t="s">
        <v>863</v>
      </c>
      <c r="BT14" s="17"/>
      <c r="CC14" s="96" t="s">
        <v>272</v>
      </c>
      <c r="CG14" s="18" t="s">
        <v>71</v>
      </c>
      <c r="CI14" s="96" t="s">
        <v>273</v>
      </c>
      <c r="CS14" s="17"/>
      <c r="CV14" s="18">
        <v>501</v>
      </c>
      <c r="CW14" s="3" t="s">
        <v>1342</v>
      </c>
      <c r="CX14" s="8">
        <f>IF(INSTRUCTIONS!L8="ESTIMATE",J22,(IF(INSTRUCTIONS!L8="ACTUAL",FUELU2!N44,"ERROR")))</f>
        <v>4714298.83</v>
      </c>
    </row>
    <row r="15" spans="1:107" ht="12.75" customHeight="1">
      <c r="A15" s="34"/>
      <c r="B15" s="18"/>
      <c r="C15" s="368"/>
      <c r="E15" s="34"/>
      <c r="F15" s="18"/>
      <c r="G15" s="368"/>
      <c r="J15" s="8"/>
      <c r="K15" s="8"/>
      <c r="L15" s="8"/>
      <c r="O15" s="369">
        <v>1</v>
      </c>
      <c r="P15" s="3" t="s">
        <v>1083</v>
      </c>
      <c r="Q15" s="8"/>
      <c r="S15" s="369">
        <v>1</v>
      </c>
      <c r="T15" s="3" t="s">
        <v>246</v>
      </c>
      <c r="U15" s="8"/>
      <c r="W15" s="18" t="s">
        <v>1541</v>
      </c>
      <c r="X15" s="3" t="s">
        <v>1556</v>
      </c>
      <c r="Y15" s="8"/>
      <c r="AA15" s="18" t="s">
        <v>1541</v>
      </c>
      <c r="AB15" s="3" t="s">
        <v>1840</v>
      </c>
      <c r="AC15" s="8"/>
      <c r="AF15" s="18" t="s">
        <v>1541</v>
      </c>
      <c r="AG15" s="3" t="s">
        <v>1864</v>
      </c>
      <c r="AH15" s="8"/>
      <c r="AJ15" s="18">
        <v>1</v>
      </c>
      <c r="AK15" s="18">
        <v>450</v>
      </c>
      <c r="AL15" s="3" t="s">
        <v>1557</v>
      </c>
      <c r="AM15" s="8">
        <v>0</v>
      </c>
      <c r="AP15" s="18" t="s">
        <v>71</v>
      </c>
      <c r="AQ15" s="18" t="s">
        <v>208</v>
      </c>
      <c r="AR15" s="3" t="s">
        <v>1823</v>
      </c>
      <c r="AS15" s="8">
        <f>SUM((CX13+(SUM(CX15:CX22))))</f>
        <v>6661881.699999999</v>
      </c>
      <c r="AX15" s="8"/>
      <c r="BE15" s="18" t="s">
        <v>71</v>
      </c>
      <c r="BG15" s="96" t="s">
        <v>183</v>
      </c>
      <c r="BH15" s="27"/>
      <c r="BO15" s="8"/>
      <c r="BT15" s="8"/>
      <c r="BV15" s="18">
        <v>31</v>
      </c>
      <c r="BX15" s="3" t="s">
        <v>663</v>
      </c>
      <c r="BY15" s="8"/>
      <c r="CD15" s="8"/>
      <c r="CJ15" s="8"/>
      <c r="CQ15" s="18" t="s">
        <v>664</v>
      </c>
      <c r="CR15" s="3" t="s">
        <v>1558</v>
      </c>
      <c r="CS15" s="8"/>
      <c r="CV15" s="18">
        <v>502</v>
      </c>
      <c r="CW15" s="3" t="s">
        <v>1559</v>
      </c>
      <c r="CX15" s="8">
        <f>EXPENSES!L47</f>
        <v>582020.81</v>
      </c>
      <c r="DC15" s="8"/>
    </row>
    <row r="16" spans="1:107" ht="15.75">
      <c r="A16" s="78" t="s">
        <v>1228</v>
      </c>
      <c r="B16" s="26"/>
      <c r="C16" s="26"/>
      <c r="E16" s="78" t="s">
        <v>1228</v>
      </c>
      <c r="F16" s="26"/>
      <c r="I16" s="3" t="s">
        <v>560</v>
      </c>
      <c r="J16" s="8">
        <f>TRUNC(Y48)</f>
        <v>-35866</v>
      </c>
      <c r="K16" s="8">
        <f>ROUND((J16*INSTRUCTIONS!$M$20),0)</f>
        <v>-10760</v>
      </c>
      <c r="L16" s="8">
        <f>SUM((J16-K16))</f>
        <v>-25106</v>
      </c>
      <c r="AP16" s="18" t="s">
        <v>1387</v>
      </c>
      <c r="AQ16" s="18">
        <v>501</v>
      </c>
      <c r="AR16" s="3" t="s">
        <v>489</v>
      </c>
      <c r="AS16" s="8">
        <f>SUM(CX14)</f>
        <v>4714298.83</v>
      </c>
      <c r="AZ16" s="18" t="s">
        <v>490</v>
      </c>
      <c r="BA16" s="18" t="s">
        <v>1685</v>
      </c>
      <c r="BB16" s="3" t="s">
        <v>673</v>
      </c>
      <c r="BL16" s="18" t="s">
        <v>1387</v>
      </c>
      <c r="BM16" s="18">
        <v>101</v>
      </c>
      <c r="BN16" s="3" t="s">
        <v>716</v>
      </c>
      <c r="BO16" s="8">
        <f>AEGBS!J11</f>
        <v>140135233.33</v>
      </c>
      <c r="BQ16" s="18" t="s">
        <v>71</v>
      </c>
      <c r="BR16" s="18">
        <v>128</v>
      </c>
      <c r="BS16" s="3" t="s">
        <v>1549</v>
      </c>
      <c r="BT16" s="8">
        <f>AEGBS!J32</f>
        <v>0</v>
      </c>
      <c r="CA16" s="18" t="s">
        <v>664</v>
      </c>
      <c r="CB16" s="18">
        <v>107</v>
      </c>
      <c r="CC16" s="3" t="s">
        <v>1550</v>
      </c>
      <c r="CD16" s="8">
        <f>AEGBS!D145</f>
        <v>56896913.3</v>
      </c>
      <c r="CG16" s="18" t="s">
        <v>1387</v>
      </c>
      <c r="CH16" s="18">
        <v>201</v>
      </c>
      <c r="CI16" s="3" t="s">
        <v>1763</v>
      </c>
      <c r="CJ16" s="8">
        <f>AEGBS!D153</f>
        <v>383000</v>
      </c>
      <c r="CL16" s="18">
        <v>28</v>
      </c>
      <c r="CN16" s="96" t="s">
        <v>331</v>
      </c>
      <c r="CV16" s="18">
        <v>503</v>
      </c>
      <c r="CW16" s="3" t="s">
        <v>84</v>
      </c>
      <c r="CX16" s="8">
        <v>0</v>
      </c>
      <c r="DA16" s="18">
        <v>901</v>
      </c>
      <c r="DB16" s="3" t="s">
        <v>1766</v>
      </c>
      <c r="DC16" s="8">
        <v>0</v>
      </c>
    </row>
    <row r="17" spans="1:107" ht="15.75">
      <c r="A17" s="144" t="str">
        <f>"POWER BILL - -  "&amp;AH13</f>
        <v>POWER BILL - -  January, 2016</v>
      </c>
      <c r="B17" s="83"/>
      <c r="C17" s="26"/>
      <c r="E17" s="144" t="str">
        <f>"POWER BILL - -  "&amp;AH13</f>
        <v>POWER BILL - -  January, 2016</v>
      </c>
      <c r="F17" s="83"/>
      <c r="O17" s="369">
        <v>2</v>
      </c>
      <c r="P17" s="96" t="s">
        <v>486</v>
      </c>
      <c r="AF17" s="18" t="s">
        <v>561</v>
      </c>
      <c r="AG17" s="3" t="s">
        <v>1318</v>
      </c>
      <c r="AH17" s="8">
        <v>17042524</v>
      </c>
      <c r="AJ17" s="18">
        <v>2</v>
      </c>
      <c r="AK17" s="18">
        <v>451</v>
      </c>
      <c r="AL17" s="3" t="s">
        <v>1307</v>
      </c>
      <c r="AM17" s="8">
        <v>0</v>
      </c>
      <c r="AP17" s="18" t="s">
        <v>1319</v>
      </c>
      <c r="AQ17" s="18" t="s">
        <v>1320</v>
      </c>
      <c r="AR17" s="3" t="s">
        <v>140</v>
      </c>
      <c r="AS17" s="8">
        <f>SUM(CX35)</f>
        <v>568820.92</v>
      </c>
      <c r="AU17" s="18">
        <v>1</v>
      </c>
      <c r="AV17" s="18">
        <v>403</v>
      </c>
      <c r="AW17" s="3" t="s">
        <v>1409</v>
      </c>
      <c r="AX17" s="20">
        <f>EXPENSES!H72</f>
        <v>578030.83</v>
      </c>
      <c r="BB17" s="3" t="s">
        <v>1682</v>
      </c>
      <c r="BC17" s="8">
        <f>EXPENSES!H14</f>
        <v>136373.89</v>
      </c>
      <c r="BL17" s="18" t="s">
        <v>1319</v>
      </c>
      <c r="BM17" s="18">
        <v>102</v>
      </c>
      <c r="BN17" s="3" t="s">
        <v>1683</v>
      </c>
      <c r="BO17" s="8">
        <v>0</v>
      </c>
      <c r="BQ17" s="18" t="s">
        <v>1387</v>
      </c>
      <c r="BR17" s="18" t="s">
        <v>1410</v>
      </c>
      <c r="BS17" s="3" t="s">
        <v>1445</v>
      </c>
      <c r="BT17" s="8">
        <f>AEGBS!J33</f>
        <v>0</v>
      </c>
      <c r="CG17" s="18" t="s">
        <v>1319</v>
      </c>
      <c r="CH17" s="18">
        <v>202</v>
      </c>
      <c r="CI17" s="3" t="s">
        <v>1335</v>
      </c>
      <c r="CJ17" s="8">
        <v>0</v>
      </c>
      <c r="CQ17" s="18" t="s">
        <v>1446</v>
      </c>
      <c r="CR17" s="3" t="s">
        <v>32</v>
      </c>
      <c r="CS17" s="8">
        <f>SUM(CO27)</f>
        <v>63181825.2</v>
      </c>
      <c r="CV17" s="18">
        <v>504</v>
      </c>
      <c r="CW17" s="3" t="s">
        <v>511</v>
      </c>
      <c r="CX17" s="8">
        <v>0</v>
      </c>
      <c r="DA17" s="18">
        <v>902</v>
      </c>
      <c r="DB17" s="3" t="s">
        <v>512</v>
      </c>
      <c r="DC17" s="8">
        <v>0</v>
      </c>
    </row>
    <row r="18" spans="1:107" ht="15.75">
      <c r="A18" s="34"/>
      <c r="E18" s="34"/>
      <c r="I18" s="3" t="s">
        <v>1353</v>
      </c>
      <c r="J18" s="8">
        <f>TRUNC(Y65)</f>
        <v>-10000</v>
      </c>
      <c r="K18" s="8">
        <f>ROUND((J18*INSTRUCTIONS!$M$20),0)</f>
        <v>-3000</v>
      </c>
      <c r="L18" s="8">
        <f>SUM((J18-K18))</f>
        <v>-7000</v>
      </c>
      <c r="S18" s="369">
        <v>2</v>
      </c>
      <c r="T18" s="96" t="s">
        <v>303</v>
      </c>
      <c r="AA18" s="18" t="s">
        <v>561</v>
      </c>
      <c r="AB18" s="3" t="s">
        <v>32</v>
      </c>
      <c r="AC18" s="8">
        <f>SUM(CO27)</f>
        <v>63181825.2</v>
      </c>
      <c r="AF18" s="18" t="s">
        <v>513</v>
      </c>
      <c r="AG18" s="3" t="s">
        <v>715</v>
      </c>
      <c r="AH18" s="8">
        <f>AEGBS!E173</f>
        <v>1094712.23</v>
      </c>
      <c r="AS18" s="16" t="s">
        <v>1072</v>
      </c>
      <c r="AU18" s="244" t="s">
        <v>198</v>
      </c>
      <c r="AV18" s="370">
        <v>403.1</v>
      </c>
      <c r="AW18" s="371" t="s">
        <v>195</v>
      </c>
      <c r="AX18" s="20">
        <f>EXPENSES!F86</f>
        <v>7409.91</v>
      </c>
      <c r="BE18" s="18" t="s">
        <v>1387</v>
      </c>
      <c r="BF18" s="18" t="s">
        <v>1357</v>
      </c>
      <c r="BG18" s="3" t="s">
        <v>1358</v>
      </c>
      <c r="BL18" s="18" t="s">
        <v>1511</v>
      </c>
      <c r="BM18" s="18">
        <v>103</v>
      </c>
      <c r="BN18" s="3" t="s">
        <v>1300</v>
      </c>
      <c r="BO18" s="8">
        <v>0</v>
      </c>
      <c r="BQ18" s="18" t="s">
        <v>1319</v>
      </c>
      <c r="BR18" s="18">
        <v>135</v>
      </c>
      <c r="BS18" s="3" t="s">
        <v>1417</v>
      </c>
      <c r="BT18" s="8">
        <f>AEGBS!J34</f>
        <v>0</v>
      </c>
      <c r="BV18" s="18">
        <v>32</v>
      </c>
      <c r="BW18" s="18">
        <v>190</v>
      </c>
      <c r="BX18" s="3" t="s">
        <v>971</v>
      </c>
      <c r="BY18" s="8">
        <f>AEGBS!H93</f>
        <v>18673583.78134</v>
      </c>
      <c r="CA18" s="18" t="s">
        <v>1446</v>
      </c>
      <c r="CC18" s="96" t="s">
        <v>972</v>
      </c>
      <c r="CG18" s="18" t="s">
        <v>1511</v>
      </c>
      <c r="CH18" s="18">
        <v>203</v>
      </c>
      <c r="CI18" s="3" t="s">
        <v>316</v>
      </c>
      <c r="CJ18" s="8">
        <v>0</v>
      </c>
      <c r="CL18" s="18">
        <v>29</v>
      </c>
      <c r="CM18" s="18">
        <v>221</v>
      </c>
      <c r="CN18" s="3" t="s">
        <v>317</v>
      </c>
      <c r="CO18" s="8">
        <v>0</v>
      </c>
      <c r="CQ18" s="18" t="s">
        <v>1297</v>
      </c>
      <c r="CR18" s="3" t="s">
        <v>1608</v>
      </c>
      <c r="CS18" s="8">
        <f>SUM(CO34)</f>
        <v>144166601.07</v>
      </c>
      <c r="CV18" s="18">
        <v>505</v>
      </c>
      <c r="CW18" s="3" t="s">
        <v>485</v>
      </c>
      <c r="CX18" s="8">
        <f>EXPENSES!L48</f>
        <v>68362.57</v>
      </c>
      <c r="DA18" s="18">
        <v>903</v>
      </c>
      <c r="DB18" s="3" t="s">
        <v>1356</v>
      </c>
      <c r="DC18" s="8">
        <v>0</v>
      </c>
    </row>
    <row r="19" spans="1:107" ht="15">
      <c r="A19" s="34"/>
      <c r="E19" s="34"/>
      <c r="J19" s="59" t="s">
        <v>1072</v>
      </c>
      <c r="K19" s="59" t="s">
        <v>1072</v>
      </c>
      <c r="L19" s="59" t="s">
        <v>1072</v>
      </c>
      <c r="M19" s="59"/>
      <c r="AA19" s="18" t="s">
        <v>513</v>
      </c>
      <c r="AB19" s="3" t="s">
        <v>256</v>
      </c>
      <c r="AC19" s="8">
        <f>SUM(CO34)</f>
        <v>144166601.07</v>
      </c>
      <c r="AF19" s="18" t="s">
        <v>498</v>
      </c>
      <c r="AG19" s="3" t="s">
        <v>1310</v>
      </c>
      <c r="AH19" s="8">
        <f>AEGBS!E175</f>
        <v>1317444.42</v>
      </c>
      <c r="AJ19" s="18">
        <v>3</v>
      </c>
      <c r="AK19" s="18">
        <v>453</v>
      </c>
      <c r="AL19" s="3" t="s">
        <v>570</v>
      </c>
      <c r="AM19" s="8">
        <v>0</v>
      </c>
      <c r="AP19" s="18" t="s">
        <v>1511</v>
      </c>
      <c r="AR19" s="3" t="s">
        <v>289</v>
      </c>
      <c r="AS19" s="8">
        <f>SUM(AS15:AS17)</f>
        <v>11945001.45</v>
      </c>
      <c r="AU19" s="18">
        <v>2</v>
      </c>
      <c r="AV19" s="18">
        <v>404</v>
      </c>
      <c r="AW19" s="3" t="s">
        <v>1510</v>
      </c>
      <c r="AX19" s="15"/>
      <c r="AZ19" s="18" t="s">
        <v>741</v>
      </c>
      <c r="BA19" s="18" t="s">
        <v>742</v>
      </c>
      <c r="BB19" s="3" t="s">
        <v>743</v>
      </c>
      <c r="BC19" s="8">
        <f>EXPENSES!H19</f>
        <v>17000</v>
      </c>
      <c r="BG19" s="3" t="s">
        <v>1078</v>
      </c>
      <c r="BH19" s="109">
        <f>IF(INSTRUCTIONS!$L$29="ESTIMATE",TXPG12RV!G91,IF(INSTRUCTIONS!$L$29="ACTUAL",TXPG12RV!I91,"SEE NOTE"))</f>
        <v>12000</v>
      </c>
      <c r="BI19" s="8">
        <f>SUM((BH19*INSTRUCTIONS!$M$20))</f>
        <v>3600</v>
      </c>
      <c r="BJ19" s="8">
        <f>SUM((BH19-BI19))</f>
        <v>8400</v>
      </c>
      <c r="BL19" s="18" t="s">
        <v>744</v>
      </c>
      <c r="BM19" s="18">
        <v>103.1</v>
      </c>
      <c r="BN19" s="3" t="s">
        <v>714</v>
      </c>
      <c r="BQ19" s="18" t="s">
        <v>1511</v>
      </c>
      <c r="BR19" s="18">
        <v>143</v>
      </c>
      <c r="BS19" s="3" t="s">
        <v>592</v>
      </c>
      <c r="BT19" s="8">
        <f>AEGBS!J35</f>
        <v>0</v>
      </c>
      <c r="BV19" s="18">
        <v>33</v>
      </c>
      <c r="BW19" s="18">
        <v>281</v>
      </c>
      <c r="BX19" s="3" t="s">
        <v>593</v>
      </c>
      <c r="CG19" s="18" t="s">
        <v>744</v>
      </c>
      <c r="CH19" s="18">
        <v>209</v>
      </c>
      <c r="CI19" s="3" t="s">
        <v>1797</v>
      </c>
      <c r="CL19" s="18">
        <v>30</v>
      </c>
      <c r="CM19" s="18">
        <v>222</v>
      </c>
      <c r="CN19" s="3" t="s">
        <v>1798</v>
      </c>
      <c r="CO19" s="8">
        <v>0</v>
      </c>
      <c r="CQ19" s="18" t="s">
        <v>1141</v>
      </c>
      <c r="CR19" s="3" t="s">
        <v>571</v>
      </c>
      <c r="CS19" s="8">
        <f>SUM(CJ56)</f>
        <v>0</v>
      </c>
      <c r="CV19" s="18">
        <v>506</v>
      </c>
      <c r="CW19" s="3" t="s">
        <v>572</v>
      </c>
      <c r="CX19" s="8">
        <f>EXPENSES!L49</f>
        <v>190887.55</v>
      </c>
      <c r="DA19" s="18">
        <v>904</v>
      </c>
      <c r="DB19" s="3" t="s">
        <v>1077</v>
      </c>
      <c r="DC19" s="8">
        <v>0</v>
      </c>
    </row>
    <row r="20" spans="1:107" ht="15">
      <c r="A20" s="34" t="s">
        <v>481</v>
      </c>
      <c r="E20" s="34" t="s">
        <v>481</v>
      </c>
      <c r="I20" s="3" t="s">
        <v>766</v>
      </c>
      <c r="J20" s="8">
        <f>SUM((J16+J18))</f>
        <v>-45866</v>
      </c>
      <c r="K20" s="8">
        <f>SUM((K16+K18))</f>
        <v>-13760</v>
      </c>
      <c r="L20" s="8">
        <f>SUM((L16+L18))</f>
        <v>-32106</v>
      </c>
      <c r="O20" s="369">
        <v>3</v>
      </c>
      <c r="P20" s="3" t="s">
        <v>672</v>
      </c>
      <c r="Q20" s="8">
        <f aca="true" t="shared" si="0" ref="Q20:Q27">SUM((U21+U40))</f>
        <v>920144378.48</v>
      </c>
      <c r="W20" s="18" t="s">
        <v>561</v>
      </c>
      <c r="X20" s="3" t="s">
        <v>1308</v>
      </c>
      <c r="Y20" s="8">
        <f>SUM(CO27)</f>
        <v>63181825.2</v>
      </c>
      <c r="AA20" s="18" t="s">
        <v>498</v>
      </c>
      <c r="AB20" s="3" t="s">
        <v>459</v>
      </c>
      <c r="AC20" s="8">
        <f>SUM(CO43)</f>
        <v>0</v>
      </c>
      <c r="AF20" s="18" t="s">
        <v>1079</v>
      </c>
      <c r="AG20" s="3" t="s">
        <v>1443</v>
      </c>
      <c r="AH20" s="8">
        <f>AEGBS!E177</f>
        <v>12360428.97</v>
      </c>
      <c r="AS20" s="16" t="s">
        <v>1072</v>
      </c>
      <c r="AW20" s="3" t="s">
        <v>1161</v>
      </c>
      <c r="AX20" s="20">
        <f>EXPENSES!L74</f>
        <v>596560.81</v>
      </c>
      <c r="BC20" s="16" t="s">
        <v>1072</v>
      </c>
      <c r="BH20" s="6"/>
      <c r="BN20" s="3" t="s">
        <v>1032</v>
      </c>
      <c r="BO20" s="8">
        <v>0</v>
      </c>
      <c r="BQ20" s="18" t="s">
        <v>744</v>
      </c>
      <c r="BR20" s="18">
        <v>146</v>
      </c>
      <c r="BS20" s="3" t="s">
        <v>1295</v>
      </c>
      <c r="BT20" s="8">
        <f>AEGBS!J36</f>
        <v>12730506.01</v>
      </c>
      <c r="BX20" s="3" t="s">
        <v>1162</v>
      </c>
      <c r="BY20" s="8">
        <v>0</v>
      </c>
      <c r="CI20" s="3" t="s">
        <v>1127</v>
      </c>
      <c r="CJ20" s="8">
        <v>0</v>
      </c>
      <c r="CL20" s="18">
        <v>31</v>
      </c>
      <c r="CM20" s="18">
        <v>223</v>
      </c>
      <c r="CN20" s="3" t="s">
        <v>1658</v>
      </c>
      <c r="CO20" s="8">
        <v>0</v>
      </c>
      <c r="CQ20" s="18" t="s">
        <v>805</v>
      </c>
      <c r="CR20" s="3" t="s">
        <v>1170</v>
      </c>
      <c r="CS20" s="8">
        <f>SUM(CJ47)</f>
        <v>94290819.51</v>
      </c>
      <c r="CV20" s="18">
        <v>507</v>
      </c>
      <c r="CW20" s="3" t="s">
        <v>1627</v>
      </c>
      <c r="CX20" s="8">
        <f>EXPENSES!L50</f>
        <v>5690253.02</v>
      </c>
      <c r="DA20" s="18">
        <v>905</v>
      </c>
      <c r="DB20" s="3" t="s">
        <v>765</v>
      </c>
      <c r="DC20" s="8">
        <v>0</v>
      </c>
    </row>
    <row r="21" spans="1:102" ht="15">
      <c r="A21" s="34"/>
      <c r="B21" s="34" t="str">
        <f>"ENERGY DELIVERED FOR THE MONTH OF "&amp;INSTRUCTIONS!L7</f>
        <v>ENERGY DELIVERED FOR THE MONTH OF January, 2016</v>
      </c>
      <c r="C21" s="34"/>
      <c r="E21" s="34"/>
      <c r="F21" s="34" t="str">
        <f>B21</f>
        <v>ENERGY DELIVERED FOR THE MONTH OF January, 2016</v>
      </c>
      <c r="G21" s="34"/>
      <c r="O21" s="369">
        <v>4</v>
      </c>
      <c r="P21" s="3" t="s">
        <v>1142</v>
      </c>
      <c r="Q21" s="8">
        <f t="shared" si="0"/>
        <v>622155556.09</v>
      </c>
      <c r="S21" s="369">
        <v>3</v>
      </c>
      <c r="T21" s="3" t="s">
        <v>672</v>
      </c>
      <c r="U21" s="8">
        <f>SUM(BO27)</f>
        <v>190792659.39000002</v>
      </c>
      <c r="W21" s="18" t="s">
        <v>513</v>
      </c>
      <c r="X21" s="3" t="s">
        <v>1806</v>
      </c>
      <c r="Y21" s="8">
        <f>SUM(CO34)</f>
        <v>144166601.07</v>
      </c>
      <c r="AC21" s="16" t="s">
        <v>1072</v>
      </c>
      <c r="AF21" s="18" t="s">
        <v>767</v>
      </c>
      <c r="AG21" s="3" t="s">
        <v>768</v>
      </c>
      <c r="AH21" s="8">
        <v>0</v>
      </c>
      <c r="AJ21" s="18">
        <v>4</v>
      </c>
      <c r="AK21" s="18">
        <v>454</v>
      </c>
      <c r="AL21" s="3" t="s">
        <v>950</v>
      </c>
      <c r="AP21" s="18" t="s">
        <v>744</v>
      </c>
      <c r="AQ21" s="18" t="s">
        <v>769</v>
      </c>
      <c r="AR21" s="3" t="s">
        <v>916</v>
      </c>
      <c r="AS21" s="8">
        <f>SUM(CX41)</f>
        <v>8930.61</v>
      </c>
      <c r="AU21" s="18">
        <v>3</v>
      </c>
      <c r="AV21" s="18">
        <v>405</v>
      </c>
      <c r="AW21" s="3" t="s">
        <v>1444</v>
      </c>
      <c r="AX21" s="20">
        <v>0</v>
      </c>
      <c r="AZ21" s="18" t="s">
        <v>918</v>
      </c>
      <c r="BB21" s="3" t="s">
        <v>482</v>
      </c>
      <c r="BC21" s="8">
        <f>BC17+BC19</f>
        <v>153373.89</v>
      </c>
      <c r="BH21" s="109"/>
      <c r="BI21" s="8"/>
      <c r="BJ21" s="8"/>
      <c r="BL21" s="18" t="s">
        <v>676</v>
      </c>
      <c r="BM21" s="18">
        <v>104</v>
      </c>
      <c r="BN21" s="3" t="s">
        <v>1137</v>
      </c>
      <c r="BO21" s="8">
        <v>0</v>
      </c>
      <c r="BQ21" s="18" t="s">
        <v>676</v>
      </c>
      <c r="BR21" s="18">
        <v>171</v>
      </c>
      <c r="BS21" s="3" t="s">
        <v>1139</v>
      </c>
      <c r="BT21" s="8">
        <f>AEGBS!J37</f>
        <v>0</v>
      </c>
      <c r="BV21" s="18">
        <v>34</v>
      </c>
      <c r="BW21" s="18">
        <v>282</v>
      </c>
      <c r="BX21" s="3" t="s">
        <v>593</v>
      </c>
      <c r="CA21" s="18" t="s">
        <v>1297</v>
      </c>
      <c r="CB21" s="18">
        <v>151</v>
      </c>
      <c r="CC21" s="3" t="s">
        <v>1140</v>
      </c>
      <c r="CD21" s="8">
        <v>0</v>
      </c>
      <c r="CG21" s="18" t="s">
        <v>676</v>
      </c>
      <c r="CH21" s="18">
        <v>210</v>
      </c>
      <c r="CI21" s="3" t="s">
        <v>1804</v>
      </c>
      <c r="CL21" s="18">
        <v>32</v>
      </c>
      <c r="CM21" s="18">
        <v>224</v>
      </c>
      <c r="CN21" s="3" t="s">
        <v>1805</v>
      </c>
      <c r="CO21" s="8">
        <f>AEGBS!D159</f>
        <v>63181825.2</v>
      </c>
      <c r="CQ21" s="18" t="s">
        <v>1671</v>
      </c>
      <c r="CR21" s="3" t="s">
        <v>951</v>
      </c>
      <c r="CS21" s="8">
        <f>SUM(CO43)</f>
        <v>0</v>
      </c>
      <c r="CV21" s="18">
        <v>508</v>
      </c>
      <c r="CW21" s="3" t="s">
        <v>1686</v>
      </c>
      <c r="CX21" s="8">
        <v>0</v>
      </c>
    </row>
    <row r="22" spans="1:107" ht="15">
      <c r="A22" s="34"/>
      <c r="B22" s="34" t="s">
        <v>1762</v>
      </c>
      <c r="C22" s="125">
        <f>(+FUELSCH!D72)*1000</f>
        <v>121438000</v>
      </c>
      <c r="E22" s="34"/>
      <c r="F22" s="34" t="s">
        <v>1762</v>
      </c>
      <c r="G22" s="125">
        <f>(+FUELSCH!D71)*1000</f>
        <v>52045000</v>
      </c>
      <c r="I22" s="3" t="s">
        <v>153</v>
      </c>
      <c r="J22" s="8">
        <f>SUM(K22:L22)</f>
        <v>4714298.83</v>
      </c>
      <c r="K22" s="7">
        <v>1414289.65</v>
      </c>
      <c r="L22" s="7">
        <v>3300009.18</v>
      </c>
      <c r="O22" s="369">
        <v>5</v>
      </c>
      <c r="P22" s="3" t="s">
        <v>1460</v>
      </c>
      <c r="Q22" s="8">
        <f t="shared" si="0"/>
        <v>63832296.24000001</v>
      </c>
      <c r="S22" s="369">
        <v>4</v>
      </c>
      <c r="T22" s="3" t="s">
        <v>1142</v>
      </c>
      <c r="U22" s="8">
        <f>SUM(BO46)</f>
        <v>174803561.05</v>
      </c>
      <c r="W22" s="18" t="s">
        <v>498</v>
      </c>
      <c r="X22" s="3" t="s">
        <v>1626</v>
      </c>
      <c r="Y22" s="8">
        <f>SUM(CJ56)</f>
        <v>0</v>
      </c>
      <c r="AA22" s="18" t="s">
        <v>1079</v>
      </c>
      <c r="AB22" s="3" t="s">
        <v>1625</v>
      </c>
      <c r="AC22" s="8">
        <f>SUM(AC18:AC20)</f>
        <v>207348426.26999998</v>
      </c>
      <c r="AF22" s="18" t="s">
        <v>509</v>
      </c>
      <c r="AG22" s="3" t="s">
        <v>1567</v>
      </c>
      <c r="AH22" s="8">
        <f>AEGBS!E179</f>
        <v>0</v>
      </c>
      <c r="AL22" s="3" t="s">
        <v>690</v>
      </c>
      <c r="AM22" s="8">
        <f>(+EXPENSES!L76)</f>
        <v>0</v>
      </c>
      <c r="AS22" s="16" t="s">
        <v>1072</v>
      </c>
      <c r="AU22" s="18">
        <v>4</v>
      </c>
      <c r="AV22" s="18">
        <v>406</v>
      </c>
      <c r="AW22" s="3" t="s">
        <v>917</v>
      </c>
      <c r="AX22" s="15"/>
      <c r="BB22" s="3" t="s">
        <v>1754</v>
      </c>
      <c r="BC22" s="59" t="s">
        <v>1569</v>
      </c>
      <c r="BH22" s="6"/>
      <c r="BL22" s="18" t="s">
        <v>321</v>
      </c>
      <c r="BM22" s="18">
        <v>106</v>
      </c>
      <c r="BN22" s="3" t="s">
        <v>322</v>
      </c>
      <c r="BO22" s="8">
        <f>+AEGBS!J12</f>
        <v>50657426.06</v>
      </c>
      <c r="BQ22" s="18" t="s">
        <v>321</v>
      </c>
      <c r="BR22" s="18">
        <v>174</v>
      </c>
      <c r="BS22" s="3" t="s">
        <v>1174</v>
      </c>
      <c r="BT22" s="8">
        <v>0</v>
      </c>
      <c r="BX22" s="3" t="s">
        <v>1692</v>
      </c>
      <c r="BY22" s="8">
        <f>IF(AEGBS!H125&gt;0,AEGBS!H125,AEGBS!H125*-1)</f>
        <v>17285474.5181</v>
      </c>
      <c r="CA22" s="18" t="s">
        <v>1141</v>
      </c>
      <c r="CB22" s="18">
        <v>152</v>
      </c>
      <c r="CC22" s="3" t="s">
        <v>330</v>
      </c>
      <c r="CD22" s="8">
        <v>0</v>
      </c>
      <c r="CI22" s="3" t="s">
        <v>278</v>
      </c>
      <c r="CJ22" s="8">
        <v>0</v>
      </c>
      <c r="CL22" s="18">
        <v>33</v>
      </c>
      <c r="CM22" s="18">
        <v>225</v>
      </c>
      <c r="CN22" s="3" t="s">
        <v>1462</v>
      </c>
      <c r="CS22" s="16" t="s">
        <v>1072</v>
      </c>
      <c r="CV22" s="18">
        <v>509</v>
      </c>
      <c r="CW22" s="3" t="s">
        <v>1447</v>
      </c>
      <c r="CX22" s="8">
        <f>EXPENSES!L51</f>
        <v>0</v>
      </c>
      <c r="DB22" s="3" t="s">
        <v>152</v>
      </c>
      <c r="DC22" s="8">
        <f>SUM(DC16:DC20)</f>
        <v>0</v>
      </c>
    </row>
    <row r="23" spans="1:97" ht="15">
      <c r="A23" s="34"/>
      <c r="E23" s="34"/>
      <c r="I23" s="3" t="s">
        <v>887</v>
      </c>
      <c r="J23" s="8">
        <f>SUM(CX37)</f>
        <v>0</v>
      </c>
      <c r="K23" s="8">
        <f>ROUND((J23*INSTRUCTIONS!$M$20),0)</f>
        <v>0</v>
      </c>
      <c r="L23" s="8">
        <f>SUM((J23-K23))</f>
        <v>0</v>
      </c>
      <c r="O23" s="369">
        <v>6</v>
      </c>
      <c r="P23" s="3" t="s">
        <v>1672</v>
      </c>
      <c r="Q23" s="8">
        <f t="shared" si="0"/>
        <v>48400.02</v>
      </c>
      <c r="S23" s="369">
        <v>5</v>
      </c>
      <c r="T23" s="3" t="s">
        <v>1460</v>
      </c>
      <c r="U23" s="8">
        <f>SUM(BO58)</f>
        <v>31815109.620000005</v>
      </c>
      <c r="W23" s="18" t="s">
        <v>1079</v>
      </c>
      <c r="X23" s="3" t="s">
        <v>595</v>
      </c>
      <c r="Y23" s="8">
        <f>SUM(CJ47)</f>
        <v>94290819.51</v>
      </c>
      <c r="AC23" s="59" t="s">
        <v>1569</v>
      </c>
      <c r="AH23" s="59" t="s">
        <v>1072</v>
      </c>
      <c r="AP23" s="18" t="s">
        <v>676</v>
      </c>
      <c r="AQ23" s="18" t="s">
        <v>154</v>
      </c>
      <c r="AR23" s="3" t="s">
        <v>1764</v>
      </c>
      <c r="AS23" s="8">
        <v>0</v>
      </c>
      <c r="AW23" s="3" t="s">
        <v>483</v>
      </c>
      <c r="AX23" s="20">
        <v>0</v>
      </c>
      <c r="BE23" s="18">
        <v>3</v>
      </c>
      <c r="BF23" s="18" t="s">
        <v>1357</v>
      </c>
      <c r="BG23" s="3" t="s">
        <v>886</v>
      </c>
      <c r="BH23" s="6"/>
      <c r="BL23" s="18" t="s">
        <v>574</v>
      </c>
      <c r="BM23" s="18">
        <v>114</v>
      </c>
      <c r="BN23" s="3" t="s">
        <v>1089</v>
      </c>
      <c r="BO23" s="8">
        <v>0</v>
      </c>
      <c r="BQ23" s="18" t="s">
        <v>574</v>
      </c>
      <c r="BR23" s="18">
        <v>232</v>
      </c>
      <c r="BS23" s="3" t="s">
        <v>1732</v>
      </c>
      <c r="BT23" s="8">
        <f>AEGBS!J38</f>
        <v>-75638.54</v>
      </c>
      <c r="BV23" s="18">
        <v>35</v>
      </c>
      <c r="BW23" s="18">
        <v>283</v>
      </c>
      <c r="BX23" s="3" t="s">
        <v>593</v>
      </c>
      <c r="CA23" s="18" t="s">
        <v>805</v>
      </c>
      <c r="CB23" s="18">
        <v>153</v>
      </c>
      <c r="CC23" s="3" t="s">
        <v>1670</v>
      </c>
      <c r="CD23" s="8">
        <v>0</v>
      </c>
      <c r="CG23" s="18" t="s">
        <v>321</v>
      </c>
      <c r="CH23" s="18">
        <v>212</v>
      </c>
      <c r="CI23" s="3" t="s">
        <v>723</v>
      </c>
      <c r="CJ23" s="8">
        <v>0</v>
      </c>
      <c r="CN23" s="3" t="s">
        <v>356</v>
      </c>
      <c r="CO23" s="8">
        <v>0</v>
      </c>
      <c r="CQ23" s="18" t="s">
        <v>1574</v>
      </c>
      <c r="CR23" s="3" t="s">
        <v>710</v>
      </c>
      <c r="CS23" s="8">
        <f>(SUM(CS17:CS20))-CS21</f>
        <v>301639245.78</v>
      </c>
    </row>
    <row r="24" spans="1:107" ht="15.75">
      <c r="A24" s="34"/>
      <c r="B24" s="17" t="s">
        <v>22</v>
      </c>
      <c r="C24" s="17" t="s">
        <v>1054</v>
      </c>
      <c r="E24" s="34"/>
      <c r="F24" s="17" t="s">
        <v>22</v>
      </c>
      <c r="G24" s="17" t="s">
        <v>1054</v>
      </c>
      <c r="I24" s="3" t="s">
        <v>1503</v>
      </c>
      <c r="J24" s="8">
        <f>SUM(AM34)</f>
        <v>-8750</v>
      </c>
      <c r="K24" s="8">
        <f>ROUND((J24*INSTRUCTIONS!$M$20),0)</f>
        <v>-2625</v>
      </c>
      <c r="L24" s="8">
        <f>SUM((J24-K24))</f>
        <v>-6125</v>
      </c>
      <c r="O24" s="369">
        <v>7</v>
      </c>
      <c r="P24" s="3" t="s">
        <v>1575</v>
      </c>
      <c r="Q24" s="8">
        <f t="shared" si="0"/>
        <v>0</v>
      </c>
      <c r="S24" s="369">
        <v>6</v>
      </c>
      <c r="T24" s="3" t="s">
        <v>1672</v>
      </c>
      <c r="U24" s="8">
        <f>SUM(BO60)</f>
        <v>24200.01</v>
      </c>
      <c r="W24" s="18" t="s">
        <v>767</v>
      </c>
      <c r="X24" s="3" t="s">
        <v>1578</v>
      </c>
      <c r="Y24" s="8">
        <f>SUM(CO43)</f>
        <v>0</v>
      </c>
      <c r="AF24" s="18" t="s">
        <v>889</v>
      </c>
      <c r="AG24" s="3" t="s">
        <v>711</v>
      </c>
      <c r="AH24" s="8">
        <f>SUM(AH17:AH22)</f>
        <v>31815109.619999997</v>
      </c>
      <c r="AJ24" s="18">
        <v>5</v>
      </c>
      <c r="AK24" s="15" t="s">
        <v>1729</v>
      </c>
      <c r="AL24" s="3" t="s">
        <v>950</v>
      </c>
      <c r="AP24" s="18" t="s">
        <v>321</v>
      </c>
      <c r="AQ24" s="18" t="s">
        <v>151</v>
      </c>
      <c r="AR24" s="3" t="s">
        <v>1515</v>
      </c>
      <c r="AS24" s="8">
        <v>0</v>
      </c>
      <c r="AU24" s="18">
        <v>5</v>
      </c>
      <c r="AV24" s="18">
        <v>407</v>
      </c>
      <c r="AW24" s="3" t="s">
        <v>573</v>
      </c>
      <c r="AX24" s="15"/>
      <c r="BG24" s="3" t="s">
        <v>1078</v>
      </c>
      <c r="BH24" s="109">
        <f>IF(INSTRUCTIONS!$L$29="ESTIMATE",TXPG12RV!G96+TXPG12RV!G97,IF(INSTRUCTIONS!$L$29="ACTUAL",TXPG12RV!I97+TXPG12RV!I96,"SEE NOTE"))</f>
        <v>-282500</v>
      </c>
      <c r="BI24" s="8">
        <f>SUM((BH24*INSTRUCTIONS!$M$20))</f>
        <v>-84750</v>
      </c>
      <c r="BJ24" s="8">
        <f>SUM((BH24-BI24))</f>
        <v>-197750</v>
      </c>
      <c r="BL24" s="18" t="s">
        <v>1565</v>
      </c>
      <c r="BM24" s="18">
        <v>116</v>
      </c>
      <c r="BN24" s="3" t="s">
        <v>1566</v>
      </c>
      <c r="BO24" s="8">
        <v>0</v>
      </c>
      <c r="BQ24" s="18" t="s">
        <v>1565</v>
      </c>
      <c r="BR24" s="18">
        <v>234</v>
      </c>
      <c r="BS24" s="3" t="s">
        <v>326</v>
      </c>
      <c r="BT24" s="8">
        <f>AEGBS!J39</f>
        <v>-15408655.11</v>
      </c>
      <c r="BX24" s="3" t="s">
        <v>1150</v>
      </c>
      <c r="BY24" s="8">
        <f>IF(AEGBS!H142&gt;0,AEGBS!H142,AEGBS!H142*-1)</f>
        <v>847441.31</v>
      </c>
      <c r="CA24" s="18" t="s">
        <v>1671</v>
      </c>
      <c r="CB24" s="18">
        <v>154</v>
      </c>
      <c r="CC24" s="3" t="s">
        <v>1799</v>
      </c>
      <c r="CD24" s="8">
        <v>0</v>
      </c>
      <c r="CG24" s="18" t="s">
        <v>574</v>
      </c>
      <c r="CH24" s="18">
        <v>214</v>
      </c>
      <c r="CI24" s="3" t="s">
        <v>1576</v>
      </c>
      <c r="CJ24" s="8">
        <v>0</v>
      </c>
      <c r="CL24" s="18">
        <v>34</v>
      </c>
      <c r="CM24" s="18">
        <v>226</v>
      </c>
      <c r="CN24" s="3" t="s">
        <v>1577</v>
      </c>
      <c r="CS24" s="59" t="s">
        <v>1569</v>
      </c>
      <c r="CW24" s="18" t="s">
        <v>1792</v>
      </c>
      <c r="CX24" s="8">
        <f>SUM(CX13:CX22)</f>
        <v>11376180.530000001</v>
      </c>
      <c r="DA24" s="18">
        <v>906</v>
      </c>
      <c r="DB24" s="3" t="s">
        <v>601</v>
      </c>
      <c r="DC24" s="8">
        <v>0</v>
      </c>
    </row>
    <row r="25" spans="1:107" ht="15">
      <c r="A25" s="34"/>
      <c r="E25" s="34"/>
      <c r="I25" s="3" t="s">
        <v>905</v>
      </c>
      <c r="J25" s="8">
        <f>SUM(((AS48-AS16)-CX37))</f>
        <v>7864898.879999999</v>
      </c>
      <c r="K25" s="8">
        <f>ROUND((J25*INSTRUCTIONS!$M$20),0)</f>
        <v>2359470</v>
      </c>
      <c r="L25" s="8">
        <f>SUM((J25-K25))</f>
        <v>5505428.879999999</v>
      </c>
      <c r="O25" s="369">
        <v>8</v>
      </c>
      <c r="P25" s="3" t="s">
        <v>755</v>
      </c>
      <c r="Q25" s="8">
        <f t="shared" si="0"/>
        <v>0</v>
      </c>
      <c r="S25" s="369">
        <v>7</v>
      </c>
      <c r="T25" s="3" t="s">
        <v>1575</v>
      </c>
      <c r="U25" s="8">
        <f>SUM(BO29)</f>
        <v>0</v>
      </c>
      <c r="Y25" s="16" t="s">
        <v>1072</v>
      </c>
      <c r="AA25" s="18" t="s">
        <v>767</v>
      </c>
      <c r="AB25" s="96" t="s">
        <v>758</v>
      </c>
      <c r="AH25" s="59" t="s">
        <v>1569</v>
      </c>
      <c r="AL25" s="3" t="s">
        <v>1262</v>
      </c>
      <c r="AM25" s="8">
        <f>-(+EXPENSES!H25)</f>
        <v>0</v>
      </c>
      <c r="AS25" s="16" t="s">
        <v>1072</v>
      </c>
      <c r="AW25" s="3" t="s">
        <v>1149</v>
      </c>
      <c r="AX25" s="15"/>
      <c r="BH25" s="6"/>
      <c r="BL25" s="18" t="s">
        <v>1422</v>
      </c>
      <c r="BM25" s="18">
        <v>118</v>
      </c>
      <c r="BN25" s="3" t="s">
        <v>1506</v>
      </c>
      <c r="BO25" s="8">
        <v>0</v>
      </c>
      <c r="BQ25" s="18" t="s">
        <v>1505</v>
      </c>
      <c r="BR25" s="18">
        <v>236</v>
      </c>
      <c r="BS25" s="3" t="s">
        <v>1507</v>
      </c>
      <c r="BT25" s="8">
        <f>AEGBS!J40</f>
        <v>3327866.71</v>
      </c>
      <c r="BV25" s="18">
        <v>36</v>
      </c>
      <c r="BX25" s="3" t="s">
        <v>752</v>
      </c>
      <c r="BY25" s="16" t="s">
        <v>1072</v>
      </c>
      <c r="CA25" s="18" t="s">
        <v>1574</v>
      </c>
      <c r="CB25" s="18">
        <v>155</v>
      </c>
      <c r="CC25" s="3" t="s">
        <v>753</v>
      </c>
      <c r="CD25" s="8">
        <v>0</v>
      </c>
      <c r="CG25" s="18" t="s">
        <v>1565</v>
      </c>
      <c r="CH25" s="18">
        <v>217</v>
      </c>
      <c r="CI25" s="3" t="s">
        <v>756</v>
      </c>
      <c r="CJ25" s="8">
        <v>0</v>
      </c>
      <c r="CN25" s="3" t="s">
        <v>1261</v>
      </c>
      <c r="CO25" s="8">
        <f>AEGBS!D162</f>
        <v>0</v>
      </c>
      <c r="DA25" s="18">
        <v>907</v>
      </c>
      <c r="DB25" s="3" t="s">
        <v>1766</v>
      </c>
      <c r="DC25" s="8">
        <v>0</v>
      </c>
    </row>
    <row r="26" spans="1:107" ht="15">
      <c r="A26" s="34" t="s">
        <v>925</v>
      </c>
      <c r="E26" s="34" t="s">
        <v>925</v>
      </c>
      <c r="I26" s="3" t="s">
        <v>970</v>
      </c>
      <c r="J26" s="8">
        <f>SUM(AX34)</f>
        <v>1202694.685</v>
      </c>
      <c r="K26" s="8">
        <f>ROUND((J26*INSTRUCTIONS!$M$20),0)</f>
        <v>360808</v>
      </c>
      <c r="L26" s="8">
        <f>SUM((J26-K26))</f>
        <v>841886.685</v>
      </c>
      <c r="O26" s="369">
        <v>9</v>
      </c>
      <c r="P26" s="3" t="s">
        <v>717</v>
      </c>
      <c r="Q26" s="8">
        <f t="shared" si="0"/>
        <v>-8019712.929999997</v>
      </c>
      <c r="S26" s="369">
        <v>8</v>
      </c>
      <c r="T26" s="3" t="s">
        <v>755</v>
      </c>
      <c r="U26" s="8">
        <f>SUM(BO62)</f>
        <v>0</v>
      </c>
      <c r="W26" s="18" t="s">
        <v>509</v>
      </c>
      <c r="X26" s="3" t="s">
        <v>1482</v>
      </c>
      <c r="Y26" s="8">
        <f>SUM(((((Y20+Y21)+Y22)+Y23)-Y24))</f>
        <v>301639245.78</v>
      </c>
      <c r="AF26" s="18" t="s">
        <v>1513</v>
      </c>
      <c r="AG26" s="96" t="s">
        <v>1194</v>
      </c>
      <c r="AP26" s="18" t="s">
        <v>574</v>
      </c>
      <c r="AR26" s="3" t="s">
        <v>1263</v>
      </c>
      <c r="AS26" s="8">
        <f>SUM((AS23+AS24))</f>
        <v>0</v>
      </c>
      <c r="AW26" s="3" t="s">
        <v>1055</v>
      </c>
      <c r="AX26" s="20">
        <v>0</v>
      </c>
      <c r="BE26" s="18">
        <v>4</v>
      </c>
      <c r="BF26" s="18" t="s">
        <v>1357</v>
      </c>
      <c r="BG26" s="3" t="s">
        <v>186</v>
      </c>
      <c r="BH26" s="109">
        <f>IF(INSTRUCTIONS!$L$29="ESTIMATE",TXPG12RV!G118,IF(INSTRUCTIONS!$L$29="ACTUAL",TXPG12RV!I118,"SEE NOTE"))</f>
        <v>-126726.60999999999</v>
      </c>
      <c r="BI26" s="8">
        <f>SUM((BH26*INSTRUCTIONS!$M$20))</f>
        <v>-38017.98299999999</v>
      </c>
      <c r="BJ26" s="8">
        <f>SUM((BH26-BI26))</f>
        <v>-88708.627</v>
      </c>
      <c r="BO26" s="16" t="s">
        <v>1072</v>
      </c>
      <c r="BQ26" s="18" t="s">
        <v>731</v>
      </c>
      <c r="BR26" s="18">
        <v>237</v>
      </c>
      <c r="BS26" s="3" t="s">
        <v>1650</v>
      </c>
      <c r="BT26" s="8">
        <f>AEGBS!J41</f>
        <v>-320067.22</v>
      </c>
      <c r="BX26" s="3" t="s">
        <v>185</v>
      </c>
      <c r="BY26" s="8">
        <f>SUM(((((-BY18)+BY20)+BY22)+BY24))</f>
        <v>-540667.9532399983</v>
      </c>
      <c r="CA26" s="18" t="s">
        <v>754</v>
      </c>
      <c r="CB26" s="18">
        <v>156</v>
      </c>
      <c r="CC26" s="3" t="s">
        <v>1463</v>
      </c>
      <c r="CD26" s="8">
        <v>0</v>
      </c>
      <c r="CJ26" s="16" t="s">
        <v>1072</v>
      </c>
      <c r="CO26" s="16" t="s">
        <v>1072</v>
      </c>
      <c r="CQ26" s="18" t="s">
        <v>754</v>
      </c>
      <c r="CR26" s="96" t="s">
        <v>637</v>
      </c>
      <c r="DA26" s="18">
        <v>908</v>
      </c>
      <c r="DB26" s="3" t="s">
        <v>638</v>
      </c>
      <c r="DC26" s="8">
        <v>0</v>
      </c>
    </row>
    <row r="27" spans="1:106" ht="15">
      <c r="A27" s="34"/>
      <c r="E27" s="34"/>
      <c r="I27" s="3" t="s">
        <v>940</v>
      </c>
      <c r="J27" s="8">
        <f>SUM(BC21)</f>
        <v>153373.89</v>
      </c>
      <c r="K27" s="8">
        <f>ROUND((J27*INSTRUCTIONS!$M$20),0)</f>
        <v>46012</v>
      </c>
      <c r="L27" s="8">
        <f>SUM((J27-K27))</f>
        <v>107361.89000000001</v>
      </c>
      <c r="O27" s="369">
        <v>10</v>
      </c>
      <c r="P27" s="3" t="s">
        <v>205</v>
      </c>
      <c r="Q27" s="8">
        <f t="shared" si="0"/>
        <v>78972.02</v>
      </c>
      <c r="S27" s="369">
        <v>9</v>
      </c>
      <c r="T27" s="3" t="s">
        <v>1421</v>
      </c>
      <c r="U27" s="8">
        <f>SUM(BT31)</f>
        <v>-5082992.539999998</v>
      </c>
      <c r="Y27" s="16" t="s">
        <v>1569</v>
      </c>
      <c r="AJ27" s="18">
        <v>6</v>
      </c>
      <c r="AK27" s="18" t="s">
        <v>1814</v>
      </c>
      <c r="AL27" s="3" t="s">
        <v>1473</v>
      </c>
      <c r="AM27" s="8">
        <v>0</v>
      </c>
      <c r="AS27" s="16" t="s">
        <v>1072</v>
      </c>
      <c r="AX27" s="20" t="s">
        <v>730</v>
      </c>
      <c r="BH27" s="372" t="s">
        <v>1072</v>
      </c>
      <c r="BI27" s="59" t="s">
        <v>1072</v>
      </c>
      <c r="BJ27" s="59" t="s">
        <v>1072</v>
      </c>
      <c r="BL27" s="18" t="s">
        <v>731</v>
      </c>
      <c r="BN27" s="3" t="s">
        <v>868</v>
      </c>
      <c r="BO27" s="8">
        <f>BO16+BO17+BO18+BO20+BO21+BO22+BO23+BO24+BO25</f>
        <v>190792659.39000002</v>
      </c>
      <c r="BQ27" s="18" t="s">
        <v>943</v>
      </c>
      <c r="BR27" s="18">
        <v>238</v>
      </c>
      <c r="BS27" s="3" t="s">
        <v>1894</v>
      </c>
      <c r="BT27" s="8">
        <f>AEGBS!J42</f>
        <v>0</v>
      </c>
      <c r="BY27" s="16" t="s">
        <v>1072</v>
      </c>
      <c r="CA27" s="18" t="s">
        <v>1419</v>
      </c>
      <c r="CB27" s="18">
        <v>163</v>
      </c>
      <c r="CC27" s="3" t="s">
        <v>1895</v>
      </c>
      <c r="CD27" s="8">
        <v>0</v>
      </c>
      <c r="CG27" s="18" t="s">
        <v>1422</v>
      </c>
      <c r="CI27" s="3" t="s">
        <v>1325</v>
      </c>
      <c r="CJ27" s="8">
        <f>CJ16+CJ17+CJ18+CJ20+CJ22+CJ23+CJ24+CJ25</f>
        <v>383000</v>
      </c>
      <c r="CL27" s="18">
        <v>35</v>
      </c>
      <c r="CN27" s="3" t="s">
        <v>1813</v>
      </c>
      <c r="CO27" s="8">
        <f>CO18+CO19+CO20+CO21+CO23+CO25</f>
        <v>63181825.2</v>
      </c>
      <c r="CV27" s="18">
        <v>510</v>
      </c>
      <c r="CW27" s="3" t="s">
        <v>1474</v>
      </c>
      <c r="CX27" s="8">
        <f>EXPENSES!L55</f>
        <v>77804.03</v>
      </c>
      <c r="DA27" s="18">
        <v>909</v>
      </c>
      <c r="DB27" s="3" t="s">
        <v>939</v>
      </c>
    </row>
    <row r="28" spans="1:107" ht="15.75">
      <c r="A28" s="34"/>
      <c r="B28" s="3" t="s">
        <v>560</v>
      </c>
      <c r="C28" s="8">
        <f>SUM(L16)</f>
        <v>-25106</v>
      </c>
      <c r="E28" s="34"/>
      <c r="F28" s="3" t="s">
        <v>560</v>
      </c>
      <c r="G28" s="8">
        <f>SUM(K16)</f>
        <v>-10760</v>
      </c>
      <c r="I28" s="3" t="s">
        <v>41</v>
      </c>
      <c r="J28" s="8">
        <f>SUM(J44)</f>
        <v>-176279</v>
      </c>
      <c r="K28" s="8">
        <f>SUM(K44)</f>
        <v>-52883</v>
      </c>
      <c r="L28" s="8">
        <f>SUM(L44)</f>
        <v>-123395</v>
      </c>
      <c r="O28" s="18">
        <v>11</v>
      </c>
      <c r="P28" s="371" t="s">
        <v>200</v>
      </c>
      <c r="Q28" s="8">
        <f>U29+U48</f>
        <v>2675832.13</v>
      </c>
      <c r="S28" s="369">
        <v>10</v>
      </c>
      <c r="T28" s="3" t="s">
        <v>205</v>
      </c>
      <c r="U28" s="8">
        <f>SUM(BT37)</f>
        <v>39486.01</v>
      </c>
      <c r="AA28" s="18" t="s">
        <v>509</v>
      </c>
      <c r="AB28" s="3" t="s">
        <v>606</v>
      </c>
      <c r="AC28" s="155">
        <f>SUM(((AC32-AC29)-AC30))</f>
        <v>0.304713</v>
      </c>
      <c r="AF28" s="18" t="s">
        <v>724</v>
      </c>
      <c r="AG28" s="3" t="s">
        <v>732</v>
      </c>
      <c r="AH28" s="8">
        <f>AEGBS!D188/2</f>
        <v>22036061.580000002</v>
      </c>
      <c r="AP28" s="18" t="s">
        <v>1565</v>
      </c>
      <c r="AQ28" s="18" t="s">
        <v>733</v>
      </c>
      <c r="AR28" s="3" t="s">
        <v>734</v>
      </c>
      <c r="AS28" s="8">
        <v>0</v>
      </c>
      <c r="AX28" s="15"/>
      <c r="BE28" s="18">
        <v>5</v>
      </c>
      <c r="BF28" s="18" t="s">
        <v>631</v>
      </c>
      <c r="BG28" s="3" t="s">
        <v>1848</v>
      </c>
      <c r="BH28" s="8">
        <f>BH19+BH21+BH24+BH26</f>
        <v>-397226.61</v>
      </c>
      <c r="BI28" s="8">
        <f>BI19+BI21+BI24+BI26</f>
        <v>-119167.983</v>
      </c>
      <c r="BJ28" s="8">
        <f>BJ19+BJ21+BJ24+BJ26</f>
        <v>-278058.627</v>
      </c>
      <c r="BO28" s="16" t="s">
        <v>1072</v>
      </c>
      <c r="BQ28" s="18" t="s">
        <v>6</v>
      </c>
      <c r="BR28" s="18">
        <v>241</v>
      </c>
      <c r="BS28" s="3" t="s">
        <v>1810</v>
      </c>
      <c r="BT28" s="8">
        <f>AEGBS!J43</f>
        <v>0</v>
      </c>
      <c r="BV28" s="18">
        <v>37</v>
      </c>
      <c r="BW28" s="18">
        <v>255</v>
      </c>
      <c r="BX28" s="3" t="s">
        <v>795</v>
      </c>
      <c r="CA28" s="18">
        <v>10</v>
      </c>
      <c r="CC28" s="3" t="s">
        <v>1847</v>
      </c>
      <c r="CD28" s="16" t="s">
        <v>1072</v>
      </c>
      <c r="CJ28" s="16" t="s">
        <v>1072</v>
      </c>
      <c r="CO28" s="16" t="s">
        <v>1072</v>
      </c>
      <c r="CQ28" s="18" t="s">
        <v>1419</v>
      </c>
      <c r="CR28" s="3" t="s">
        <v>1877</v>
      </c>
      <c r="CS28" s="155">
        <f>ROUND((CS17/CS23),6)</f>
        <v>0.209462</v>
      </c>
      <c r="CV28" s="18">
        <v>511</v>
      </c>
      <c r="CW28" s="3" t="s">
        <v>991</v>
      </c>
      <c r="CX28" s="8">
        <f>EXPENSES!L56</f>
        <v>17866.04</v>
      </c>
      <c r="DB28" s="3" t="s">
        <v>610</v>
      </c>
      <c r="DC28" s="8">
        <v>0</v>
      </c>
    </row>
    <row r="29" spans="1:106" ht="15.75">
      <c r="A29" s="34"/>
      <c r="E29" s="34"/>
      <c r="J29" s="59" t="s">
        <v>1072</v>
      </c>
      <c r="K29" s="59" t="s">
        <v>1072</v>
      </c>
      <c r="L29" s="59" t="s">
        <v>1072</v>
      </c>
      <c r="M29" s="59" t="s">
        <v>1072</v>
      </c>
      <c r="O29" s="18">
        <v>12</v>
      </c>
      <c r="P29" s="371" t="s">
        <v>199</v>
      </c>
      <c r="Q29" s="8">
        <f>U30+U49</f>
        <v>7921485.52</v>
      </c>
      <c r="S29" s="18">
        <v>11</v>
      </c>
      <c r="T29" s="26" t="s">
        <v>200</v>
      </c>
      <c r="U29" s="8">
        <f>AEGBS!F195</f>
        <v>1337916.065</v>
      </c>
      <c r="W29" s="18" t="s">
        <v>889</v>
      </c>
      <c r="X29" s="3" t="s">
        <v>1592</v>
      </c>
      <c r="Y29" s="8">
        <f>TRUNC(((Y26*0.4)+0.5))</f>
        <v>120655698</v>
      </c>
      <c r="AA29" s="18" t="s">
        <v>889</v>
      </c>
      <c r="AB29" s="3" t="s">
        <v>393</v>
      </c>
      <c r="AC29" s="155">
        <f>ROUND((AC19/AC22),6)</f>
        <v>0.695287</v>
      </c>
      <c r="AF29" s="18" t="s">
        <v>42</v>
      </c>
      <c r="AG29" s="159" t="s">
        <v>923</v>
      </c>
      <c r="AH29" s="8">
        <f>IF((AH28&lt;AH45),(IF(((AH45-AH28)&gt;(ROUND(((AH54+AH55)/((CS59/CX59)*CX58)),0))),0,(ROUND(((AH54+AH55)/((CS59/CX59)*CX58)),0)))),0)</f>
        <v>0</v>
      </c>
      <c r="AJ29" s="18">
        <v>7</v>
      </c>
      <c r="AK29" s="18" t="s">
        <v>1860</v>
      </c>
      <c r="AL29" s="3" t="s">
        <v>1593</v>
      </c>
      <c r="AM29" s="8">
        <f>+EXPENSES!E26+EXPENSES!H26</f>
        <v>-8750</v>
      </c>
      <c r="AP29" s="18" t="s">
        <v>1505</v>
      </c>
      <c r="AQ29" s="18" t="s">
        <v>924</v>
      </c>
      <c r="AR29" s="3" t="s">
        <v>510</v>
      </c>
      <c r="AS29" s="8">
        <v>0</v>
      </c>
      <c r="AU29" s="18">
        <v>6</v>
      </c>
      <c r="AW29" s="3" t="s">
        <v>5</v>
      </c>
      <c r="AX29" s="20">
        <f>AX17+AX20+AX21+AX23+AX26+AX18</f>
        <v>1182001.55</v>
      </c>
      <c r="BH29" s="372" t="s">
        <v>1569</v>
      </c>
      <c r="BI29" s="59" t="s">
        <v>1569</v>
      </c>
      <c r="BJ29" s="59" t="s">
        <v>1569</v>
      </c>
      <c r="BL29" s="18" t="s">
        <v>943</v>
      </c>
      <c r="BM29" s="18">
        <v>105</v>
      </c>
      <c r="BN29" s="3" t="s">
        <v>122</v>
      </c>
      <c r="BO29" s="8">
        <v>0</v>
      </c>
      <c r="BQ29" s="18" t="s">
        <v>123</v>
      </c>
      <c r="BR29" s="18">
        <v>242</v>
      </c>
      <c r="BS29" s="3" t="s">
        <v>1003</v>
      </c>
      <c r="BT29" s="8">
        <f>AEGBS!J44</f>
        <v>-5337004.39</v>
      </c>
      <c r="BX29" s="3" t="s">
        <v>1858</v>
      </c>
      <c r="BY29" s="8">
        <f>IF(AEGBS!H99&gt;0,AEGBS!H99,AEGBS!H99*-1)</f>
        <v>13625771</v>
      </c>
      <c r="CC29" s="3" t="s">
        <v>1859</v>
      </c>
      <c r="CD29" s="8">
        <f>SUM(CD21:CD27)</f>
        <v>0</v>
      </c>
      <c r="CG29" s="18" t="s">
        <v>1583</v>
      </c>
      <c r="CI29" s="96" t="s">
        <v>843</v>
      </c>
      <c r="CN29" s="96" t="s">
        <v>844</v>
      </c>
      <c r="CQ29" s="18">
        <v>10</v>
      </c>
      <c r="CR29" s="3" t="s">
        <v>1152</v>
      </c>
      <c r="CS29" s="155">
        <f>ROUND((CS18/CS23),6)</f>
        <v>0.477944</v>
      </c>
      <c r="CV29" s="18">
        <v>512</v>
      </c>
      <c r="CW29" s="3" t="s">
        <v>1642</v>
      </c>
      <c r="CX29" s="8">
        <f>EXPENSES!L57</f>
        <v>324607.11</v>
      </c>
      <c r="DA29" s="18">
        <v>910</v>
      </c>
      <c r="DB29" s="3" t="s">
        <v>697</v>
      </c>
    </row>
    <row r="30" spans="1:107" ht="15.75">
      <c r="A30" s="34"/>
      <c r="B30" s="3" t="s">
        <v>1353</v>
      </c>
      <c r="C30" s="8">
        <f>SUM(L18)</f>
        <v>-7000</v>
      </c>
      <c r="E30" s="34"/>
      <c r="F30" s="3" t="s">
        <v>1353</v>
      </c>
      <c r="G30" s="8">
        <f>SUM(K18)</f>
        <v>-3000</v>
      </c>
      <c r="I30" s="3" t="s">
        <v>969</v>
      </c>
      <c r="J30" s="8">
        <f>J20+SUM(J22:J28)</f>
        <v>13704371.285</v>
      </c>
      <c r="K30" s="8">
        <f>K20+SUM(K22:K28)</f>
        <v>4111311.65</v>
      </c>
      <c r="L30" s="8">
        <f>L20+SUM(L22:L28)</f>
        <v>9593060.635</v>
      </c>
      <c r="O30" s="18">
        <v>13</v>
      </c>
      <c r="P30" s="3" t="s">
        <v>990</v>
      </c>
      <c r="Q30" s="8">
        <f>SUM((U31+U50))</f>
        <v>39088244</v>
      </c>
      <c r="S30" s="18">
        <v>12</v>
      </c>
      <c r="T30" s="26" t="s">
        <v>199</v>
      </c>
      <c r="U30" s="8">
        <f>AEGBS!F196</f>
        <v>3960742.76</v>
      </c>
      <c r="AA30" s="18" t="s">
        <v>1513</v>
      </c>
      <c r="AB30" s="3" t="s">
        <v>1659</v>
      </c>
      <c r="AC30" s="155">
        <f>ROUND((AC20/AC22),6)</f>
        <v>0</v>
      </c>
      <c r="AH30" s="59" t="s">
        <v>1072</v>
      </c>
      <c r="AS30" s="16" t="s">
        <v>1072</v>
      </c>
      <c r="AX30" s="20" t="s">
        <v>1569</v>
      </c>
      <c r="BH30" s="6"/>
      <c r="BT30" s="16" t="s">
        <v>1072</v>
      </c>
      <c r="BV30" s="18">
        <v>38</v>
      </c>
      <c r="BW30" s="18" t="s">
        <v>1861</v>
      </c>
      <c r="BX30" s="3" t="s">
        <v>813</v>
      </c>
      <c r="CD30" s="16" t="s">
        <v>1072</v>
      </c>
      <c r="CL30" s="18" t="s">
        <v>1884</v>
      </c>
      <c r="CM30" s="161">
        <v>231.02</v>
      </c>
      <c r="CN30" s="3" t="s">
        <v>493</v>
      </c>
      <c r="CO30" s="8">
        <f>AEGBS!D166</f>
        <v>0</v>
      </c>
      <c r="CQ30" s="18">
        <v>11</v>
      </c>
      <c r="CR30" s="3" t="s">
        <v>571</v>
      </c>
      <c r="CS30" s="155">
        <f>ROUND((CS19/CS23),6)</f>
        <v>0</v>
      </c>
      <c r="CV30" s="18">
        <v>513</v>
      </c>
      <c r="CW30" s="3" t="s">
        <v>1649</v>
      </c>
      <c r="CX30" s="8">
        <f>EXPENSES!L58</f>
        <v>93010.52</v>
      </c>
      <c r="DB30" s="3" t="s">
        <v>99</v>
      </c>
      <c r="DC30" s="8">
        <v>0</v>
      </c>
    </row>
    <row r="31" spans="1:102" ht="15">
      <c r="A31" s="34"/>
      <c r="C31" s="16" t="s">
        <v>1072</v>
      </c>
      <c r="E31" s="34"/>
      <c r="G31" s="16" t="s">
        <v>1072</v>
      </c>
      <c r="J31" s="59" t="s">
        <v>1569</v>
      </c>
      <c r="K31" s="59" t="s">
        <v>1569</v>
      </c>
      <c r="L31" s="59" t="s">
        <v>1569</v>
      </c>
      <c r="M31" s="59" t="s">
        <v>1569</v>
      </c>
      <c r="O31" s="18">
        <v>14</v>
      </c>
      <c r="P31" s="3" t="s">
        <v>1582</v>
      </c>
      <c r="Q31" s="8">
        <f>SUM((U32+U51))</f>
        <v>49304191.68</v>
      </c>
      <c r="S31" s="18">
        <v>13</v>
      </c>
      <c r="T31" s="3" t="s">
        <v>990</v>
      </c>
      <c r="U31" s="8">
        <f>SUM(BT39)</f>
        <v>38856121</v>
      </c>
      <c r="AC31" s="59" t="s">
        <v>1072</v>
      </c>
      <c r="AF31" s="18" t="s">
        <v>643</v>
      </c>
      <c r="AG31" s="3" t="s">
        <v>1826</v>
      </c>
      <c r="AH31" s="8">
        <f>ROUND((AH28+AH29),0)</f>
        <v>22036062</v>
      </c>
      <c r="AJ31" s="18">
        <v>8</v>
      </c>
      <c r="AK31" s="18">
        <v>411.8</v>
      </c>
      <c r="AL31" s="3" t="s">
        <v>773</v>
      </c>
      <c r="AM31" s="8">
        <v>0</v>
      </c>
      <c r="AP31" s="18" t="s">
        <v>731</v>
      </c>
      <c r="AR31" s="3" t="s">
        <v>832</v>
      </c>
      <c r="AS31" s="8">
        <f>SUM((AS28+AS29))</f>
        <v>0</v>
      </c>
      <c r="AX31" s="20"/>
      <c r="BE31" s="18">
        <v>6</v>
      </c>
      <c r="BG31" s="96" t="s">
        <v>268</v>
      </c>
      <c r="BH31" s="6"/>
      <c r="BL31" s="18" t="s">
        <v>6</v>
      </c>
      <c r="BN31" s="96" t="s">
        <v>1827</v>
      </c>
      <c r="BQ31" s="18" t="s">
        <v>1828</v>
      </c>
      <c r="BS31" s="3" t="s">
        <v>986</v>
      </c>
      <c r="BT31" s="8">
        <f>SUM(BT16:BT29)</f>
        <v>-5082992.539999998</v>
      </c>
      <c r="BX31" s="3" t="s">
        <v>399</v>
      </c>
      <c r="BY31" s="8">
        <v>0</v>
      </c>
      <c r="CA31" s="18">
        <v>11</v>
      </c>
      <c r="CC31" s="96" t="s">
        <v>663</v>
      </c>
      <c r="CG31" s="18" t="s">
        <v>1199</v>
      </c>
      <c r="CH31" s="18">
        <v>207</v>
      </c>
      <c r="CI31" s="3" t="s">
        <v>1200</v>
      </c>
      <c r="CJ31" s="8">
        <v>0</v>
      </c>
      <c r="CL31" s="18" t="s">
        <v>1885</v>
      </c>
      <c r="CM31" s="161">
        <v>231.03</v>
      </c>
      <c r="CN31" s="3" t="s">
        <v>1739</v>
      </c>
      <c r="CO31" s="8">
        <v>0</v>
      </c>
      <c r="CQ31" s="18">
        <v>12</v>
      </c>
      <c r="CR31" s="3" t="s">
        <v>1153</v>
      </c>
      <c r="CS31" s="155">
        <f>ROUND((CS20/CS23),6)</f>
        <v>0.312595</v>
      </c>
      <c r="CV31" s="18">
        <v>514</v>
      </c>
      <c r="CW31" s="3" t="s">
        <v>850</v>
      </c>
      <c r="CX31" s="8">
        <f>EXPENSES!L59</f>
        <v>55533.22</v>
      </c>
    </row>
    <row r="32" spans="1:107" ht="15.75">
      <c r="A32" s="34"/>
      <c r="B32" s="3" t="s">
        <v>766</v>
      </c>
      <c r="C32" s="8">
        <f>SUM(L20)</f>
        <v>-32106</v>
      </c>
      <c r="E32" s="34"/>
      <c r="F32" s="3" t="s">
        <v>766</v>
      </c>
      <c r="G32" s="8">
        <f>SUM(K20)</f>
        <v>-13760</v>
      </c>
      <c r="I32" s="96" t="s">
        <v>429</v>
      </c>
      <c r="O32" s="18">
        <v>15</v>
      </c>
      <c r="P32" s="3" t="s">
        <v>814</v>
      </c>
      <c r="Q32" s="8">
        <f>SUM((U33+U52))</f>
        <v>13632137</v>
      </c>
      <c r="S32" s="18">
        <v>14</v>
      </c>
      <c r="T32" s="3" t="s">
        <v>1582</v>
      </c>
      <c r="U32" s="8">
        <f>SUM(BY26)</f>
        <v>-540667.9532399983</v>
      </c>
      <c r="W32" s="18" t="s">
        <v>1513</v>
      </c>
      <c r="X32" s="96" t="s">
        <v>38</v>
      </c>
      <c r="AA32" s="18" t="s">
        <v>724</v>
      </c>
      <c r="AB32" s="3" t="s">
        <v>1740</v>
      </c>
      <c r="AC32" s="155">
        <v>1</v>
      </c>
      <c r="AH32" s="59" t="s">
        <v>1072</v>
      </c>
      <c r="AS32" s="16" t="s">
        <v>1072</v>
      </c>
      <c r="AU32" s="18">
        <v>7</v>
      </c>
      <c r="AV32" s="160">
        <v>411.1</v>
      </c>
      <c r="AW32" s="26" t="s">
        <v>196</v>
      </c>
      <c r="AX32" s="20">
        <f>EXPENSES!F87</f>
        <v>20693.135</v>
      </c>
      <c r="BH32" s="6"/>
      <c r="BT32" s="16" t="s">
        <v>1569</v>
      </c>
      <c r="BV32" s="18">
        <v>39</v>
      </c>
      <c r="BX32" s="3" t="s">
        <v>269</v>
      </c>
      <c r="BY32" s="16" t="s">
        <v>1072</v>
      </c>
      <c r="CG32" s="18" t="s">
        <v>1737</v>
      </c>
      <c r="CH32" s="18">
        <v>208</v>
      </c>
      <c r="CI32" s="3" t="s">
        <v>1738</v>
      </c>
      <c r="CJ32" s="8">
        <f>AEGBS!D155</f>
        <v>92228987.11</v>
      </c>
      <c r="CL32" s="18" t="s">
        <v>1311</v>
      </c>
      <c r="CM32" s="161">
        <v>233</v>
      </c>
      <c r="CN32" s="3" t="s">
        <v>1299</v>
      </c>
      <c r="CO32" s="8">
        <f>AEGBS!D170</f>
        <v>144166601.07</v>
      </c>
      <c r="CQ32" s="18">
        <v>13</v>
      </c>
      <c r="CR32" s="3" t="s">
        <v>951</v>
      </c>
      <c r="CS32" s="155">
        <f>(SUM(CS28:CS31))-1</f>
        <v>9.999999999177334E-07</v>
      </c>
      <c r="CV32" s="18">
        <v>515</v>
      </c>
      <c r="CW32" s="3" t="s">
        <v>1829</v>
      </c>
      <c r="CX32" s="8">
        <f>EXPENSES!L60</f>
        <v>0</v>
      </c>
      <c r="DB32" s="3" t="s">
        <v>428</v>
      </c>
      <c r="DC32" s="8">
        <f>DC24+DC25+DC26+DC28+DC30</f>
        <v>0</v>
      </c>
    </row>
    <row r="33" spans="1:97" ht="15">
      <c r="A33" s="34"/>
      <c r="E33" s="34"/>
      <c r="Q33" s="16" t="s">
        <v>1072</v>
      </c>
      <c r="S33" s="18">
        <v>15</v>
      </c>
      <c r="T33" s="3" t="s">
        <v>814</v>
      </c>
      <c r="U33" s="8">
        <f>SUM(BY33)</f>
        <v>13625771</v>
      </c>
      <c r="AC33" s="59" t="s">
        <v>1569</v>
      </c>
      <c r="AJ33" s="18" t="s">
        <v>1554</v>
      </c>
      <c r="AM33" s="16" t="s">
        <v>1072</v>
      </c>
      <c r="AP33" s="18" t="s">
        <v>943</v>
      </c>
      <c r="AQ33" s="18" t="s">
        <v>430</v>
      </c>
      <c r="AR33" s="3" t="s">
        <v>695</v>
      </c>
      <c r="AS33" s="8">
        <f>SUM(DC22)</f>
        <v>0</v>
      </c>
      <c r="AX33" s="20"/>
      <c r="BH33" s="6"/>
      <c r="BL33" s="18" t="s">
        <v>123</v>
      </c>
      <c r="BM33" s="18">
        <v>108</v>
      </c>
      <c r="BN33" s="3" t="s">
        <v>507</v>
      </c>
      <c r="BX33" s="3" t="s">
        <v>277</v>
      </c>
      <c r="BY33" s="8">
        <f>SUM((BY29-BY31))</f>
        <v>13625771</v>
      </c>
      <c r="CA33" s="18">
        <v>12</v>
      </c>
      <c r="CB33" s="18">
        <v>190</v>
      </c>
      <c r="CC33" s="3" t="s">
        <v>971</v>
      </c>
      <c r="CD33" s="8">
        <v>0</v>
      </c>
      <c r="CG33" s="18" t="s">
        <v>1679</v>
      </c>
      <c r="CH33" s="18">
        <v>211</v>
      </c>
      <c r="CI33" s="3" t="s">
        <v>1680</v>
      </c>
      <c r="CJ33" s="8">
        <v>0</v>
      </c>
      <c r="CO33" s="16" t="s">
        <v>1072</v>
      </c>
      <c r="CS33" s="59" t="s">
        <v>1072</v>
      </c>
    </row>
    <row r="34" spans="1:107" ht="15">
      <c r="A34" s="34"/>
      <c r="B34" s="3" t="s">
        <v>1651</v>
      </c>
      <c r="C34" s="8">
        <f aca="true" t="shared" si="1" ref="C34:C39">SUM(L22)</f>
        <v>3300009.18</v>
      </c>
      <c r="E34" s="34"/>
      <c r="F34" s="3" t="s">
        <v>1651</v>
      </c>
      <c r="G34" s="8">
        <f aca="true" t="shared" si="2" ref="G34:G39">SUM(K22)</f>
        <v>1414289.65</v>
      </c>
      <c r="I34" s="3" t="s">
        <v>647</v>
      </c>
      <c r="J34" s="8">
        <f>SUM(J20)</f>
        <v>-45866</v>
      </c>
      <c r="K34" s="8">
        <f>SUM(K20)</f>
        <v>-13760</v>
      </c>
      <c r="L34" s="8">
        <f>SUM(L20)</f>
        <v>-32106</v>
      </c>
      <c r="O34" s="18">
        <v>16</v>
      </c>
      <c r="P34" s="3" t="s">
        <v>1736</v>
      </c>
      <c r="Q34" s="8">
        <f>SUM(((((((((((Q20-Q21)+Q22)+Q23)+Q24)+Q25)+Q26)+Q27)-Q30)-Q31)-Q32))+Q28-Q29</f>
        <v>246658551.66999993</v>
      </c>
      <c r="U34" s="16" t="s">
        <v>1072</v>
      </c>
      <c r="W34" s="18" t="s">
        <v>724</v>
      </c>
      <c r="X34" s="3" t="s">
        <v>1179</v>
      </c>
      <c r="Y34" s="8">
        <f>IF((Y23&lt;Y29),Y23,Y29)</f>
        <v>94290819.51</v>
      </c>
      <c r="AF34" s="18" t="s">
        <v>39</v>
      </c>
      <c r="AG34" s="96" t="s">
        <v>1681</v>
      </c>
      <c r="AJ34" s="18">
        <v>9</v>
      </c>
      <c r="AL34" s="3" t="s">
        <v>856</v>
      </c>
      <c r="AM34" s="8">
        <f>AM15+AM17+AM19+AM22+AM25+AM27+AM29+AM31</f>
        <v>-8750</v>
      </c>
      <c r="AS34" s="16" t="s">
        <v>1072</v>
      </c>
      <c r="AU34" s="18">
        <v>8</v>
      </c>
      <c r="AW34" s="6" t="s">
        <v>197</v>
      </c>
      <c r="AX34" s="20">
        <f>AX29+AX32</f>
        <v>1202694.685</v>
      </c>
      <c r="BE34" s="18">
        <v>7</v>
      </c>
      <c r="BF34" s="18" t="s">
        <v>1844</v>
      </c>
      <c r="BG34" s="3" t="s">
        <v>646</v>
      </c>
      <c r="BH34" s="6"/>
      <c r="BN34" s="3" t="s">
        <v>651</v>
      </c>
      <c r="BO34" s="8">
        <f>IF(AEGBS!J13&gt;0,AEGBS!J13,AEGBS!J13*-1)</f>
        <v>140704827.83</v>
      </c>
      <c r="BV34" s="18">
        <v>40</v>
      </c>
      <c r="BX34" s="3" t="s">
        <v>1630</v>
      </c>
      <c r="BY34" s="16" t="s">
        <v>1072</v>
      </c>
      <c r="CA34" s="18">
        <v>13</v>
      </c>
      <c r="CB34" s="18">
        <v>281</v>
      </c>
      <c r="CC34" s="3" t="s">
        <v>593</v>
      </c>
      <c r="CG34" s="18" t="s">
        <v>609</v>
      </c>
      <c r="CH34" s="18">
        <v>213</v>
      </c>
      <c r="CI34" s="3" t="s">
        <v>812</v>
      </c>
      <c r="CJ34" s="8">
        <v>0</v>
      </c>
      <c r="CL34" s="18">
        <v>38</v>
      </c>
      <c r="CN34" s="3" t="s">
        <v>1631</v>
      </c>
      <c r="CO34" s="8">
        <f>CO30-CO31+CO32</f>
        <v>144166601.07</v>
      </c>
      <c r="CQ34" s="18">
        <v>14</v>
      </c>
      <c r="CR34" s="3" t="s">
        <v>1436</v>
      </c>
      <c r="CS34" s="155">
        <f>(SUM(CS28:CS31))-CS32</f>
        <v>1</v>
      </c>
      <c r="DA34" s="18">
        <v>911</v>
      </c>
      <c r="DB34" s="3" t="s">
        <v>1766</v>
      </c>
      <c r="DC34" s="8">
        <v>0</v>
      </c>
    </row>
    <row r="35" spans="1:107" ht="15">
      <c r="A35" s="34"/>
      <c r="B35" s="3" t="s">
        <v>839</v>
      </c>
      <c r="C35" s="8">
        <f t="shared" si="1"/>
        <v>0</v>
      </c>
      <c r="E35" s="34"/>
      <c r="F35" s="3" t="s">
        <v>839</v>
      </c>
      <c r="G35" s="8">
        <f t="shared" si="2"/>
        <v>0</v>
      </c>
      <c r="I35" s="3" t="s">
        <v>557</v>
      </c>
      <c r="J35" s="8">
        <f>SUM(BH28)</f>
        <v>-397226.61</v>
      </c>
      <c r="K35" s="8">
        <f>SUM(BI28)</f>
        <v>-119167.983</v>
      </c>
      <c r="L35" s="8">
        <f>SUM(BJ28)</f>
        <v>-278058.627</v>
      </c>
      <c r="Q35" s="16" t="s">
        <v>1072</v>
      </c>
      <c r="S35" s="18">
        <v>16</v>
      </c>
      <c r="T35" s="3" t="s">
        <v>1186</v>
      </c>
      <c r="U35" s="8">
        <f>SUM(((((((((((U21-U22)+U23)+U24)+U25)+U26)+U27)+U28)-U31)-U32)-U33))+U29-U30</f>
        <v>-11779149.301759997</v>
      </c>
      <c r="W35" s="18" t="s">
        <v>42</v>
      </c>
      <c r="X35" s="3" t="s">
        <v>721</v>
      </c>
      <c r="Y35" s="162">
        <v>0.0101333</v>
      </c>
      <c r="AA35" s="18" t="s">
        <v>42</v>
      </c>
      <c r="AB35" s="96" t="s">
        <v>1322</v>
      </c>
      <c r="AM35" s="16" t="s">
        <v>1569</v>
      </c>
      <c r="AP35" s="18" t="s">
        <v>6</v>
      </c>
      <c r="AQ35" s="18" t="s">
        <v>648</v>
      </c>
      <c r="AR35" s="3" t="s">
        <v>649</v>
      </c>
      <c r="AX35" s="15"/>
      <c r="BG35" s="3" t="s">
        <v>10</v>
      </c>
      <c r="BH35" s="109">
        <f>IF(INSTRUCTIONS!$L$29="ESTIMATE",TXPG12RV!G124,IF(INSTRUCTIONS!$L$29="ACTUAL",TXPG12RV!I124,"SEE NOTE"))</f>
        <v>-47754</v>
      </c>
      <c r="BI35" s="8">
        <f>SUM((BH35*INSTRUCTIONS!$M$20))</f>
        <v>-14326.199999999999</v>
      </c>
      <c r="BJ35" s="8">
        <f>SUM((BH35-BI35))</f>
        <v>-33427.8</v>
      </c>
      <c r="BL35" s="18" t="s">
        <v>1828</v>
      </c>
      <c r="BM35" s="18">
        <v>110</v>
      </c>
      <c r="BN35" s="3" t="s">
        <v>507</v>
      </c>
      <c r="BX35" s="3" t="s">
        <v>665</v>
      </c>
      <c r="BY35" s="8">
        <f>SUM(((((((((((BO27+BO29)-BO46)+BO58)+BO60)+BO62)+BT31)+BT37)-BT39)-BY26)-BY33))</f>
        <v>-9156322.606759997</v>
      </c>
      <c r="CC35" s="3" t="s">
        <v>1162</v>
      </c>
      <c r="CD35" s="8">
        <v>0</v>
      </c>
      <c r="CJ35" s="16" t="s">
        <v>1072</v>
      </c>
      <c r="CO35" s="16" t="s">
        <v>1072</v>
      </c>
      <c r="CS35" s="59" t="s">
        <v>1569</v>
      </c>
      <c r="CW35" s="18" t="s">
        <v>1778</v>
      </c>
      <c r="CX35" s="8">
        <f>SUM(CX27:CX32)</f>
        <v>568820.92</v>
      </c>
      <c r="DA35" s="18">
        <v>912</v>
      </c>
      <c r="DB35" s="3" t="s">
        <v>302</v>
      </c>
      <c r="DC35" s="8">
        <v>0</v>
      </c>
    </row>
    <row r="36" spans="1:107" ht="15.75">
      <c r="A36" s="34"/>
      <c r="B36" s="3" t="s">
        <v>840</v>
      </c>
      <c r="C36" s="8">
        <f t="shared" si="1"/>
        <v>-6125</v>
      </c>
      <c r="E36" s="34"/>
      <c r="F36" s="3" t="s">
        <v>840</v>
      </c>
      <c r="G36" s="8">
        <f t="shared" si="2"/>
        <v>-2625</v>
      </c>
      <c r="I36" s="3" t="s">
        <v>1329</v>
      </c>
      <c r="J36" s="8">
        <f>SUM(BH55)</f>
        <v>37000.56000000001</v>
      </c>
      <c r="K36" s="8">
        <f>SUM(BI55)</f>
        <v>11100.168000000001</v>
      </c>
      <c r="L36" s="8">
        <f>SUM(BJ55)</f>
        <v>25900.392000000007</v>
      </c>
      <c r="O36" s="18">
        <v>17</v>
      </c>
      <c r="P36" s="96" t="s">
        <v>608</v>
      </c>
      <c r="U36" s="16" t="s">
        <v>1072</v>
      </c>
      <c r="W36" s="18" t="s">
        <v>643</v>
      </c>
      <c r="X36" s="3" t="s">
        <v>168</v>
      </c>
      <c r="Y36" s="8">
        <f>ROUND((Y34*Y35),0)</f>
        <v>955477</v>
      </c>
      <c r="AF36" s="18" t="s">
        <v>1842</v>
      </c>
      <c r="AG36" s="3" t="s">
        <v>666</v>
      </c>
      <c r="AH36" s="8">
        <v>1831636</v>
      </c>
      <c r="AR36" s="163" t="s">
        <v>1326</v>
      </c>
      <c r="AS36" s="8">
        <f>SUM(DC32)</f>
        <v>0</v>
      </c>
      <c r="AV36" s="34" t="s">
        <v>398</v>
      </c>
      <c r="BH36" s="6" t="s">
        <v>1554</v>
      </c>
      <c r="BN36" s="3" t="s">
        <v>1773</v>
      </c>
      <c r="BO36" s="8">
        <v>0</v>
      </c>
      <c r="BY36" s="16" t="s">
        <v>1569</v>
      </c>
      <c r="CA36" s="18">
        <v>14</v>
      </c>
      <c r="CB36" s="18">
        <v>282</v>
      </c>
      <c r="CC36" s="3" t="s">
        <v>593</v>
      </c>
      <c r="CG36" s="18" t="s">
        <v>1075</v>
      </c>
      <c r="CI36" s="3" t="s">
        <v>1328</v>
      </c>
      <c r="CJ36" s="8">
        <f>SUM(CJ31:CJ34)</f>
        <v>92228987.11</v>
      </c>
      <c r="CL36" s="18">
        <v>39</v>
      </c>
      <c r="CN36" s="96" t="s">
        <v>167</v>
      </c>
      <c r="CQ36" s="18">
        <v>15</v>
      </c>
      <c r="CR36" s="96" t="s">
        <v>985</v>
      </c>
      <c r="DA36" s="18">
        <v>913</v>
      </c>
      <c r="DB36" s="3" t="s">
        <v>212</v>
      </c>
      <c r="DC36" s="8">
        <v>0</v>
      </c>
    </row>
    <row r="37" spans="1:107" ht="15.75">
      <c r="A37" s="34"/>
      <c r="B37" s="3" t="s">
        <v>781</v>
      </c>
      <c r="C37" s="8">
        <f t="shared" si="1"/>
        <v>5505428.879999999</v>
      </c>
      <c r="E37" s="34"/>
      <c r="F37" s="3" t="s">
        <v>781</v>
      </c>
      <c r="G37" s="8">
        <f t="shared" si="2"/>
        <v>2359470</v>
      </c>
      <c r="I37" s="3" t="s">
        <v>569</v>
      </c>
      <c r="J37" s="8">
        <f>ROUND((Y46+((Y58*Y62)*Y63)),0)</f>
        <v>-10000</v>
      </c>
      <c r="K37" s="8">
        <f>ROUND((J37*INSTRUCTIONS!$M$20),0)</f>
        <v>-3000</v>
      </c>
      <c r="L37" s="8">
        <f>SUM((J37-K37))</f>
        <v>-7000</v>
      </c>
      <c r="M37" s="8"/>
      <c r="S37" s="18">
        <v>17</v>
      </c>
      <c r="T37" s="96" t="s">
        <v>1514</v>
      </c>
      <c r="W37" s="18" t="s">
        <v>39</v>
      </c>
      <c r="X37" s="3" t="s">
        <v>703</v>
      </c>
      <c r="Y37" s="155">
        <f>SUM(Q58)</f>
        <v>0.785294</v>
      </c>
      <c r="AF37" s="18" t="s">
        <v>899</v>
      </c>
      <c r="AG37" s="3" t="s">
        <v>662</v>
      </c>
      <c r="AH37" s="163">
        <v>7144.41</v>
      </c>
      <c r="AS37" s="16" t="s">
        <v>1072</v>
      </c>
      <c r="AV37" s="34"/>
      <c r="BH37" s="6"/>
      <c r="BL37" s="18" t="s">
        <v>848</v>
      </c>
      <c r="BM37" s="18">
        <v>111</v>
      </c>
      <c r="BN37" s="3" t="s">
        <v>522</v>
      </c>
      <c r="BQ37" s="18" t="s">
        <v>848</v>
      </c>
      <c r="BR37" s="18">
        <v>181</v>
      </c>
      <c r="BS37" s="3" t="s">
        <v>523</v>
      </c>
      <c r="BT37" s="8">
        <f>IF(AEGBS!J46&gt;0,AEGBS!J46,AEGBS!J46*-1)</f>
        <v>39486.01</v>
      </c>
      <c r="CC37" s="3" t="s">
        <v>1692</v>
      </c>
      <c r="CD37" s="8">
        <v>0</v>
      </c>
      <c r="CJ37" s="16" t="s">
        <v>1072</v>
      </c>
      <c r="CV37" s="18" t="s">
        <v>704</v>
      </c>
      <c r="CW37" s="3" t="s">
        <v>534</v>
      </c>
      <c r="CX37" s="8">
        <f>EXPENSES!L64</f>
        <v>0</v>
      </c>
      <c r="DA37" s="18">
        <v>916</v>
      </c>
      <c r="DB37" s="3" t="s">
        <v>797</v>
      </c>
      <c r="DC37" s="8">
        <v>0</v>
      </c>
    </row>
    <row r="38" spans="1:107" ht="15">
      <c r="A38" s="34"/>
      <c r="B38" s="3" t="s">
        <v>141</v>
      </c>
      <c r="C38" s="8">
        <f t="shared" si="1"/>
        <v>841886.685</v>
      </c>
      <c r="E38" s="34"/>
      <c r="F38" s="3" t="s">
        <v>141</v>
      </c>
      <c r="G38" s="8">
        <f t="shared" si="2"/>
        <v>360808</v>
      </c>
      <c r="J38" s="165" t="s">
        <v>1072</v>
      </c>
      <c r="K38" s="165" t="s">
        <v>1072</v>
      </c>
      <c r="L38" s="165" t="s">
        <v>1072</v>
      </c>
      <c r="M38" s="165" t="s">
        <v>1072</v>
      </c>
      <c r="W38" s="18" t="s">
        <v>1842</v>
      </c>
      <c r="X38" s="3" t="s">
        <v>975</v>
      </c>
      <c r="Y38" s="155">
        <f>ROUND((U35/U56),4)</f>
        <v>-0.0478</v>
      </c>
      <c r="AA38" s="18" t="s">
        <v>643</v>
      </c>
      <c r="AB38" s="3" t="s">
        <v>394</v>
      </c>
      <c r="AC38" s="155">
        <f>(+WTAVE!H31)*0.01</f>
        <v>0.021672632292996822</v>
      </c>
      <c r="AD38" s="155"/>
      <c r="AF38" s="18" t="s">
        <v>43</v>
      </c>
      <c r="AG38" s="3" t="s">
        <v>1527</v>
      </c>
      <c r="AH38" s="168">
        <f>ROUND((AH36/AH37),2)</f>
        <v>256.37</v>
      </c>
      <c r="AP38" s="18" t="s">
        <v>123</v>
      </c>
      <c r="AQ38" s="18" t="s">
        <v>803</v>
      </c>
      <c r="AR38" s="163" t="s">
        <v>1508</v>
      </c>
      <c r="AS38" s="8">
        <f>SUM(DC40)</f>
        <v>0</v>
      </c>
      <c r="AV38" s="34" t="s">
        <v>1870</v>
      </c>
      <c r="BH38" s="109"/>
      <c r="BI38" s="8"/>
      <c r="BJ38" s="8"/>
      <c r="BN38" s="3" t="s">
        <v>651</v>
      </c>
      <c r="BO38" s="8">
        <f>IF(AEGBS!J14&gt;0,AEGBS!J14,AEGBS!J14*-1)</f>
        <v>34098733.22</v>
      </c>
      <c r="BT38" s="16" t="s">
        <v>1072</v>
      </c>
      <c r="CA38" s="18">
        <v>15</v>
      </c>
      <c r="CB38" s="18">
        <v>283</v>
      </c>
      <c r="CC38" s="3" t="s">
        <v>593</v>
      </c>
      <c r="CG38" s="18" t="s">
        <v>1509</v>
      </c>
      <c r="CI38" s="96" t="s">
        <v>941</v>
      </c>
      <c r="CL38" s="18">
        <v>40</v>
      </c>
      <c r="CM38" s="18">
        <v>132</v>
      </c>
      <c r="CN38" s="3" t="s">
        <v>942</v>
      </c>
      <c r="CO38" s="8">
        <f>AEGBS!D149</f>
        <v>0</v>
      </c>
      <c r="CQ38" s="18">
        <v>16</v>
      </c>
      <c r="CR38" s="3" t="s">
        <v>1154</v>
      </c>
      <c r="CS38" s="155">
        <f>SUM(AC38)</f>
        <v>0.021672632292996822</v>
      </c>
      <c r="CV38" s="18" t="s">
        <v>976</v>
      </c>
      <c r="CW38" s="3" t="s">
        <v>977</v>
      </c>
      <c r="CX38" s="8">
        <f>EXPENSES!L65</f>
        <v>426.25</v>
      </c>
      <c r="DA38" s="18">
        <v>917</v>
      </c>
      <c r="DB38" s="3" t="s">
        <v>978</v>
      </c>
      <c r="DC38" s="8">
        <v>0</v>
      </c>
    </row>
    <row r="39" spans="1:102" ht="15">
      <c r="A39" s="34"/>
      <c r="B39" s="3" t="s">
        <v>136</v>
      </c>
      <c r="C39" s="8">
        <f t="shared" si="1"/>
        <v>107361.89000000001</v>
      </c>
      <c r="E39" s="34"/>
      <c r="F39" s="3" t="s">
        <v>136</v>
      </c>
      <c r="G39" s="8">
        <f t="shared" si="2"/>
        <v>46012</v>
      </c>
      <c r="I39" s="3" t="s">
        <v>1235</v>
      </c>
      <c r="J39" s="8">
        <f>TRUNC((((J34+J35)+J36)-J37))</f>
        <v>-396092</v>
      </c>
      <c r="K39" s="8">
        <f>TRUNC((((K34+K35)+K36)-K37))</f>
        <v>-118827</v>
      </c>
      <c r="L39" s="8">
        <f>TRUNC((((L34+L35)+L36)-L37))</f>
        <v>-277264</v>
      </c>
      <c r="O39" s="18">
        <v>18</v>
      </c>
      <c r="P39" s="3" t="s">
        <v>524</v>
      </c>
      <c r="Q39" s="8">
        <f>SUM(CD16)</f>
        <v>56896913.3</v>
      </c>
      <c r="W39" s="18" t="s">
        <v>899</v>
      </c>
      <c r="X39" s="3" t="s">
        <v>1235</v>
      </c>
      <c r="Y39" s="8">
        <f>ROUND(((Y36*Y37)*Y38),0)</f>
        <v>-35866</v>
      </c>
      <c r="AA39" s="18" t="s">
        <v>39</v>
      </c>
      <c r="AB39" s="3" t="s">
        <v>1351</v>
      </c>
      <c r="AC39" s="155">
        <f>+INSTRUCTIONS!Q4</f>
        <v>0.007196</v>
      </c>
      <c r="AD39" s="155"/>
      <c r="AF39" s="18" t="s">
        <v>979</v>
      </c>
      <c r="AG39" s="3" t="s">
        <v>776</v>
      </c>
      <c r="AH39" s="3">
        <v>24</v>
      </c>
      <c r="AS39" s="16" t="s">
        <v>1072</v>
      </c>
      <c r="AV39" s="34" t="s">
        <v>1629</v>
      </c>
      <c r="BH39" s="6"/>
      <c r="BL39" s="18" t="s">
        <v>777</v>
      </c>
      <c r="BM39" s="18">
        <v>115</v>
      </c>
      <c r="BN39" s="3" t="s">
        <v>522</v>
      </c>
      <c r="BQ39" s="18" t="s">
        <v>777</v>
      </c>
      <c r="BR39" s="18">
        <v>253</v>
      </c>
      <c r="BS39" s="3" t="s">
        <v>1233</v>
      </c>
      <c r="BT39" s="8">
        <f>IF(AEGBS!J54&gt;0,AEGBS!J54,AEGBS!J54*-1)</f>
        <v>38856121</v>
      </c>
      <c r="CC39" s="3" t="s">
        <v>1150</v>
      </c>
      <c r="CD39" s="8">
        <v>0</v>
      </c>
      <c r="CL39" s="18">
        <v>41</v>
      </c>
      <c r="CM39" s="18">
        <v>133</v>
      </c>
      <c r="CN39" s="3" t="s">
        <v>1234</v>
      </c>
      <c r="CO39" s="8">
        <v>0</v>
      </c>
      <c r="CQ39" s="18">
        <v>17</v>
      </c>
      <c r="CR39" s="3" t="s">
        <v>108</v>
      </c>
      <c r="CS39" s="155">
        <f>SUM(AC39)</f>
        <v>0.007196</v>
      </c>
      <c r="CV39" s="18" t="s">
        <v>431</v>
      </c>
      <c r="CW39" s="3" t="s">
        <v>432</v>
      </c>
      <c r="CX39" s="8">
        <f>EXPENSES!L66</f>
        <v>8504.36</v>
      </c>
    </row>
    <row r="40" spans="1:107" ht="15">
      <c r="A40" s="34"/>
      <c r="B40" s="3" t="s">
        <v>383</v>
      </c>
      <c r="C40" s="8">
        <f>IF(INSTRUCTIONS!L8="ACTUAL",'Actual Taxes'!E40+'Actual Taxes'!E48,L28)</f>
        <v>-123395</v>
      </c>
      <c r="E40" s="34"/>
      <c r="F40" s="3" t="s">
        <v>383</v>
      </c>
      <c r="G40" s="8">
        <f>IF(INSTRUCTIONS!L8="ACTUAL",'Actual Taxes'!E39+'Actual Taxes'!D48,K28)</f>
        <v>-52883</v>
      </c>
      <c r="I40" s="3" t="s">
        <v>1744</v>
      </c>
      <c r="J40" s="60">
        <v>0.53846153846154</v>
      </c>
      <c r="K40" s="60">
        <f>+J40</f>
        <v>0.53846153846154</v>
      </c>
      <c r="L40" s="60">
        <f>+J40</f>
        <v>0.53846153846154</v>
      </c>
      <c r="O40" s="18">
        <v>19</v>
      </c>
      <c r="P40" s="3" t="s">
        <v>1460</v>
      </c>
      <c r="Q40" s="8">
        <f>SUM(CD29)</f>
        <v>0</v>
      </c>
      <c r="S40" s="18">
        <v>18</v>
      </c>
      <c r="T40" s="3" t="s">
        <v>672</v>
      </c>
      <c r="U40" s="8">
        <f>'UNIT 1 PWR BILL'!U21</f>
        <v>729351719.09</v>
      </c>
      <c r="AA40" s="18" t="s">
        <v>1842</v>
      </c>
      <c r="AB40" s="3" t="s">
        <v>456</v>
      </c>
      <c r="AC40" s="155">
        <v>0</v>
      </c>
      <c r="AD40" s="155"/>
      <c r="AF40" s="18" t="s">
        <v>433</v>
      </c>
      <c r="AG40" s="3" t="s">
        <v>235</v>
      </c>
      <c r="AH40" s="168">
        <f>ROUND((AH38*AH39),2)</f>
        <v>6152.88</v>
      </c>
      <c r="AP40" s="18" t="s">
        <v>1828</v>
      </c>
      <c r="AQ40" s="18" t="s">
        <v>236</v>
      </c>
      <c r="AR40" s="3" t="s">
        <v>118</v>
      </c>
      <c r="AV40" s="34"/>
      <c r="BE40" s="18">
        <v>8</v>
      </c>
      <c r="BF40" s="18" t="s">
        <v>1742</v>
      </c>
      <c r="BG40" s="3" t="s">
        <v>1081</v>
      </c>
      <c r="BH40" s="6"/>
      <c r="BN40" s="3" t="s">
        <v>1835</v>
      </c>
      <c r="BT40" s="16" t="s">
        <v>1072</v>
      </c>
      <c r="CA40" s="18">
        <v>16</v>
      </c>
      <c r="CC40" s="3" t="s">
        <v>752</v>
      </c>
      <c r="CD40" s="16" t="s">
        <v>1072</v>
      </c>
      <c r="CG40" s="18" t="s">
        <v>1836</v>
      </c>
      <c r="CH40" s="18">
        <v>215</v>
      </c>
      <c r="CI40" s="3" t="s">
        <v>1837</v>
      </c>
      <c r="CJ40" s="8">
        <v>0</v>
      </c>
      <c r="CL40" s="18">
        <v>42</v>
      </c>
      <c r="CM40" s="18">
        <v>134</v>
      </c>
      <c r="CN40" s="3" t="s">
        <v>455</v>
      </c>
      <c r="CO40" s="8">
        <v>0</v>
      </c>
      <c r="CQ40" s="18">
        <v>18</v>
      </c>
      <c r="CR40" s="3" t="s">
        <v>47</v>
      </c>
      <c r="CS40" s="155">
        <v>0</v>
      </c>
      <c r="DB40" s="3" t="s">
        <v>1741</v>
      </c>
      <c r="DC40" s="8">
        <f>SUM(DC34:DC38)</f>
        <v>0</v>
      </c>
    </row>
    <row r="41" spans="1:102" ht="15">
      <c r="A41" s="34"/>
      <c r="C41" s="16" t="s">
        <v>1072</v>
      </c>
      <c r="E41" s="34"/>
      <c r="G41" s="16" t="s">
        <v>1072</v>
      </c>
      <c r="I41" s="3" t="s">
        <v>1128</v>
      </c>
      <c r="J41" s="8">
        <f>SUM(K41:L41)</f>
        <v>-213280</v>
      </c>
      <c r="K41" s="8">
        <f>ROUND((K39*K40),0)</f>
        <v>-63984</v>
      </c>
      <c r="L41" s="8">
        <f>ROUND((L39*L40),0)</f>
        <v>-149296</v>
      </c>
      <c r="O41" s="18">
        <v>20</v>
      </c>
      <c r="P41" s="3" t="s">
        <v>1582</v>
      </c>
      <c r="Q41" s="8">
        <f>SUM(CD41)</f>
        <v>0</v>
      </c>
      <c r="S41" s="18">
        <v>19</v>
      </c>
      <c r="T41" s="3" t="s">
        <v>1142</v>
      </c>
      <c r="U41" s="8">
        <f>'UNIT 1 PWR BILL'!U22</f>
        <v>447351995.04</v>
      </c>
      <c r="W41" s="18" t="s">
        <v>43</v>
      </c>
      <c r="X41" s="3" t="s">
        <v>525</v>
      </c>
      <c r="Y41" s="8">
        <f>IF((Y23&gt;Y29),(Y23-Y29),0)</f>
        <v>0</v>
      </c>
      <c r="AF41" s="18" t="s">
        <v>1745</v>
      </c>
      <c r="AG41" s="3" t="s">
        <v>1746</v>
      </c>
      <c r="AH41" s="3">
        <v>68</v>
      </c>
      <c r="AR41" s="168" t="s">
        <v>1082</v>
      </c>
      <c r="AS41" s="8">
        <f>SUM(DC56)</f>
        <v>588631.5199999999</v>
      </c>
      <c r="AV41" s="34" t="s">
        <v>1327</v>
      </c>
      <c r="BH41" s="6"/>
      <c r="BN41" s="3" t="s">
        <v>188</v>
      </c>
      <c r="BO41" s="8">
        <v>0</v>
      </c>
      <c r="BQ41" s="18" t="s">
        <v>189</v>
      </c>
      <c r="BR41" s="34" t="s">
        <v>426</v>
      </c>
      <c r="CC41" s="3" t="s">
        <v>476</v>
      </c>
      <c r="CD41" s="8">
        <f>SUM(((((-CD33)+CD35)+CD37)+CD39))</f>
        <v>0</v>
      </c>
      <c r="CG41" s="18" t="s">
        <v>1230</v>
      </c>
      <c r="CH41" s="18" t="s">
        <v>477</v>
      </c>
      <c r="CI41" s="3" t="s">
        <v>1231</v>
      </c>
      <c r="CL41" s="18">
        <v>43</v>
      </c>
      <c r="CM41" s="18" t="s">
        <v>129</v>
      </c>
      <c r="CN41" s="3" t="s">
        <v>1232</v>
      </c>
      <c r="CO41" s="8">
        <f>AEGBS!D164+AEGBS!D168</f>
        <v>0</v>
      </c>
      <c r="CQ41" s="18">
        <v>19</v>
      </c>
      <c r="CR41" s="3" t="s">
        <v>1184</v>
      </c>
      <c r="CS41" s="155">
        <v>0.1216</v>
      </c>
      <c r="CW41" s="18" t="s">
        <v>216</v>
      </c>
      <c r="CX41" s="8">
        <f>SUM(CX37:CX39)</f>
        <v>8930.61</v>
      </c>
    </row>
    <row r="42" spans="1:107" ht="15">
      <c r="A42" s="34"/>
      <c r="B42" s="18" t="s">
        <v>1687</v>
      </c>
      <c r="C42" s="8">
        <f>C32+IM_FUEL_2+C35+C36+C37+C38+C39+C40</f>
        <v>9593060.635</v>
      </c>
      <c r="E42" s="34"/>
      <c r="F42" s="18" t="s">
        <v>1687</v>
      </c>
      <c r="G42" s="8">
        <f>G32+KPCO_FUEL_2+G35+G36+G37+G38+G39+G40</f>
        <v>4111311.65</v>
      </c>
      <c r="I42" s="3" t="s">
        <v>388</v>
      </c>
      <c r="J42" s="8">
        <f>SUM(BH55)</f>
        <v>37000.56000000001</v>
      </c>
      <c r="K42" s="8">
        <f>SUM(BI55)</f>
        <v>11100.168000000001</v>
      </c>
      <c r="L42" s="8">
        <f>SUM(BJ55)</f>
        <v>25900.392000000007</v>
      </c>
      <c r="Q42" s="16" t="s">
        <v>1072</v>
      </c>
      <c r="S42" s="18">
        <v>20</v>
      </c>
      <c r="T42" s="3" t="s">
        <v>1460</v>
      </c>
      <c r="U42" s="8">
        <f>'UNIT 1 PWR BILL'!U23</f>
        <v>32017186.620000005</v>
      </c>
      <c r="W42" s="18" t="s">
        <v>979</v>
      </c>
      <c r="X42" s="3" t="s">
        <v>764</v>
      </c>
      <c r="Y42" s="155">
        <f>ROUND(((AC50*CX58)/CX59),6)</f>
        <v>0.000983</v>
      </c>
      <c r="AF42" s="18" t="s">
        <v>218</v>
      </c>
      <c r="AG42" s="3" t="s">
        <v>1695</v>
      </c>
      <c r="AH42" s="8">
        <f>ROUND((AH40*AH41),0)</f>
        <v>418396</v>
      </c>
      <c r="AP42" s="18" t="s">
        <v>848</v>
      </c>
      <c r="AQ42" s="18" t="s">
        <v>1696</v>
      </c>
      <c r="AR42" s="3" t="s">
        <v>118</v>
      </c>
      <c r="BH42" s="109"/>
      <c r="BI42" s="8"/>
      <c r="BJ42" s="8"/>
      <c r="BL42" s="18" t="s">
        <v>1697</v>
      </c>
      <c r="BM42" s="18">
        <v>119</v>
      </c>
      <c r="BN42" s="3" t="s">
        <v>507</v>
      </c>
      <c r="CD42" s="16" t="s">
        <v>1072</v>
      </c>
      <c r="CI42" s="3" t="s">
        <v>1129</v>
      </c>
      <c r="CJ42" s="8">
        <v>0</v>
      </c>
      <c r="CO42" s="16" t="s">
        <v>1072</v>
      </c>
      <c r="CQ42" s="18">
        <v>20</v>
      </c>
      <c r="CR42" s="170" t="s">
        <v>1282</v>
      </c>
      <c r="CS42" s="155">
        <f>SUM(AC46:AC48)</f>
        <v>0.011607</v>
      </c>
      <c r="DA42" s="18">
        <v>920</v>
      </c>
      <c r="DB42" s="3" t="s">
        <v>847</v>
      </c>
      <c r="DC42" s="8">
        <f>EXPENSES!L28</f>
        <v>44218.86</v>
      </c>
    </row>
    <row r="43" spans="1:107" ht="15">
      <c r="A43" s="34"/>
      <c r="C43" s="59" t="s">
        <v>1072</v>
      </c>
      <c r="E43" s="34"/>
      <c r="G43" s="59" t="s">
        <v>1569</v>
      </c>
      <c r="J43" s="59" t="s">
        <v>1072</v>
      </c>
      <c r="K43" s="59" t="s">
        <v>1072</v>
      </c>
      <c r="L43" s="59" t="s">
        <v>1072</v>
      </c>
      <c r="M43" s="59" t="s">
        <v>1072</v>
      </c>
      <c r="O43" s="18">
        <v>21</v>
      </c>
      <c r="P43" s="3" t="s">
        <v>1229</v>
      </c>
      <c r="Q43" s="8">
        <f>SUM(((Q39+Q40)-Q41))</f>
        <v>56896913.3</v>
      </c>
      <c r="S43" s="18">
        <v>21</v>
      </c>
      <c r="T43" s="3" t="s">
        <v>1672</v>
      </c>
      <c r="U43" s="8">
        <f>'UNIT 1 PWR BILL'!U24</f>
        <v>24200.01</v>
      </c>
      <c r="W43" s="18" t="s">
        <v>433</v>
      </c>
      <c r="X43" s="3" t="s">
        <v>903</v>
      </c>
      <c r="Y43" s="8">
        <f>SUM((Y41*Y42))</f>
        <v>0</v>
      </c>
      <c r="AA43" s="18" t="s">
        <v>899</v>
      </c>
      <c r="AB43" s="96" t="s">
        <v>800</v>
      </c>
      <c r="AF43" s="18" t="s">
        <v>870</v>
      </c>
      <c r="AG43" s="3" t="s">
        <v>914</v>
      </c>
      <c r="AH43" s="171">
        <f>AEGBS!D190</f>
        <v>40.733</v>
      </c>
      <c r="AR43" s="3" t="s">
        <v>1301</v>
      </c>
      <c r="AS43" s="8">
        <f>SUM(DC58)</f>
        <v>36634.13</v>
      </c>
      <c r="BH43" s="6"/>
      <c r="BN43" s="3" t="s">
        <v>386</v>
      </c>
      <c r="CA43" s="18">
        <v>17</v>
      </c>
      <c r="CC43" s="3" t="s">
        <v>1803</v>
      </c>
      <c r="CG43" s="18" t="s">
        <v>1013</v>
      </c>
      <c r="CH43" s="18">
        <v>216</v>
      </c>
      <c r="CI43" s="3" t="s">
        <v>1014</v>
      </c>
      <c r="CJ43" s="8">
        <f>AEGBS!D157</f>
        <v>1678832.4</v>
      </c>
      <c r="CL43" s="18">
        <v>44</v>
      </c>
      <c r="CN43" s="3" t="s">
        <v>575</v>
      </c>
      <c r="CO43" s="8">
        <f>SUM(CO38:CO41)</f>
        <v>0</v>
      </c>
      <c r="DA43" s="18">
        <v>921</v>
      </c>
      <c r="DB43" s="3" t="s">
        <v>1899</v>
      </c>
      <c r="DC43" s="8">
        <f>EXPENSES!L29</f>
        <v>11868.9</v>
      </c>
    </row>
    <row r="44" spans="1:107" ht="15">
      <c r="A44" s="34"/>
      <c r="E44" s="34"/>
      <c r="I44" s="3" t="s">
        <v>558</v>
      </c>
      <c r="J44" s="8">
        <f>TRUNC((J41+J42))</f>
        <v>-176279</v>
      </c>
      <c r="K44" s="8">
        <f>TRUNC((K41+K42))</f>
        <v>-52883</v>
      </c>
      <c r="L44" s="8">
        <f>TRUNC((L41+L42))</f>
        <v>-123395</v>
      </c>
      <c r="Q44" s="16" t="s">
        <v>1072</v>
      </c>
      <c r="S44" s="18">
        <v>22</v>
      </c>
      <c r="T44" s="3" t="s">
        <v>1575</v>
      </c>
      <c r="U44" s="8">
        <f>'UNIT 1 PWR BILL'!U25</f>
        <v>0</v>
      </c>
      <c r="W44" s="18" t="s">
        <v>1745</v>
      </c>
      <c r="X44" s="3" t="s">
        <v>703</v>
      </c>
      <c r="Y44" s="155">
        <f>SUM(Q58)</f>
        <v>0.785294</v>
      </c>
      <c r="AH44" s="59" t="s">
        <v>1072</v>
      </c>
      <c r="AS44" s="16" t="s">
        <v>1072</v>
      </c>
      <c r="BE44" s="18">
        <v>9</v>
      </c>
      <c r="BF44" s="18" t="s">
        <v>454</v>
      </c>
      <c r="BG44" s="3" t="s">
        <v>121</v>
      </c>
      <c r="BH44" s="6"/>
      <c r="BN44" s="3" t="s">
        <v>1900</v>
      </c>
      <c r="BO44" s="8">
        <v>0</v>
      </c>
      <c r="CC44" s="3" t="s">
        <v>1331</v>
      </c>
      <c r="CD44" s="8">
        <f>SUM(((CD16+CD29)-CD41))</f>
        <v>56896913.3</v>
      </c>
      <c r="CJ44" s="16" t="s">
        <v>1072</v>
      </c>
      <c r="CO44" s="16" t="s">
        <v>1072</v>
      </c>
      <c r="CQ44" s="18">
        <v>21</v>
      </c>
      <c r="CR44" s="96" t="s">
        <v>1617</v>
      </c>
      <c r="DA44" s="18">
        <v>922</v>
      </c>
      <c r="DB44" s="3" t="s">
        <v>1618</v>
      </c>
      <c r="DC44" s="8">
        <f>EXPENSES!L30</f>
        <v>0</v>
      </c>
    </row>
    <row r="45" spans="1:107" ht="15">
      <c r="A45" s="34" t="s">
        <v>1244</v>
      </c>
      <c r="E45" s="34" t="s">
        <v>1244</v>
      </c>
      <c r="J45" s="59" t="s">
        <v>1569</v>
      </c>
      <c r="K45" s="59" t="s">
        <v>1569</v>
      </c>
      <c r="L45" s="59" t="s">
        <v>1569</v>
      </c>
      <c r="M45" s="59" t="s">
        <v>1569</v>
      </c>
      <c r="O45" s="18">
        <v>22</v>
      </c>
      <c r="P45" s="96" t="s">
        <v>1012</v>
      </c>
      <c r="S45" s="18">
        <v>23</v>
      </c>
      <c r="T45" s="3" t="s">
        <v>755</v>
      </c>
      <c r="U45" s="8">
        <f>'UNIT 1 PWR BILL'!U26</f>
        <v>0</v>
      </c>
      <c r="W45" s="18" t="s">
        <v>218</v>
      </c>
      <c r="X45" s="3" t="s">
        <v>975</v>
      </c>
      <c r="Y45" s="155">
        <f>ROUND((U35/U56),4)</f>
        <v>-0.0478</v>
      </c>
      <c r="AF45" s="18" t="s">
        <v>1208</v>
      </c>
      <c r="AG45" s="3" t="s">
        <v>1748</v>
      </c>
      <c r="AH45" s="8">
        <f>ROUND((AH42*AH43),0)</f>
        <v>17042524</v>
      </c>
      <c r="AP45" s="18" t="s">
        <v>777</v>
      </c>
      <c r="AR45" s="3" t="s">
        <v>735</v>
      </c>
      <c r="AS45" s="8">
        <f>SUM((AS41+AS43))</f>
        <v>625265.6499999999</v>
      </c>
      <c r="BG45" s="3" t="s">
        <v>1647</v>
      </c>
      <c r="BH45" s="109">
        <f>IF(INSTRUCTIONS!$L$29="ESTIMATE",TXPG12RV!G131+TXPG12RV!G132,IF(INSTRUCTIONS!$L$29="ACTUAL",TXPG12RV!I131+TXPG12RV!I132,"SEE NOTE"))</f>
        <v>-12662</v>
      </c>
      <c r="BI45" s="8">
        <f>SUM((BH45*INSTRUCTIONS!$M$20))</f>
        <v>-3798.6</v>
      </c>
      <c r="BJ45" s="8">
        <f>SUM((BH45-BI45))</f>
        <v>-8863.4</v>
      </c>
      <c r="BO45" s="16" t="s">
        <v>1072</v>
      </c>
      <c r="CD45" s="16" t="s">
        <v>1569</v>
      </c>
      <c r="CG45" s="18" t="s">
        <v>12</v>
      </c>
      <c r="CI45" s="3" t="s">
        <v>736</v>
      </c>
      <c r="CJ45" s="8">
        <f>CJ40+CJ42+CJ43</f>
        <v>1678832.4</v>
      </c>
      <c r="CL45" s="18">
        <v>45</v>
      </c>
      <c r="CN45" s="3" t="s">
        <v>1551</v>
      </c>
      <c r="CO45" s="8">
        <f>CJ47+CJ56+CO27+CO34-CO43</f>
        <v>301639245.78</v>
      </c>
      <c r="DA45" s="18">
        <v>923</v>
      </c>
      <c r="DB45" s="3" t="s">
        <v>453</v>
      </c>
      <c r="DC45" s="8">
        <f>EXPENSES!L31</f>
        <v>380627.06</v>
      </c>
    </row>
    <row r="46" spans="1:107" ht="15">
      <c r="A46" s="34"/>
      <c r="B46" s="3" t="s">
        <v>1499</v>
      </c>
      <c r="C46" s="8">
        <f>BILLDIF!E35</f>
        <v>0</v>
      </c>
      <c r="E46" s="34"/>
      <c r="F46" s="34" t="s">
        <v>1499</v>
      </c>
      <c r="G46" s="8">
        <f>BILLDIF!E41</f>
        <v>0</v>
      </c>
      <c r="I46" s="96" t="s">
        <v>1588</v>
      </c>
      <c r="S46" s="18">
        <v>24</v>
      </c>
      <c r="T46" s="3" t="s">
        <v>1421</v>
      </c>
      <c r="U46" s="8">
        <f>'UNIT 1 PWR BILL'!U27</f>
        <v>-2936720.3899999987</v>
      </c>
      <c r="W46" s="18" t="s">
        <v>870</v>
      </c>
      <c r="X46" s="3" t="s">
        <v>1498</v>
      </c>
      <c r="Y46" s="8">
        <f>ROUND(((Y43*Y44)*Y45),0)</f>
        <v>0</v>
      </c>
      <c r="AA46" s="18" t="s">
        <v>43</v>
      </c>
      <c r="AB46" s="3" t="s">
        <v>1283</v>
      </c>
      <c r="AC46" s="155">
        <f>ROUND((AC28*AC38),6)</f>
        <v>0.006604</v>
      </c>
      <c r="AD46" s="155"/>
      <c r="AH46" s="59" t="s">
        <v>1072</v>
      </c>
      <c r="AS46" s="16" t="s">
        <v>1072</v>
      </c>
      <c r="BG46" s="3" t="s">
        <v>1213</v>
      </c>
      <c r="BH46" s="6"/>
      <c r="BL46" s="18" t="s">
        <v>874</v>
      </c>
      <c r="BN46" s="3" t="s">
        <v>1246</v>
      </c>
      <c r="BO46" s="8">
        <f>BO34+BO36+BO38+BO41+BO44</f>
        <v>174803561.05</v>
      </c>
      <c r="CC46" s="96" t="s">
        <v>692</v>
      </c>
      <c r="CJ46" s="16" t="s">
        <v>1072</v>
      </c>
      <c r="CO46" s="59" t="s">
        <v>1569</v>
      </c>
      <c r="CQ46" s="18">
        <v>22</v>
      </c>
      <c r="CR46" s="3" t="s">
        <v>1283</v>
      </c>
      <c r="CS46" s="155">
        <f>ROUND((CS28*CS38),6)</f>
        <v>0.00454</v>
      </c>
      <c r="DA46" s="18">
        <v>924</v>
      </c>
      <c r="DB46" s="3" t="s">
        <v>1500</v>
      </c>
      <c r="DC46" s="8">
        <f>EXPENSES!L32</f>
        <v>8790.5</v>
      </c>
    </row>
    <row r="47" spans="1:107" ht="15">
      <c r="A47" s="34"/>
      <c r="B47" s="3" t="s">
        <v>938</v>
      </c>
      <c r="C47" s="8">
        <f>BILLDIF!G35</f>
        <v>0</v>
      </c>
      <c r="E47" s="34"/>
      <c r="F47" s="3" t="s">
        <v>938</v>
      </c>
      <c r="G47" s="8">
        <f>BILLDIF!G41</f>
        <v>0</v>
      </c>
      <c r="S47" s="18">
        <v>25</v>
      </c>
      <c r="T47" s="3" t="s">
        <v>205</v>
      </c>
      <c r="U47" s="8">
        <f>'UNIT 1 PWR BILL'!U28</f>
        <v>39486.01</v>
      </c>
      <c r="Y47" s="59" t="s">
        <v>1072</v>
      </c>
      <c r="AA47" s="18" t="s">
        <v>979</v>
      </c>
      <c r="AB47" s="3" t="s">
        <v>310</v>
      </c>
      <c r="AC47" s="155">
        <f>ROUND((AC29*AC39),6)</f>
        <v>0.005003</v>
      </c>
      <c r="AD47" s="155"/>
      <c r="AF47" s="18" t="s">
        <v>1589</v>
      </c>
      <c r="AG47" s="3" t="s">
        <v>1172</v>
      </c>
      <c r="AH47" s="8">
        <f>IF((AH31&gt;AH45),AH45,AH31)</f>
        <v>17042524</v>
      </c>
      <c r="BH47" s="6"/>
      <c r="BO47" s="16" t="s">
        <v>1072</v>
      </c>
      <c r="CG47" s="18" t="s">
        <v>936</v>
      </c>
      <c r="CI47" s="3" t="s">
        <v>480</v>
      </c>
      <c r="CJ47" s="8">
        <f>SUM(((CJ27+CJ36)+CJ45))</f>
        <v>94290819.51</v>
      </c>
      <c r="CQ47" s="18">
        <v>23</v>
      </c>
      <c r="CR47" s="3" t="s">
        <v>1284</v>
      </c>
      <c r="CS47" s="155">
        <f>ROUND((CS29*CS39),6)</f>
        <v>0.003439</v>
      </c>
      <c r="DA47" s="18">
        <v>925</v>
      </c>
      <c r="DB47" s="3" t="s">
        <v>100</v>
      </c>
      <c r="DC47" s="8">
        <f>EXPENSES!L33</f>
        <v>1205.31</v>
      </c>
    </row>
    <row r="48" spans="1:107" ht="15.75">
      <c r="A48" s="34"/>
      <c r="B48" s="3" t="s">
        <v>1280</v>
      </c>
      <c r="C48" s="8">
        <f>BILLDIF!I35</f>
        <v>-202671</v>
      </c>
      <c r="E48" s="34"/>
      <c r="F48" s="3" t="s">
        <v>1280</v>
      </c>
      <c r="G48" s="8">
        <f>BILLDIF!I41</f>
        <v>-86859</v>
      </c>
      <c r="I48" s="3" t="s">
        <v>258</v>
      </c>
      <c r="J48" s="8">
        <f>SUM(J30)</f>
        <v>13704371.285</v>
      </c>
      <c r="K48" s="8">
        <f>SUM(K30)</f>
        <v>4111311.65</v>
      </c>
      <c r="L48" s="8">
        <f>SUM(L30)</f>
        <v>9593060.635</v>
      </c>
      <c r="O48" s="18">
        <v>23</v>
      </c>
      <c r="P48" s="3" t="s">
        <v>1497</v>
      </c>
      <c r="Q48" s="8">
        <f>SUM((CD48-Q24))</f>
        <v>0</v>
      </c>
      <c r="S48" s="18">
        <v>26</v>
      </c>
      <c r="T48" s="26" t="s">
        <v>200</v>
      </c>
      <c r="U48" s="8">
        <f>AEGBS!E195</f>
        <v>1337916.065</v>
      </c>
      <c r="W48" s="18" t="s">
        <v>1208</v>
      </c>
      <c r="X48" s="3" t="s">
        <v>1136</v>
      </c>
      <c r="Y48" s="8">
        <f>ROUND((Y39+Y46),0)</f>
        <v>-35866</v>
      </c>
      <c r="AA48" s="18" t="s">
        <v>433</v>
      </c>
      <c r="AB48" s="3" t="s">
        <v>1659</v>
      </c>
      <c r="AC48" s="155">
        <f>ROUND((AC30*AC40),6)</f>
        <v>0</v>
      </c>
      <c r="AD48" s="155"/>
      <c r="AH48" s="59" t="s">
        <v>1072</v>
      </c>
      <c r="AP48" s="18" t="s">
        <v>1697</v>
      </c>
      <c r="AR48" s="3" t="s">
        <v>374</v>
      </c>
      <c r="AS48" s="8">
        <f>AS19+AS21+AS26+AS31+AS33+AS36+AS38+AS45</f>
        <v>12579197.709999999</v>
      </c>
      <c r="BE48" s="18">
        <v>10</v>
      </c>
      <c r="BF48" s="18" t="s">
        <v>454</v>
      </c>
      <c r="BG48" s="3" t="s">
        <v>121</v>
      </c>
      <c r="BH48" s="6"/>
      <c r="BL48" s="18" t="s">
        <v>375</v>
      </c>
      <c r="BN48" s="96" t="s">
        <v>972</v>
      </c>
      <c r="CA48" s="18">
        <v>18</v>
      </c>
      <c r="CB48" s="18">
        <v>105</v>
      </c>
      <c r="CC48" s="3" t="s">
        <v>135</v>
      </c>
      <c r="CD48" s="8">
        <v>0</v>
      </c>
      <c r="CJ48" s="16" t="s">
        <v>1072</v>
      </c>
      <c r="CQ48" s="18">
        <v>24</v>
      </c>
      <c r="CR48" s="3" t="s">
        <v>571</v>
      </c>
      <c r="CS48" s="155">
        <f>ROUND((CS30*CS40),6)</f>
        <v>0</v>
      </c>
      <c r="DA48" s="18">
        <v>926</v>
      </c>
      <c r="DB48" s="3" t="s">
        <v>958</v>
      </c>
      <c r="DC48" s="8">
        <f>EXPENSES!L34</f>
        <v>86546.31</v>
      </c>
    </row>
    <row r="49" spans="1:107" ht="15" customHeight="1">
      <c r="A49" s="34"/>
      <c r="C49" s="7"/>
      <c r="E49" s="34"/>
      <c r="G49" s="7"/>
      <c r="I49" s="3" t="s">
        <v>227</v>
      </c>
      <c r="J49" s="8">
        <f>SUM(((J22+J23)+J25))</f>
        <v>12579197.709999999</v>
      </c>
      <c r="K49" s="8">
        <f>SUM(((K22+K23)+K25))</f>
        <v>3773759.65</v>
      </c>
      <c r="L49" s="8">
        <f>SUM(((L22+L23)+L25))</f>
        <v>8805438.059999999</v>
      </c>
      <c r="O49" s="18">
        <v>24</v>
      </c>
      <c r="P49" s="3" t="s">
        <v>935</v>
      </c>
      <c r="Q49" s="8">
        <f>SUM((CD50-Q25))</f>
        <v>756639.5</v>
      </c>
      <c r="S49" s="18">
        <v>27</v>
      </c>
      <c r="T49" s="26" t="s">
        <v>199</v>
      </c>
      <c r="U49" s="8">
        <f>AEGBS!E196</f>
        <v>3960742.76</v>
      </c>
      <c r="Y49" s="59" t="s">
        <v>1569</v>
      </c>
      <c r="AC49" s="59" t="s">
        <v>1072</v>
      </c>
      <c r="AF49" s="18" t="s">
        <v>1023</v>
      </c>
      <c r="AG49" s="3" t="s">
        <v>960</v>
      </c>
      <c r="AH49" s="8">
        <f>ROUND((AH31-AH47),0)</f>
        <v>4993538</v>
      </c>
      <c r="AS49" s="59" t="s">
        <v>1569</v>
      </c>
      <c r="BG49" s="3" t="s">
        <v>857</v>
      </c>
      <c r="BH49" s="109">
        <f>IF(INSTRUCTIONS!$L$29="ESTIMATE",TXPG12RV!G135+TXPG12RV!G136,IF(INSTRUCTIONS!$L$29="ACTUAL",TXPG12RV!I135+TXPG12RV!I136,"SEE NOTE"))</f>
        <v>-180.5</v>
      </c>
      <c r="BI49" s="8">
        <f>SUM((BH49*INSTRUCTIONS!$M$20))</f>
        <v>-54.15</v>
      </c>
      <c r="BJ49" s="8">
        <f>SUM((BH49-BI49))</f>
        <v>-126.35</v>
      </c>
      <c r="CG49" s="18" t="s">
        <v>961</v>
      </c>
      <c r="CI49" s="96" t="s">
        <v>259</v>
      </c>
      <c r="CQ49" s="18">
        <v>25</v>
      </c>
      <c r="CR49" s="3" t="s">
        <v>1026</v>
      </c>
      <c r="CS49" s="155">
        <f>ROUND((CS31*CS41),6)</f>
        <v>0.038012</v>
      </c>
      <c r="DA49" s="18">
        <v>927</v>
      </c>
      <c r="DB49" s="3" t="s">
        <v>1613</v>
      </c>
      <c r="DC49" s="8">
        <v>0</v>
      </c>
    </row>
    <row r="50" spans="1:107" ht="15">
      <c r="A50" s="34"/>
      <c r="C50" s="16" t="s">
        <v>1072</v>
      </c>
      <c r="E50" s="34"/>
      <c r="G50" s="16" t="s">
        <v>1072</v>
      </c>
      <c r="I50" s="3" t="s">
        <v>450</v>
      </c>
      <c r="J50" s="8">
        <f aca="true" t="shared" si="3" ref="J50:L51">SUM(J26)</f>
        <v>1202694.685</v>
      </c>
      <c r="K50" s="8">
        <f t="shared" si="3"/>
        <v>360808</v>
      </c>
      <c r="L50" s="8">
        <f t="shared" si="3"/>
        <v>841886.685</v>
      </c>
      <c r="O50" s="18">
        <v>25</v>
      </c>
      <c r="P50" s="3" t="s">
        <v>1017</v>
      </c>
      <c r="Q50" s="8">
        <f>SUM(CD52)</f>
        <v>9784999</v>
      </c>
      <c r="S50" s="18">
        <v>28</v>
      </c>
      <c r="T50" s="3" t="s">
        <v>990</v>
      </c>
      <c r="U50" s="8">
        <f>'UNIT 1 PWR BILL'!U31</f>
        <v>232123</v>
      </c>
      <c r="AA50" s="18" t="s">
        <v>1745</v>
      </c>
      <c r="AB50" s="3" t="s">
        <v>875</v>
      </c>
      <c r="AC50" s="155">
        <f>SUM(AC46:AC48)</f>
        <v>0.011607</v>
      </c>
      <c r="AD50" s="155"/>
      <c r="AH50" s="59" t="s">
        <v>1569</v>
      </c>
      <c r="BH50" s="6"/>
      <c r="BL50" s="18" t="s">
        <v>228</v>
      </c>
      <c r="BM50" s="18">
        <v>151</v>
      </c>
      <c r="BN50" s="3" t="s">
        <v>1140</v>
      </c>
      <c r="BO50" s="8">
        <f>SUM((AH17+AH19))</f>
        <v>18359968.42</v>
      </c>
      <c r="BS50" s="248"/>
      <c r="BT50" s="248"/>
      <c r="CA50" s="18">
        <v>19</v>
      </c>
      <c r="CB50" s="18">
        <v>186</v>
      </c>
      <c r="CC50" s="3" t="s">
        <v>229</v>
      </c>
      <c r="CD50" s="8">
        <f>AEGBS!D151</f>
        <v>756639.5</v>
      </c>
      <c r="CQ50" s="18">
        <v>26</v>
      </c>
      <c r="CR50" s="3" t="s">
        <v>951</v>
      </c>
      <c r="CS50" s="155">
        <f>ROUND((CS32*CS42),6)</f>
        <v>0</v>
      </c>
      <c r="DA50" s="18">
        <v>928</v>
      </c>
      <c r="DB50" s="3" t="s">
        <v>902</v>
      </c>
      <c r="DC50" s="8">
        <f>EXPENSES!L35</f>
        <v>0</v>
      </c>
    </row>
    <row r="51" spans="1:107" ht="15">
      <c r="A51" s="34"/>
      <c r="B51" s="18" t="s">
        <v>1210</v>
      </c>
      <c r="C51" s="8">
        <f>SUM(C46:C48)</f>
        <v>-202671</v>
      </c>
      <c r="E51" s="34"/>
      <c r="F51" s="18" t="s">
        <v>1210</v>
      </c>
      <c r="G51" s="8">
        <f>SUM(G46:G48)</f>
        <v>-86859</v>
      </c>
      <c r="I51" s="3" t="s">
        <v>962</v>
      </c>
      <c r="J51" s="8">
        <f t="shared" si="3"/>
        <v>153373.89</v>
      </c>
      <c r="K51" s="8">
        <f t="shared" si="3"/>
        <v>46012</v>
      </c>
      <c r="L51" s="8">
        <f t="shared" si="3"/>
        <v>107361.89000000001</v>
      </c>
      <c r="Q51" s="16" t="s">
        <v>1072</v>
      </c>
      <c r="S51" s="18">
        <v>29</v>
      </c>
      <c r="T51" s="3" t="s">
        <v>1582</v>
      </c>
      <c r="U51" s="8">
        <f>'UNIT 1 PWR BILL'!U32</f>
        <v>49844859.63324</v>
      </c>
      <c r="W51" s="18" t="s">
        <v>1589</v>
      </c>
      <c r="X51" s="96" t="s">
        <v>1225</v>
      </c>
      <c r="AC51" s="59" t="s">
        <v>1569</v>
      </c>
      <c r="BE51" s="18">
        <v>11</v>
      </c>
      <c r="BF51" s="18" t="s">
        <v>454</v>
      </c>
      <c r="BG51" s="3" t="s">
        <v>121</v>
      </c>
      <c r="BH51" s="6"/>
      <c r="BL51" s="18" t="s">
        <v>1222</v>
      </c>
      <c r="BM51" s="18">
        <v>152</v>
      </c>
      <c r="BN51" s="3" t="s">
        <v>330</v>
      </c>
      <c r="BO51" s="8">
        <f>SUM(AH18)</f>
        <v>1094712.23</v>
      </c>
      <c r="BS51" s="248"/>
      <c r="BT51" s="248"/>
      <c r="CG51" s="18" t="s">
        <v>1223</v>
      </c>
      <c r="CH51" s="18">
        <v>204</v>
      </c>
      <c r="CI51" s="3" t="s">
        <v>1224</v>
      </c>
      <c r="CJ51" s="8">
        <v>0</v>
      </c>
      <c r="CS51" s="59" t="s">
        <v>1072</v>
      </c>
      <c r="DA51" s="18">
        <v>929</v>
      </c>
      <c r="DB51" s="3" t="s">
        <v>1257</v>
      </c>
      <c r="DC51" s="8">
        <f>EXPENSES!L36</f>
        <v>0</v>
      </c>
    </row>
    <row r="52" spans="1:107" ht="15">
      <c r="A52" s="34"/>
      <c r="C52" s="59" t="s">
        <v>1072</v>
      </c>
      <c r="E52" s="373"/>
      <c r="G52" s="59" t="s">
        <v>1072</v>
      </c>
      <c r="I52" s="3" t="s">
        <v>569</v>
      </c>
      <c r="J52" s="8">
        <f>ROUND((Y46+((Y58*Y62)*Y63)),0)</f>
        <v>-10000</v>
      </c>
      <c r="K52" s="8">
        <f>ROUND((J52*INSTRUCTIONS!$M$20),0)</f>
        <v>-3000</v>
      </c>
      <c r="L52" s="8">
        <f>SUM((J52-K52))</f>
        <v>-7000</v>
      </c>
      <c r="M52" s="8"/>
      <c r="O52" s="18">
        <v>26</v>
      </c>
      <c r="P52" s="3" t="s">
        <v>76</v>
      </c>
      <c r="Q52" s="8">
        <f>SUM(Q48:Q50)</f>
        <v>10541638.5</v>
      </c>
      <c r="S52" s="18">
        <v>30</v>
      </c>
      <c r="T52" s="3" t="s">
        <v>814</v>
      </c>
      <c r="U52" s="8">
        <f>'UNIT 1 PWR BILL'!U33</f>
        <v>6366</v>
      </c>
      <c r="AF52" s="18" t="s">
        <v>1612</v>
      </c>
      <c r="AG52" s="96" t="s">
        <v>688</v>
      </c>
      <c r="BG52" s="3" t="s">
        <v>78</v>
      </c>
      <c r="BH52" s="109">
        <f>IF(INSTRUCTIONS!$L$29="ESTIMATE",TXPG12RV!G156,IF(INSTRUCTIONS!$L$29="ACTUAL",TXPG12RV!I156,"SEE NOTE"))</f>
        <v>97597.06000000001</v>
      </c>
      <c r="BI52" s="8">
        <f>SUM((BH52*INSTRUCTIONS!$M$20))</f>
        <v>29279.118000000002</v>
      </c>
      <c r="BJ52" s="8">
        <f>SUM((BH52-BI52))</f>
        <v>68317.94200000001</v>
      </c>
      <c r="BL52" s="18" t="s">
        <v>964</v>
      </c>
      <c r="BM52" s="18">
        <v>153</v>
      </c>
      <c r="BN52" s="3" t="s">
        <v>1670</v>
      </c>
      <c r="BO52" s="8">
        <v>0</v>
      </c>
      <c r="BT52" s="248"/>
      <c r="CA52" s="18">
        <v>20</v>
      </c>
      <c r="CB52" s="18" t="s">
        <v>1266</v>
      </c>
      <c r="CC52" s="3" t="s">
        <v>826</v>
      </c>
      <c r="CD52" s="8">
        <f>SUM(CD62)</f>
        <v>9784999</v>
      </c>
      <c r="CG52" s="18" t="s">
        <v>828</v>
      </c>
      <c r="CH52" s="18">
        <v>205</v>
      </c>
      <c r="CI52" s="3" t="s">
        <v>74</v>
      </c>
      <c r="CJ52" s="8">
        <v>0</v>
      </c>
      <c r="CQ52" s="18">
        <v>27</v>
      </c>
      <c r="CR52" s="3" t="s">
        <v>1267</v>
      </c>
      <c r="CS52" s="155">
        <f>(SUM(CS46:CS49))-CS50</f>
        <v>0.045991</v>
      </c>
      <c r="DA52" s="18">
        <v>930</v>
      </c>
      <c r="DB52" s="3" t="s">
        <v>1528</v>
      </c>
      <c r="DC52" s="8">
        <f>EXPENSES!L37</f>
        <v>54497.85</v>
      </c>
    </row>
    <row r="53" spans="1:107" ht="15">
      <c r="A53" s="34"/>
      <c r="C53" s="59"/>
      <c r="E53" s="373"/>
      <c r="G53" s="59"/>
      <c r="I53" s="172" t="s">
        <v>1503</v>
      </c>
      <c r="J53" s="8">
        <f>SUM(J24)</f>
        <v>-8750</v>
      </c>
      <c r="K53" s="8">
        <f>SUM(K24)</f>
        <v>-2625</v>
      </c>
      <c r="L53" s="8">
        <f>SUM(L24)</f>
        <v>-6125</v>
      </c>
      <c r="Q53" s="16" t="s">
        <v>1072</v>
      </c>
      <c r="U53" s="16" t="s">
        <v>1072</v>
      </c>
      <c r="W53" s="18" t="s">
        <v>1023</v>
      </c>
      <c r="X53" s="3" t="s">
        <v>1309</v>
      </c>
      <c r="Y53" s="8">
        <f>ROUND((((CO27*AC38)*CX58)/CX59),0)</f>
        <v>115980</v>
      </c>
      <c r="BH53" s="59" t="s">
        <v>1072</v>
      </c>
      <c r="BI53" s="59" t="s">
        <v>1072</v>
      </c>
      <c r="BJ53" s="59" t="s">
        <v>1072</v>
      </c>
      <c r="BL53" s="18" t="s">
        <v>1616</v>
      </c>
      <c r="BM53" s="18">
        <v>154</v>
      </c>
      <c r="BN53" s="3" t="s">
        <v>1799</v>
      </c>
      <c r="BO53" s="8">
        <f>SUM(AH20)</f>
        <v>12360428.97</v>
      </c>
      <c r="BS53" s="248"/>
      <c r="BT53" s="248"/>
      <c r="CG53" s="18" t="s">
        <v>387</v>
      </c>
      <c r="CH53" s="18">
        <v>206</v>
      </c>
      <c r="CI53" s="3" t="s">
        <v>1255</v>
      </c>
      <c r="CS53" s="59" t="s">
        <v>1569</v>
      </c>
      <c r="CW53" s="208" t="s">
        <v>174</v>
      </c>
      <c r="CX53" s="374"/>
      <c r="DA53" s="18">
        <v>931</v>
      </c>
      <c r="DB53" s="3" t="s">
        <v>1627</v>
      </c>
      <c r="DC53" s="8">
        <f>EXPENSES!L38</f>
        <v>876.73</v>
      </c>
    </row>
    <row r="54" spans="7:109" ht="15">
      <c r="G54" s="59"/>
      <c r="J54" s="59" t="s">
        <v>1072</v>
      </c>
      <c r="K54" s="59" t="s">
        <v>1072</v>
      </c>
      <c r="L54" s="59" t="s">
        <v>1072</v>
      </c>
      <c r="M54" s="59" t="s">
        <v>1072</v>
      </c>
      <c r="S54" s="18">
        <v>31</v>
      </c>
      <c r="T54" s="3" t="s">
        <v>1678</v>
      </c>
      <c r="U54" s="8">
        <f>SUM(((((((((((U40-U41)+U42)+U43)+U44)+U45)+U46)+U47)-U50)-U51)-U52))+U48-U49</f>
        <v>258437700.97176003</v>
      </c>
      <c r="W54" s="18" t="s">
        <v>1612</v>
      </c>
      <c r="X54" s="172" t="s">
        <v>1883</v>
      </c>
      <c r="Y54" s="8">
        <f>EXPENSES!H81</f>
        <v>150417.14</v>
      </c>
      <c r="AF54" s="18" t="s">
        <v>1211</v>
      </c>
      <c r="AG54" s="3" t="s">
        <v>193</v>
      </c>
      <c r="AH54" s="8">
        <v>8769128</v>
      </c>
      <c r="BL54" s="18" t="s">
        <v>89</v>
      </c>
      <c r="BM54" s="18">
        <v>155</v>
      </c>
      <c r="BN54" s="3" t="s">
        <v>753</v>
      </c>
      <c r="BO54" s="8">
        <f>SUM(AH21)</f>
        <v>0</v>
      </c>
      <c r="BT54" s="248"/>
      <c r="CA54" s="18">
        <v>21</v>
      </c>
      <c r="CC54" s="3" t="s">
        <v>90</v>
      </c>
      <c r="CD54" s="16" t="s">
        <v>1072</v>
      </c>
      <c r="CI54" s="3" t="s">
        <v>91</v>
      </c>
      <c r="CJ54" s="8">
        <v>0</v>
      </c>
      <c r="CW54" s="18" t="s">
        <v>158</v>
      </c>
      <c r="CX54" s="8">
        <f>J22-K22-L22</f>
        <v>0</v>
      </c>
      <c r="DA54" s="18">
        <v>933</v>
      </c>
      <c r="DB54" s="3" t="s">
        <v>159</v>
      </c>
      <c r="DC54" s="8">
        <v>0</v>
      </c>
      <c r="DE54" s="8"/>
    </row>
    <row r="55" spans="3:102" ht="15">
      <c r="C55" s="8"/>
      <c r="G55" s="8"/>
      <c r="I55" s="3" t="s">
        <v>784</v>
      </c>
      <c r="J55" s="8">
        <f>TRUNC(J48-(SUM(J49:J53)))</f>
        <v>-212145</v>
      </c>
      <c r="K55" s="8">
        <f>TRUNC(K48-(SUM(K49:K53)))</f>
        <v>-63643</v>
      </c>
      <c r="L55" s="8">
        <f>TRUNC(L48-(SUM(L49:L53)))</f>
        <v>-148501</v>
      </c>
      <c r="O55" s="18">
        <v>27</v>
      </c>
      <c r="P55" s="3" t="s">
        <v>201</v>
      </c>
      <c r="Q55" s="8">
        <f>SUM(((Q34+Q43)+Q52))</f>
        <v>314097103.4699999</v>
      </c>
      <c r="U55" s="16" t="s">
        <v>1072</v>
      </c>
      <c r="W55" s="18" t="s">
        <v>1211</v>
      </c>
      <c r="X55" s="172" t="s">
        <v>211</v>
      </c>
      <c r="Y55" s="8">
        <f>EXPENSES!H82</f>
        <v>0</v>
      </c>
      <c r="AF55" s="18" t="s">
        <v>75</v>
      </c>
      <c r="AG55" s="3" t="s">
        <v>133</v>
      </c>
      <c r="AH55" s="8">
        <f>SUM((((AH54*CS59)/CX59)*CX58))</f>
        <v>49361.78090249179</v>
      </c>
      <c r="BE55" s="18">
        <v>12</v>
      </c>
      <c r="BF55" s="18" t="s">
        <v>631</v>
      </c>
      <c r="BG55" s="3" t="s">
        <v>1707</v>
      </c>
      <c r="BH55" s="8">
        <f>BH35+BH38+BH42+BH45+BH49+BH52</f>
        <v>37000.56000000001</v>
      </c>
      <c r="BI55" s="8">
        <f>BI35+BI38+BI42+BI45+BI49+BI52</f>
        <v>11100.168000000001</v>
      </c>
      <c r="BJ55" s="8">
        <f>BJ35+BJ38+BJ42+BJ45+BJ49+BJ52</f>
        <v>25900.392000000007</v>
      </c>
      <c r="BL55" s="18" t="s">
        <v>134</v>
      </c>
      <c r="BM55" s="18">
        <v>156</v>
      </c>
      <c r="BN55" s="3" t="s">
        <v>160</v>
      </c>
      <c r="BO55" s="8">
        <v>0</v>
      </c>
      <c r="BT55" s="248"/>
      <c r="CC55" s="3" t="s">
        <v>1150</v>
      </c>
      <c r="CD55" s="8">
        <f>CD48+CD50+CD52</f>
        <v>10541638.5</v>
      </c>
      <c r="CJ55" s="16" t="s">
        <v>1072</v>
      </c>
      <c r="CQ55" s="18">
        <v>28</v>
      </c>
      <c r="CR55" s="3" t="s">
        <v>782</v>
      </c>
      <c r="CS55" s="155">
        <f>SUM(((CS46+CS47)-CS50))</f>
        <v>0.007979</v>
      </c>
      <c r="CW55" s="18" t="s">
        <v>783</v>
      </c>
      <c r="CX55" s="16" t="s">
        <v>1072</v>
      </c>
    </row>
    <row r="56" spans="3:107" ht="15">
      <c r="C56" s="8"/>
      <c r="G56" s="8"/>
      <c r="I56" s="3" t="s">
        <v>557</v>
      </c>
      <c r="J56" s="8">
        <f>SUM(J35)</f>
        <v>-397226.61</v>
      </c>
      <c r="K56" s="8">
        <f>SUM(K35)</f>
        <v>-119167.983</v>
      </c>
      <c r="L56" s="8">
        <f>SUM(L35)</f>
        <v>-278058.627</v>
      </c>
      <c r="Q56" s="16" t="s">
        <v>1569</v>
      </c>
      <c r="S56" s="18">
        <v>32</v>
      </c>
      <c r="T56" s="3" t="s">
        <v>827</v>
      </c>
      <c r="U56" s="8">
        <f>SUM((U35+U54))</f>
        <v>246658551.67000005</v>
      </c>
      <c r="W56" s="18" t="s">
        <v>75</v>
      </c>
      <c r="X56" s="3" t="s">
        <v>171</v>
      </c>
      <c r="Y56" s="8">
        <f>ROUND((((Y24*AC50)*CX58)/CX59),0)</f>
        <v>0</v>
      </c>
      <c r="AF56" s="18" t="s">
        <v>162</v>
      </c>
      <c r="AG56" s="3" t="s">
        <v>451</v>
      </c>
      <c r="AH56" s="8">
        <f>IF(AH67&gt;0,AH67,0)</f>
        <v>0</v>
      </c>
      <c r="BH56" s="59" t="s">
        <v>1569</v>
      </c>
      <c r="BI56" s="59" t="s">
        <v>1569</v>
      </c>
      <c r="BJ56" s="59" t="s">
        <v>1569</v>
      </c>
      <c r="BL56" s="18" t="s">
        <v>452</v>
      </c>
      <c r="BM56" s="18">
        <v>163</v>
      </c>
      <c r="BN56" s="3" t="s">
        <v>1895</v>
      </c>
      <c r="BO56" s="8">
        <f>SUM(AH22)</f>
        <v>0</v>
      </c>
      <c r="BS56" s="248"/>
      <c r="BT56" s="248"/>
      <c r="CD56" s="16" t="s">
        <v>1569</v>
      </c>
      <c r="CG56" s="18" t="s">
        <v>173</v>
      </c>
      <c r="CI56" s="3" t="s">
        <v>175</v>
      </c>
      <c r="CJ56" s="8">
        <f>CJ51+CJ52+CJ54</f>
        <v>0</v>
      </c>
      <c r="CR56" s="3" t="s">
        <v>63</v>
      </c>
      <c r="CX56" s="20" t="s">
        <v>1554</v>
      </c>
      <c r="DB56" s="3" t="s">
        <v>1866</v>
      </c>
      <c r="DC56" s="8">
        <f>SUM(DC42:DC54)</f>
        <v>588631.5199999999</v>
      </c>
    </row>
    <row r="57" spans="3:100" ht="15">
      <c r="C57" s="16"/>
      <c r="G57" s="16"/>
      <c r="J57" s="59" t="s">
        <v>1072</v>
      </c>
      <c r="K57" s="59" t="s">
        <v>1072</v>
      </c>
      <c r="L57" s="59" t="s">
        <v>1072</v>
      </c>
      <c r="M57" s="59" t="s">
        <v>1072</v>
      </c>
      <c r="U57" s="16" t="s">
        <v>1569</v>
      </c>
      <c r="Y57" s="16" t="s">
        <v>1072</v>
      </c>
      <c r="AF57" s="18" t="s">
        <v>1867</v>
      </c>
      <c r="AG57" s="3" t="s">
        <v>104</v>
      </c>
      <c r="AH57" s="8">
        <f>IF(AH67&lt;0,-1*AH67,0)</f>
        <v>27617</v>
      </c>
      <c r="BL57" s="18" t="s">
        <v>105</v>
      </c>
      <c r="BN57" s="3" t="s">
        <v>1653</v>
      </c>
      <c r="BO57" s="16" t="s">
        <v>1072</v>
      </c>
      <c r="CJ57" s="16" t="s">
        <v>1072</v>
      </c>
      <c r="CQ57" s="18">
        <v>29</v>
      </c>
      <c r="CR57" s="3" t="s">
        <v>1173</v>
      </c>
      <c r="CS57" s="155">
        <f>ROUND((CS49/0.65),6)</f>
        <v>0.05848</v>
      </c>
      <c r="CV57" s="3" t="s">
        <v>1760</v>
      </c>
    </row>
    <row r="58" spans="2:107" ht="15">
      <c r="B58" s="18"/>
      <c r="C58" s="8"/>
      <c r="F58" s="18"/>
      <c r="G58" s="8"/>
      <c r="I58" s="3" t="s">
        <v>30</v>
      </c>
      <c r="J58" s="8">
        <f>SUM((J55+J56))</f>
        <v>-609371.61</v>
      </c>
      <c r="K58" s="8">
        <f>SUM((K55+K56))</f>
        <v>-182810.983</v>
      </c>
      <c r="L58" s="8">
        <f>SUM((L55+L56))</f>
        <v>-426559.627</v>
      </c>
      <c r="O58" s="18">
        <v>28</v>
      </c>
      <c r="P58" s="3" t="s">
        <v>202</v>
      </c>
      <c r="Q58" s="155">
        <f>ROUND((Q34/Q55),6)</f>
        <v>0.785294</v>
      </c>
      <c r="W58" s="18" t="s">
        <v>162</v>
      </c>
      <c r="X58" s="3" t="s">
        <v>1800</v>
      </c>
      <c r="Y58" s="8">
        <f>SUM((((Y53+Y54)+Y55)-Y56))</f>
        <v>266397.14</v>
      </c>
      <c r="AH58" s="59" t="s">
        <v>1072</v>
      </c>
      <c r="BF58" s="34" t="s">
        <v>1073</v>
      </c>
      <c r="BN58" s="3" t="s">
        <v>34</v>
      </c>
      <c r="BO58" s="8">
        <f>SUM(BO50:BO56)</f>
        <v>31815109.620000005</v>
      </c>
      <c r="CB58" s="34" t="s">
        <v>35</v>
      </c>
      <c r="CR58" s="3" t="s">
        <v>64</v>
      </c>
      <c r="CS58" s="59" t="s">
        <v>1072</v>
      </c>
      <c r="CW58" s="3" t="s">
        <v>1605</v>
      </c>
      <c r="CX58" s="3">
        <v>31</v>
      </c>
      <c r="DA58" s="18">
        <v>935</v>
      </c>
      <c r="DB58" s="3" t="s">
        <v>1606</v>
      </c>
      <c r="DC58" s="8">
        <f>EXPENSES!L43</f>
        <v>36634.13</v>
      </c>
    </row>
    <row r="59" spans="3:102" ht="15">
      <c r="C59" s="59" t="s">
        <v>1569</v>
      </c>
      <c r="G59" s="59" t="s">
        <v>1569</v>
      </c>
      <c r="I59" s="3" t="s">
        <v>833</v>
      </c>
      <c r="J59" s="158">
        <v>0.35</v>
      </c>
      <c r="K59" s="158">
        <f>+J59</f>
        <v>0.35</v>
      </c>
      <c r="L59" s="158">
        <f>+J59</f>
        <v>0.35</v>
      </c>
      <c r="W59" s="18" t="s">
        <v>1867</v>
      </c>
      <c r="X59" s="3" t="s">
        <v>772</v>
      </c>
      <c r="Y59" s="8">
        <v>0</v>
      </c>
      <c r="AF59" s="18" t="s">
        <v>527</v>
      </c>
      <c r="AG59" s="3" t="s">
        <v>528</v>
      </c>
      <c r="AH59" s="8">
        <f>SUM((((AH54+AH55)+AH56)-AH57))</f>
        <v>8790872.780902492</v>
      </c>
      <c r="BF59" s="34" t="s">
        <v>1213</v>
      </c>
      <c r="BO59" s="16" t="s">
        <v>1072</v>
      </c>
      <c r="CC59" s="3" t="s">
        <v>271</v>
      </c>
      <c r="CD59" s="8">
        <f>'UNIT 1 PWR BILL'!CC59</f>
        <v>4791461</v>
      </c>
      <c r="CQ59" s="18">
        <v>30</v>
      </c>
      <c r="CR59" s="3" t="s">
        <v>1264</v>
      </c>
      <c r="CS59" s="155">
        <f>SUM((CS55+CS57))</f>
        <v>0.06645899999999999</v>
      </c>
      <c r="CW59" s="3" t="s">
        <v>1406</v>
      </c>
      <c r="CX59" s="3">
        <f>INSTRUCTIONS!L16</f>
        <v>366</v>
      </c>
    </row>
    <row r="60" spans="2:107" ht="15">
      <c r="B60" s="18" t="s">
        <v>77</v>
      </c>
      <c r="C60" s="154">
        <f>C42+C51</f>
        <v>9390389.635</v>
      </c>
      <c r="F60" s="18" t="s">
        <v>77</v>
      </c>
      <c r="G60" s="375">
        <f>G42+G51</f>
        <v>4024452.65</v>
      </c>
      <c r="I60" s="3" t="s">
        <v>1128</v>
      </c>
      <c r="J60" s="8">
        <f>SUM(K60:L60)</f>
        <v>-213280</v>
      </c>
      <c r="K60" s="8">
        <f>ROUND((K58*K59),0)</f>
        <v>-63984</v>
      </c>
      <c r="L60" s="8">
        <f>ROUND((L58*L59),0)</f>
        <v>-149296</v>
      </c>
      <c r="O60" s="18">
        <v>29</v>
      </c>
      <c r="P60" s="3" t="s">
        <v>203</v>
      </c>
      <c r="Q60" s="155">
        <f>ROUND((Q43/Q55),6)</f>
        <v>0.181144</v>
      </c>
      <c r="S60" s="18">
        <v>33</v>
      </c>
      <c r="T60" s="96" t="s">
        <v>474</v>
      </c>
      <c r="Y60" s="16" t="s">
        <v>1072</v>
      </c>
      <c r="AH60" s="59" t="s">
        <v>1569</v>
      </c>
      <c r="BL60" s="18" t="s">
        <v>834</v>
      </c>
      <c r="BM60" s="18">
        <v>165</v>
      </c>
      <c r="BN60" s="3" t="s">
        <v>1656</v>
      </c>
      <c r="BO60" s="8">
        <f>AEGBS!J31</f>
        <v>24200.01</v>
      </c>
      <c r="CC60" s="3" t="s">
        <v>1228</v>
      </c>
      <c r="CD60" s="8">
        <f>IF((AH17=AH28),0,(IF((AH45&gt;AH17),(ROUND((AH28-AH17),0)),(ROUND((AH28-AH45),0)))))</f>
        <v>4993538</v>
      </c>
      <c r="CS60" s="59" t="s">
        <v>1569</v>
      </c>
      <c r="CW60" s="18" t="s">
        <v>1349</v>
      </c>
      <c r="CX60" s="15" t="str">
        <f>INSTRUCTIONS!L4</f>
        <v>2016</v>
      </c>
      <c r="DB60" s="18" t="s">
        <v>1834</v>
      </c>
      <c r="DC60" s="8">
        <f>SUM((DC56+DC58))</f>
        <v>625265.6499999999</v>
      </c>
    </row>
    <row r="61" spans="1:102" ht="15">
      <c r="A61" s="34"/>
      <c r="C61" s="59" t="s">
        <v>1569</v>
      </c>
      <c r="E61" s="34"/>
      <c r="G61" s="59" t="s">
        <v>1569</v>
      </c>
      <c r="I61" s="3" t="s">
        <v>388</v>
      </c>
      <c r="J61" s="8">
        <f>SUM(K61:L61)</f>
        <v>37000.56000000001</v>
      </c>
      <c r="K61" s="8">
        <f>SUM(K36)</f>
        <v>11100.168000000001</v>
      </c>
      <c r="L61" s="8">
        <f>SUM(L36)</f>
        <v>25900.392000000007</v>
      </c>
      <c r="W61" s="18" t="s">
        <v>527</v>
      </c>
      <c r="X61" s="3" t="s">
        <v>1401</v>
      </c>
      <c r="Y61" s="8">
        <f>SUM(Y58:Y59)</f>
        <v>266397.14</v>
      </c>
      <c r="AG61" s="3" t="s">
        <v>53</v>
      </c>
      <c r="BF61" s="3"/>
      <c r="BG61" s="86" t="s">
        <v>1324</v>
      </c>
      <c r="BH61" s="109">
        <f>IF(INSTRUCTIONS!$L$29="ESTIMATE",TXPG12RV!G120,IF(INSTRUCTIONS!$L$29="ACTUAL",TXPG12RV!I120,"SEE NOTE"))</f>
        <v>-397226.61</v>
      </c>
      <c r="BO61" s="16" t="s">
        <v>1072</v>
      </c>
      <c r="CD61" s="16" t="s">
        <v>1072</v>
      </c>
      <c r="CW61" s="3" t="s">
        <v>371</v>
      </c>
      <c r="CX61" s="15">
        <f>INSTRUCTIONS!L3</f>
        <v>1</v>
      </c>
    </row>
    <row r="62" spans="1:102" ht="15">
      <c r="A62" s="34" t="s">
        <v>161</v>
      </c>
      <c r="E62" s="34" t="s">
        <v>161</v>
      </c>
      <c r="J62" s="59" t="s">
        <v>1072</v>
      </c>
      <c r="K62" s="59" t="s">
        <v>1072</v>
      </c>
      <c r="L62" s="59" t="s">
        <v>1072</v>
      </c>
      <c r="M62" s="59" t="s">
        <v>1072</v>
      </c>
      <c r="O62" s="18">
        <v>30</v>
      </c>
      <c r="P62" s="3" t="s">
        <v>204</v>
      </c>
      <c r="Q62" s="155">
        <f>SUM(((Q64-Q58)-Q60))</f>
        <v>0.03356199999999995</v>
      </c>
      <c r="S62" s="18">
        <v>34</v>
      </c>
      <c r="T62" s="3" t="s">
        <v>209</v>
      </c>
      <c r="U62" s="155">
        <f>ROUND((U35/U56),4)</f>
        <v>-0.0478</v>
      </c>
      <c r="W62" s="18" t="s">
        <v>241</v>
      </c>
      <c r="X62" s="3" t="s">
        <v>703</v>
      </c>
      <c r="Y62" s="155">
        <f>SUM(Q58)</f>
        <v>0.785294</v>
      </c>
      <c r="AG62" s="3" t="s">
        <v>1666</v>
      </c>
      <c r="AH62" s="8"/>
      <c r="BF62" s="3"/>
      <c r="BG62" s="86" t="s">
        <v>457</v>
      </c>
      <c r="BH62" s="109">
        <f>IF(INSTRUCTIONS!$L$29="ESTIMATE",TXPG12RV!G158,IF(INSTRUCTIONS!$L$29="ACTUAL",TXPG12RV!I158,"SEE NOTE"))</f>
        <v>37000.56000000001</v>
      </c>
      <c r="BL62" s="18" t="s">
        <v>1428</v>
      </c>
      <c r="BM62" s="18">
        <v>186</v>
      </c>
      <c r="BN62" s="3" t="s">
        <v>229</v>
      </c>
      <c r="BO62" s="8">
        <v>0</v>
      </c>
      <c r="CC62" s="3" t="s">
        <v>1062</v>
      </c>
      <c r="CD62" s="8">
        <f>ROUND((CD59+CD60),0)</f>
        <v>9784999</v>
      </c>
      <c r="CW62" s="18" t="s">
        <v>1024</v>
      </c>
      <c r="CX62" s="175" t="str">
        <f>INSTRUCTIONS!L7</f>
        <v>January, 2016</v>
      </c>
    </row>
    <row r="63" spans="1:107" ht="15">
      <c r="A63" s="34"/>
      <c r="E63" s="34"/>
      <c r="I63" s="3" t="s">
        <v>558</v>
      </c>
      <c r="J63" s="8">
        <f>SUM((J60+J61))</f>
        <v>-176279.44</v>
      </c>
      <c r="K63" s="8">
        <f>SUM((K60+K61))</f>
        <v>-52883.831999999995</v>
      </c>
      <c r="L63" s="8">
        <f>SUM((L60+L61))</f>
        <v>-123395.608</v>
      </c>
      <c r="Q63" s="16" t="s">
        <v>1072</v>
      </c>
      <c r="W63" s="18" t="s">
        <v>771</v>
      </c>
      <c r="X63" s="3" t="s">
        <v>975</v>
      </c>
      <c r="Y63" s="155">
        <f>ROUND((U35/U56),4)</f>
        <v>-0.0478</v>
      </c>
      <c r="AH63" s="8"/>
      <c r="BF63" s="3"/>
      <c r="BO63" s="16" t="s">
        <v>1072</v>
      </c>
      <c r="CD63" s="16" t="s">
        <v>1569</v>
      </c>
      <c r="DA63" s="34" t="s">
        <v>645</v>
      </c>
      <c r="DC63" s="8">
        <f>SUM(((((((CX24+CX35)+CX41)+DC22)+DC32)+DC40)+DC60))</f>
        <v>12579197.71</v>
      </c>
    </row>
    <row r="64" spans="1:107" ht="15">
      <c r="A64" s="34" t="s">
        <v>1654</v>
      </c>
      <c r="B64" s="176">
        <v>42419</v>
      </c>
      <c r="E64" s="34" t="s">
        <v>1654</v>
      </c>
      <c r="F64" s="176">
        <v>42419</v>
      </c>
      <c r="J64" s="59" t="s">
        <v>1569</v>
      </c>
      <c r="K64" s="59" t="s">
        <v>1569</v>
      </c>
      <c r="L64" s="59" t="s">
        <v>1569</v>
      </c>
      <c r="M64" s="59" t="s">
        <v>1569</v>
      </c>
      <c r="O64" s="18">
        <v>31</v>
      </c>
      <c r="P64" s="3" t="s">
        <v>1429</v>
      </c>
      <c r="Q64" s="155">
        <v>1</v>
      </c>
      <c r="S64" s="18">
        <v>35</v>
      </c>
      <c r="T64" s="3" t="s">
        <v>210</v>
      </c>
      <c r="U64" s="155">
        <f>ROUND((U54/U56),4)</f>
        <v>1.0478</v>
      </c>
      <c r="AH64" s="8"/>
      <c r="BF64" s="3" t="s">
        <v>458</v>
      </c>
      <c r="BG64" s="3" t="s">
        <v>669</v>
      </c>
      <c r="DA64" s="34" t="s">
        <v>1452</v>
      </c>
      <c r="DC64" s="8">
        <f>+DC63</f>
        <v>12579197.71</v>
      </c>
    </row>
    <row r="65" spans="1:107" ht="15">
      <c r="A65" s="34" t="s">
        <v>1793</v>
      </c>
      <c r="E65" s="34" t="s">
        <v>1793</v>
      </c>
      <c r="I65" s="34" t="s">
        <v>190</v>
      </c>
      <c r="P65" s="3" t="s">
        <v>116</v>
      </c>
      <c r="Q65" s="16" t="s">
        <v>1569</v>
      </c>
      <c r="U65" s="59" t="s">
        <v>1072</v>
      </c>
      <c r="W65" s="18" t="s">
        <v>1396</v>
      </c>
      <c r="X65" s="3" t="s">
        <v>1056</v>
      </c>
      <c r="Y65" s="8">
        <f>ROUND(((Y61*Y62)*Y63),0)</f>
        <v>-10000</v>
      </c>
      <c r="AG65" s="3" t="s">
        <v>1352</v>
      </c>
      <c r="AH65" s="8">
        <v>8592720.645</v>
      </c>
      <c r="BF65" s="3"/>
      <c r="BG65" s="3" t="s">
        <v>347</v>
      </c>
      <c r="DA65" s="34" t="s">
        <v>1411</v>
      </c>
      <c r="DC65" s="8">
        <f>SUM((DC63-DC64))</f>
        <v>0</v>
      </c>
    </row>
    <row r="66" spans="1:34" ht="15">
      <c r="A66" s="34" t="s">
        <v>234</v>
      </c>
      <c r="E66" s="34" t="s">
        <v>234</v>
      </c>
      <c r="P66" s="3" t="s">
        <v>1451</v>
      </c>
      <c r="U66" s="155">
        <f>SUM((U62+U64))</f>
        <v>1</v>
      </c>
      <c r="Y66" s="59" t="s">
        <v>1569</v>
      </c>
      <c r="AG66" s="3" t="s">
        <v>1163</v>
      </c>
      <c r="AH66" s="8">
        <v>8565103.645</v>
      </c>
    </row>
    <row r="67" spans="1:41" ht="15">
      <c r="A67" s="34" t="s">
        <v>49</v>
      </c>
      <c r="E67" s="34" t="s">
        <v>49</v>
      </c>
      <c r="P67" s="3" t="s">
        <v>1395</v>
      </c>
      <c r="T67" s="3" t="s">
        <v>1025</v>
      </c>
      <c r="U67" s="177" t="s">
        <v>1569</v>
      </c>
      <c r="X67" s="18" t="s">
        <v>376</v>
      </c>
      <c r="AG67" s="3" t="s">
        <v>367</v>
      </c>
      <c r="AH67" s="8">
        <f>AH66-AH65</f>
        <v>-27617</v>
      </c>
      <c r="AI67" s="8" t="s">
        <v>1554</v>
      </c>
      <c r="AN67" s="8"/>
      <c r="AO67" s="8"/>
    </row>
    <row r="68" spans="1:60" ht="15">
      <c r="A68" s="34" t="s">
        <v>137</v>
      </c>
      <c r="E68" s="34" t="s">
        <v>137</v>
      </c>
      <c r="P68" s="3" t="s">
        <v>1057</v>
      </c>
      <c r="AH68" s="8"/>
      <c r="BG68" s="86"/>
      <c r="BH68" s="240"/>
    </row>
    <row r="69" spans="1:20" ht="15">
      <c r="A69" s="34" t="s">
        <v>546</v>
      </c>
      <c r="E69" s="34" t="s">
        <v>546</v>
      </c>
      <c r="P69" s="3" t="s">
        <v>1317</v>
      </c>
      <c r="T69" s="3" t="s">
        <v>1453</v>
      </c>
    </row>
    <row r="70" spans="1:20" ht="15">
      <c r="A70" s="34" t="s">
        <v>1145</v>
      </c>
      <c r="E70" s="34"/>
      <c r="T70" s="3" t="s">
        <v>1269</v>
      </c>
    </row>
    <row r="71" spans="1:5" ht="15">
      <c r="A71" s="34"/>
      <c r="E71" s="34"/>
    </row>
    <row r="73" ht="15">
      <c r="E73" s="34"/>
    </row>
    <row r="74" spans="1:5" ht="15">
      <c r="A74" s="34"/>
      <c r="E74" s="34"/>
    </row>
    <row r="75" spans="1:5" ht="15">
      <c r="A75" s="34"/>
      <c r="E75" s="34"/>
    </row>
    <row r="76" spans="1:5" ht="15">
      <c r="A76" s="34"/>
      <c r="E76" s="34"/>
    </row>
    <row r="77" ht="15">
      <c r="A77" s="34"/>
    </row>
    <row r="86" spans="32:43" ht="15.75">
      <c r="AF86" s="26" t="s">
        <v>1862</v>
      </c>
      <c r="AP86" s="3"/>
      <c r="AQ86" s="3"/>
    </row>
    <row r="87" spans="32:43" ht="15">
      <c r="AF87" s="3"/>
      <c r="AG87" s="3" t="s">
        <v>62</v>
      </c>
      <c r="AP87" s="3"/>
      <c r="AQ87" s="3"/>
    </row>
    <row r="88" ht="15">
      <c r="AG88" s="3" t="s">
        <v>1816</v>
      </c>
    </row>
    <row r="89" ht="15">
      <c r="AG89" s="3" t="s">
        <v>1881</v>
      </c>
    </row>
    <row r="92" ht="15.75">
      <c r="AF92" s="17" t="s">
        <v>1817</v>
      </c>
    </row>
    <row r="93" ht="15">
      <c r="AG93" s="3" t="s">
        <v>260</v>
      </c>
    </row>
    <row r="94" ht="15">
      <c r="AG94" s="3" t="s">
        <v>553</v>
      </c>
    </row>
    <row r="97" ht="15.75">
      <c r="AF97" s="144" t="s">
        <v>554</v>
      </c>
    </row>
    <row r="99" ht="15">
      <c r="AG99" s="3" t="s">
        <v>842</v>
      </c>
    </row>
    <row r="103" ht="15.75">
      <c r="AF103" s="17" t="s">
        <v>471</v>
      </c>
    </row>
    <row r="104" spans="32:54" ht="15">
      <c r="AF104" s="3"/>
      <c r="AG104" s="376" t="s">
        <v>16</v>
      </c>
      <c r="AH104" s="377" t="s">
        <v>17</v>
      </c>
      <c r="AI104" s="377" t="s">
        <v>18</v>
      </c>
      <c r="AN104" s="377"/>
      <c r="AO104" s="377"/>
      <c r="AP104" s="377" t="s">
        <v>1809</v>
      </c>
      <c r="AQ104" s="377" t="s">
        <v>439</v>
      </c>
      <c r="AR104" s="377" t="s">
        <v>440</v>
      </c>
      <c r="AS104" s="377" t="s">
        <v>441</v>
      </c>
      <c r="AT104" s="377" t="s">
        <v>442</v>
      </c>
      <c r="AZ104" s="377" t="s">
        <v>448</v>
      </c>
      <c r="BA104" s="377" t="s">
        <v>449</v>
      </c>
      <c r="BB104" s="377" t="s">
        <v>147</v>
      </c>
    </row>
    <row r="105" spans="33:54" ht="15">
      <c r="AG105" s="376">
        <v>1</v>
      </c>
      <c r="AH105" s="377">
        <v>0</v>
      </c>
      <c r="AI105" s="377">
        <v>0</v>
      </c>
      <c r="AN105" s="377"/>
      <c r="AO105" s="377"/>
      <c r="AP105" s="377">
        <v>0</v>
      </c>
      <c r="AQ105" s="377">
        <v>0</v>
      </c>
      <c r="AR105" s="377">
        <v>0</v>
      </c>
      <c r="AS105" s="377">
        <v>0</v>
      </c>
      <c r="AT105" s="377">
        <v>0</v>
      </c>
      <c r="AZ105" s="377">
        <v>0</v>
      </c>
      <c r="BA105" s="377">
        <v>0</v>
      </c>
      <c r="BB105" s="377">
        <v>0</v>
      </c>
    </row>
    <row r="106" spans="33:54" ht="15">
      <c r="AG106" s="376" t="s">
        <v>1332</v>
      </c>
      <c r="AH106" s="377" t="s">
        <v>1333</v>
      </c>
      <c r="AI106" s="377" t="s">
        <v>1052</v>
      </c>
      <c r="AN106" s="377"/>
      <c r="AO106" s="377"/>
      <c r="AP106" s="377" t="s">
        <v>1053</v>
      </c>
      <c r="AQ106" s="377" t="s">
        <v>713</v>
      </c>
      <c r="AR106" s="377" t="s">
        <v>1085</v>
      </c>
      <c r="AS106" s="377" t="s">
        <v>1086</v>
      </c>
      <c r="AT106" s="377" t="s">
        <v>1087</v>
      </c>
      <c r="AZ106" s="377" t="s">
        <v>282</v>
      </c>
      <c r="BA106" s="377" t="s">
        <v>283</v>
      </c>
      <c r="BB106" s="377" t="s">
        <v>325</v>
      </c>
    </row>
    <row r="107" ht="15">
      <c r="AY107" s="377" t="s">
        <v>447</v>
      </c>
    </row>
    <row r="108" spans="32:51" ht="15.75">
      <c r="AF108" s="17" t="s">
        <v>275</v>
      </c>
      <c r="AY108" s="377">
        <v>0</v>
      </c>
    </row>
    <row r="109" spans="32:51" ht="15">
      <c r="AF109" s="3"/>
      <c r="AG109" s="378">
        <v>1</v>
      </c>
      <c r="AU109" s="377" t="s">
        <v>443</v>
      </c>
      <c r="AV109" s="377" t="s">
        <v>444</v>
      </c>
      <c r="AW109" s="377" t="s">
        <v>445</v>
      </c>
      <c r="AX109" s="377" t="s">
        <v>446</v>
      </c>
      <c r="AY109" s="377" t="s">
        <v>281</v>
      </c>
    </row>
    <row r="110" spans="47:50" ht="15">
      <c r="AU110" s="377">
        <v>0</v>
      </c>
      <c r="AV110" s="377">
        <v>0</v>
      </c>
      <c r="AW110" s="377">
        <v>0</v>
      </c>
      <c r="AX110" s="377">
        <v>0</v>
      </c>
    </row>
    <row r="111" spans="47:50" ht="15">
      <c r="AU111" s="377" t="s">
        <v>1088</v>
      </c>
      <c r="AV111" s="377" t="s">
        <v>685</v>
      </c>
      <c r="AW111" s="377" t="s">
        <v>686</v>
      </c>
      <c r="AX111" s="377" t="s">
        <v>687</v>
      </c>
    </row>
    <row r="113" ht="15.75">
      <c r="AF113" s="17" t="s">
        <v>853</v>
      </c>
    </row>
    <row r="114" ht="15">
      <c r="AG114" s="3" t="s">
        <v>1207</v>
      </c>
    </row>
    <row r="115" ht="15">
      <c r="AG115" s="3" t="s">
        <v>915</v>
      </c>
    </row>
    <row r="116" ht="15">
      <c r="AG116" s="3" t="s">
        <v>1245</v>
      </c>
    </row>
    <row r="117" ht="15">
      <c r="AG117" s="3" t="s">
        <v>143</v>
      </c>
    </row>
    <row r="118" ht="15">
      <c r="AG118" s="3" t="s">
        <v>144</v>
      </c>
    </row>
    <row r="119" ht="15">
      <c r="AG119" s="3" t="s">
        <v>1281</v>
      </c>
    </row>
    <row r="120" ht="15">
      <c r="AG120" s="3" t="s">
        <v>377</v>
      </c>
    </row>
    <row r="121" ht="15">
      <c r="AG121" s="3" t="s">
        <v>29</v>
      </c>
    </row>
    <row r="122" ht="15">
      <c r="AG122" s="3" t="s">
        <v>864</v>
      </c>
    </row>
    <row r="123" ht="15">
      <c r="AG123" s="3" t="s">
        <v>1912</v>
      </c>
    </row>
    <row r="124" ht="15">
      <c r="AG124" s="3" t="s">
        <v>565</v>
      </c>
    </row>
    <row r="125" ht="15">
      <c r="AG125" s="3" t="s">
        <v>1912</v>
      </c>
    </row>
    <row r="126" ht="15">
      <c r="AG126" s="3" t="s">
        <v>691</v>
      </c>
    </row>
    <row r="127" ht="15">
      <c r="AG127" s="3" t="s">
        <v>1912</v>
      </c>
    </row>
    <row r="128" ht="15">
      <c r="AG128" s="3" t="s">
        <v>1099</v>
      </c>
    </row>
    <row r="129" ht="15">
      <c r="AG129" s="3" t="s">
        <v>1912</v>
      </c>
    </row>
    <row r="130" ht="15">
      <c r="AG130" s="3" t="s">
        <v>1100</v>
      </c>
    </row>
    <row r="131" ht="15">
      <c r="AG131" s="3" t="s">
        <v>1912</v>
      </c>
    </row>
    <row r="132" ht="15">
      <c r="AG132" s="3" t="s">
        <v>1278</v>
      </c>
    </row>
    <row r="133" ht="15">
      <c r="AG133" s="3" t="s">
        <v>1912</v>
      </c>
    </row>
    <row r="134" ht="15">
      <c r="AG134" s="3" t="s">
        <v>1047</v>
      </c>
    </row>
    <row r="135" ht="15">
      <c r="AG135" s="3" t="s">
        <v>1912</v>
      </c>
    </row>
    <row r="136" ht="15">
      <c r="AG136" s="3" t="s">
        <v>59</v>
      </c>
    </row>
    <row r="137" ht="15">
      <c r="AG137" s="3" t="s">
        <v>1206</v>
      </c>
    </row>
    <row r="138" spans="33:34" ht="15">
      <c r="AG138" s="3" t="s">
        <v>332</v>
      </c>
      <c r="AH138" s="3" t="s">
        <v>1554</v>
      </c>
    </row>
    <row r="139" ht="15">
      <c r="AG139" s="3" t="s">
        <v>1912</v>
      </c>
    </row>
    <row r="140" ht="15">
      <c r="AG140" s="3" t="s">
        <v>333</v>
      </c>
    </row>
    <row r="141" ht="15">
      <c r="AG141" s="3" t="s">
        <v>1912</v>
      </c>
    </row>
    <row r="142" ht="15">
      <c r="AG142" s="3" t="s">
        <v>1438</v>
      </c>
    </row>
    <row r="143" ht="15">
      <c r="AG143" s="3" t="s">
        <v>1912</v>
      </c>
    </row>
    <row r="144" ht="15">
      <c r="AG144" s="3" t="s">
        <v>1405</v>
      </c>
    </row>
    <row r="145" ht="15">
      <c r="AG145" s="3" t="s">
        <v>1912</v>
      </c>
    </row>
    <row r="146" ht="15">
      <c r="AG146" s="3" t="s">
        <v>65</v>
      </c>
    </row>
    <row r="147" ht="15">
      <c r="AG147" s="3" t="s">
        <v>1912</v>
      </c>
    </row>
    <row r="148" ht="15">
      <c r="AG148" s="3" t="s">
        <v>1148</v>
      </c>
    </row>
    <row r="149" ht="15">
      <c r="AG149" s="3" t="s">
        <v>1912</v>
      </c>
    </row>
    <row r="150" ht="15">
      <c r="AG150" s="3" t="s">
        <v>503</v>
      </c>
    </row>
    <row r="151" ht="15">
      <c r="AG151" s="3" t="s">
        <v>1912</v>
      </c>
    </row>
    <row r="152" ht="15">
      <c r="AG152" s="3" t="s">
        <v>131</v>
      </c>
    </row>
    <row r="153" ht="15">
      <c r="AG153" s="3" t="s">
        <v>1912</v>
      </c>
    </row>
    <row r="154" ht="15">
      <c r="AG154" s="3" t="s">
        <v>1502</v>
      </c>
    </row>
    <row r="155" ht="15">
      <c r="AG155" s="3" t="s">
        <v>1912</v>
      </c>
    </row>
    <row r="156" ht="15">
      <c r="AG156" s="3" t="s">
        <v>1092</v>
      </c>
    </row>
    <row r="157" ht="15">
      <c r="AG157" s="3" t="s">
        <v>1912</v>
      </c>
    </row>
    <row r="158" ht="15">
      <c r="AG158" s="3" t="s">
        <v>1794</v>
      </c>
    </row>
    <row r="159" ht="15">
      <c r="AG159" s="3" t="s">
        <v>1912</v>
      </c>
    </row>
    <row r="160" ht="15">
      <c r="AG160" s="3" t="s">
        <v>1519</v>
      </c>
    </row>
    <row r="161" ht="15">
      <c r="AG161" s="3" t="s">
        <v>1912</v>
      </c>
    </row>
    <row r="162" ht="15">
      <c r="AG162" s="3" t="s">
        <v>1890</v>
      </c>
    </row>
    <row r="163" ht="15">
      <c r="AG163" s="3" t="s">
        <v>334</v>
      </c>
    </row>
    <row r="164" ht="15">
      <c r="AG164" s="3" t="s">
        <v>1206</v>
      </c>
    </row>
    <row r="165" ht="15">
      <c r="AG165" s="3" t="s">
        <v>1891</v>
      </c>
    </row>
    <row r="166" ht="15">
      <c r="AG166" s="3" t="s">
        <v>1094</v>
      </c>
    </row>
    <row r="167" ht="15">
      <c r="AG167" s="3" t="s">
        <v>1206</v>
      </c>
    </row>
    <row r="168" ht="15">
      <c r="AG168" s="3" t="s">
        <v>1881</v>
      </c>
    </row>
    <row r="170" spans="32:33" ht="15.75">
      <c r="AF170" s="17" t="s">
        <v>17</v>
      </c>
      <c r="AG170" s="3" t="s">
        <v>1207</v>
      </c>
    </row>
    <row r="171" ht="15">
      <c r="AG171" s="3" t="s">
        <v>915</v>
      </c>
    </row>
    <row r="172" ht="15">
      <c r="AG172" s="3" t="s">
        <v>1245</v>
      </c>
    </row>
    <row r="173" ht="15">
      <c r="AG173" s="3" t="s">
        <v>143</v>
      </c>
    </row>
    <row r="174" ht="15">
      <c r="AG174" s="3" t="s">
        <v>144</v>
      </c>
    </row>
    <row r="175" ht="15">
      <c r="AG175" s="3" t="s">
        <v>1281</v>
      </c>
    </row>
    <row r="176" ht="15">
      <c r="AG176" s="3" t="s">
        <v>377</v>
      </c>
    </row>
    <row r="177" ht="15">
      <c r="AG177" s="3" t="s">
        <v>29</v>
      </c>
    </row>
    <row r="178" ht="15">
      <c r="AG178" s="3" t="s">
        <v>691</v>
      </c>
    </row>
    <row r="179" ht="15">
      <c r="AG179" s="3" t="s">
        <v>1912</v>
      </c>
    </row>
    <row r="184" spans="32:33" ht="15.75">
      <c r="AF184" s="17" t="s">
        <v>18</v>
      </c>
      <c r="AG184" s="3" t="s">
        <v>377</v>
      </c>
    </row>
    <row r="185" spans="32:33" ht="15.75">
      <c r="AF185" s="17"/>
      <c r="AG185" s="3" t="s">
        <v>29</v>
      </c>
    </row>
    <row r="186" spans="32:33" ht="15.75">
      <c r="AF186" s="17"/>
      <c r="AG186" s="3" t="s">
        <v>1099</v>
      </c>
    </row>
    <row r="187" spans="32:33" ht="15.75">
      <c r="AF187" s="17"/>
      <c r="AG187" s="3" t="s">
        <v>1912</v>
      </c>
    </row>
    <row r="188" ht="15.75">
      <c r="AF188" s="17"/>
    </row>
    <row r="189" ht="15.75">
      <c r="AF189" s="17"/>
    </row>
    <row r="190" spans="32:33" ht="15.75">
      <c r="AF190" s="17" t="s">
        <v>1809</v>
      </c>
      <c r="AG190" s="3" t="s">
        <v>377</v>
      </c>
    </row>
    <row r="191" spans="32:33" ht="15.75">
      <c r="AF191" s="17"/>
      <c r="AG191" s="3" t="s">
        <v>29</v>
      </c>
    </row>
    <row r="192" spans="32:33" ht="15.75">
      <c r="AF192" s="17"/>
      <c r="AG192" s="3" t="s">
        <v>1100</v>
      </c>
    </row>
    <row r="193" spans="32:33" ht="15.75">
      <c r="AF193" s="17"/>
      <c r="AG193" s="3" t="s">
        <v>1912</v>
      </c>
    </row>
    <row r="194" ht="15.75">
      <c r="AF194" s="17"/>
    </row>
    <row r="195" ht="15.75">
      <c r="AF195" s="17"/>
    </row>
    <row r="196" spans="32:33" ht="15.75">
      <c r="AF196" s="17" t="s">
        <v>439</v>
      </c>
      <c r="AG196" s="3" t="s">
        <v>377</v>
      </c>
    </row>
    <row r="197" spans="32:33" ht="15.75">
      <c r="AF197" s="17"/>
      <c r="AG197" s="3" t="s">
        <v>29</v>
      </c>
    </row>
    <row r="198" spans="32:33" ht="15.75">
      <c r="AF198" s="17"/>
      <c r="AG198" s="3" t="s">
        <v>1278</v>
      </c>
    </row>
    <row r="199" spans="32:33" ht="15.75">
      <c r="AF199" s="17"/>
      <c r="AG199" s="3" t="s">
        <v>1912</v>
      </c>
    </row>
    <row r="200" ht="15.75">
      <c r="AF200" s="17"/>
    </row>
    <row r="201" ht="15.75">
      <c r="AF201" s="17"/>
    </row>
    <row r="202" spans="32:33" ht="15.75">
      <c r="AF202" s="17" t="s">
        <v>440</v>
      </c>
      <c r="AG202" s="3" t="s">
        <v>377</v>
      </c>
    </row>
    <row r="203" spans="32:33" ht="15.75">
      <c r="AF203" s="17"/>
      <c r="AG203" s="3" t="s">
        <v>29</v>
      </c>
    </row>
    <row r="204" spans="32:33" ht="15.75">
      <c r="AF204" s="17"/>
      <c r="AG204" s="3" t="s">
        <v>1047</v>
      </c>
    </row>
    <row r="205" spans="32:33" ht="15.75">
      <c r="AF205" s="17"/>
      <c r="AG205" s="3" t="s">
        <v>1912</v>
      </c>
    </row>
    <row r="206" ht="15.75">
      <c r="AF206" s="17"/>
    </row>
    <row r="207" ht="15.75">
      <c r="AF207" s="17"/>
    </row>
    <row r="208" spans="32:33" ht="15.75">
      <c r="AF208" s="17" t="s">
        <v>441</v>
      </c>
      <c r="AG208" s="3" t="s">
        <v>1337</v>
      </c>
    </row>
    <row r="209" spans="32:33" ht="15.75">
      <c r="AF209" s="17"/>
      <c r="AG209" s="3" t="s">
        <v>1880</v>
      </c>
    </row>
    <row r="210" spans="32:33" ht="15.75">
      <c r="AF210" s="17"/>
      <c r="AG210" s="3" t="s">
        <v>377</v>
      </c>
    </row>
    <row r="211" spans="32:33" ht="15.75">
      <c r="AF211" s="17"/>
      <c r="AG211" s="3" t="s">
        <v>29</v>
      </c>
    </row>
    <row r="212" spans="32:33" ht="15.75">
      <c r="AF212" s="83"/>
      <c r="AG212" s="3" t="s">
        <v>1448</v>
      </c>
    </row>
    <row r="213" spans="32:33" ht="15.75">
      <c r="AF213" s="17"/>
      <c r="AG213" s="3" t="s">
        <v>1912</v>
      </c>
    </row>
    <row r="214" ht="15.75">
      <c r="AF214" s="17"/>
    </row>
    <row r="215" ht="15.75">
      <c r="AF215" s="17"/>
    </row>
    <row r="216" spans="32:33" ht="15.75">
      <c r="AF216" s="17" t="s">
        <v>442</v>
      </c>
      <c r="AG216" s="3" t="s">
        <v>377</v>
      </c>
    </row>
    <row r="217" spans="32:33" ht="15.75">
      <c r="AF217" s="17"/>
      <c r="AG217" s="3" t="s">
        <v>29</v>
      </c>
    </row>
    <row r="218" spans="32:33" ht="15.75">
      <c r="AF218" s="17"/>
      <c r="AG218" s="3" t="s">
        <v>332</v>
      </c>
    </row>
    <row r="219" spans="32:33" ht="15.75">
      <c r="AF219" s="17"/>
      <c r="AG219" s="3" t="s">
        <v>1912</v>
      </c>
    </row>
    <row r="220" ht="15.75">
      <c r="AF220" s="17"/>
    </row>
    <row r="221" ht="15.75">
      <c r="AF221" s="17"/>
    </row>
    <row r="222" spans="32:33" ht="15.75">
      <c r="AF222" s="17" t="s">
        <v>443</v>
      </c>
      <c r="AG222" s="3" t="s">
        <v>377</v>
      </c>
    </row>
    <row r="223" spans="32:33" ht="15.75">
      <c r="AF223" s="17"/>
      <c r="AG223" s="3" t="s">
        <v>29</v>
      </c>
    </row>
    <row r="224" spans="32:33" ht="15.75">
      <c r="AF224" s="17"/>
      <c r="AG224" s="3" t="s">
        <v>333</v>
      </c>
    </row>
    <row r="225" spans="32:33" ht="15.75">
      <c r="AF225" s="17"/>
      <c r="AG225" s="3" t="s">
        <v>1912</v>
      </c>
    </row>
    <row r="226" ht="15.75">
      <c r="AF226" s="17"/>
    </row>
    <row r="227" ht="15.75">
      <c r="AF227" s="17" t="s">
        <v>444</v>
      </c>
    </row>
    <row r="228" spans="32:33" ht="15">
      <c r="AF228" s="3"/>
      <c r="AG228" s="3" t="s">
        <v>377</v>
      </c>
    </row>
    <row r="229" ht="15">
      <c r="AG229" s="3" t="s">
        <v>29</v>
      </c>
    </row>
    <row r="230" ht="15">
      <c r="AG230" s="3" t="s">
        <v>1438</v>
      </c>
    </row>
    <row r="231" ht="15">
      <c r="AG231" s="3" t="s">
        <v>1912</v>
      </c>
    </row>
    <row r="232" ht="15">
      <c r="AG232" s="3" t="s">
        <v>1405</v>
      </c>
    </row>
    <row r="233" ht="15">
      <c r="AG233" s="3" t="s">
        <v>1912</v>
      </c>
    </row>
    <row r="235" ht="15.75">
      <c r="AF235" s="17"/>
    </row>
    <row r="236" spans="32:33" ht="15.75">
      <c r="AF236" s="17" t="s">
        <v>445</v>
      </c>
      <c r="AG236" s="3" t="s">
        <v>377</v>
      </c>
    </row>
    <row r="237" spans="32:33" ht="15.75">
      <c r="AF237" s="17"/>
      <c r="AG237" s="3" t="s">
        <v>29</v>
      </c>
    </row>
    <row r="238" spans="32:33" ht="15.75">
      <c r="AF238" s="17"/>
      <c r="AG238" s="3" t="s">
        <v>65</v>
      </c>
    </row>
    <row r="239" spans="32:33" ht="15.75">
      <c r="AF239" s="17"/>
      <c r="AG239" s="3" t="s">
        <v>1912</v>
      </c>
    </row>
    <row r="240" ht="15.75">
      <c r="AF240" s="17"/>
    </row>
    <row r="241" ht="15.75">
      <c r="AF241" s="17" t="s">
        <v>446</v>
      </c>
    </row>
    <row r="242" spans="32:33" ht="15.75">
      <c r="AF242" s="83"/>
      <c r="AG242" s="3" t="s">
        <v>377</v>
      </c>
    </row>
    <row r="243" spans="32:33" ht="15.75">
      <c r="AF243" s="17"/>
      <c r="AG243" s="3" t="s">
        <v>29</v>
      </c>
    </row>
    <row r="244" spans="32:33" ht="15.75">
      <c r="AF244" s="17"/>
      <c r="AG244" s="3" t="s">
        <v>1148</v>
      </c>
    </row>
    <row r="245" spans="32:33" ht="15.75">
      <c r="AF245" s="17"/>
      <c r="AG245" s="3" t="s">
        <v>1912</v>
      </c>
    </row>
    <row r="246" spans="32:33" ht="15.75">
      <c r="AF246" s="17"/>
      <c r="AG246" s="3" t="s">
        <v>503</v>
      </c>
    </row>
    <row r="247" spans="32:33" ht="15.75">
      <c r="AF247" s="17"/>
      <c r="AG247" s="3" t="s">
        <v>1912</v>
      </c>
    </row>
    <row r="248" ht="15.75">
      <c r="AF248" s="17"/>
    </row>
    <row r="249" ht="15.75">
      <c r="AF249" s="17"/>
    </row>
    <row r="250" spans="32:33" ht="15.75">
      <c r="AF250" s="17" t="s">
        <v>447</v>
      </c>
      <c r="AG250" s="3" t="s">
        <v>377</v>
      </c>
    </row>
    <row r="251" spans="32:33" ht="15.75">
      <c r="AF251" s="17"/>
      <c r="AG251" s="3" t="s">
        <v>29</v>
      </c>
    </row>
    <row r="252" spans="32:33" ht="15.75">
      <c r="AF252" s="17"/>
      <c r="AG252" s="3" t="s">
        <v>131</v>
      </c>
    </row>
    <row r="253" spans="32:33" ht="15.75">
      <c r="AF253" s="17"/>
      <c r="AG253" s="3" t="s">
        <v>1912</v>
      </c>
    </row>
    <row r="254" ht="15.75">
      <c r="AF254" s="17"/>
    </row>
    <row r="255" ht="15.75">
      <c r="AF255" s="17"/>
    </row>
    <row r="256" spans="32:33" ht="15.75">
      <c r="AF256" s="17" t="s">
        <v>448</v>
      </c>
      <c r="AG256" s="3" t="s">
        <v>377</v>
      </c>
    </row>
    <row r="257" spans="32:33" ht="15.75">
      <c r="AF257" s="17"/>
      <c r="AG257" s="3" t="s">
        <v>29</v>
      </c>
    </row>
    <row r="258" spans="32:33" ht="15.75">
      <c r="AF258" s="17"/>
      <c r="AG258" s="3" t="s">
        <v>1502</v>
      </c>
    </row>
    <row r="259" spans="32:33" ht="15.75">
      <c r="AF259" s="17"/>
      <c r="AG259" s="3" t="s">
        <v>1912</v>
      </c>
    </row>
    <row r="260" ht="15.75">
      <c r="AF260" s="17"/>
    </row>
    <row r="261" ht="15.75">
      <c r="AF261" s="17" t="s">
        <v>449</v>
      </c>
    </row>
    <row r="262" spans="32:33" ht="15.75">
      <c r="AF262" s="83"/>
      <c r="AG262" s="3" t="s">
        <v>377</v>
      </c>
    </row>
    <row r="263" spans="32:33" ht="15.75">
      <c r="AF263" s="17"/>
      <c r="AG263" s="3" t="s">
        <v>29</v>
      </c>
    </row>
    <row r="264" spans="32:33" ht="15.75">
      <c r="AF264" s="17"/>
      <c r="AG264" s="3" t="s">
        <v>1092</v>
      </c>
    </row>
    <row r="265" spans="32:33" ht="15.75">
      <c r="AF265" s="17"/>
      <c r="AG265" s="3" t="s">
        <v>1912</v>
      </c>
    </row>
    <row r="266" spans="32:33" ht="15.75">
      <c r="AF266" s="17"/>
      <c r="AG266" s="3" t="s">
        <v>1794</v>
      </c>
    </row>
    <row r="267" spans="32:33" ht="15.75">
      <c r="AF267" s="17"/>
      <c r="AG267" s="3" t="s">
        <v>1912</v>
      </c>
    </row>
    <row r="268" ht="15.75">
      <c r="AF268" s="17"/>
    </row>
    <row r="269" ht="15.75">
      <c r="AF269" s="17"/>
    </row>
    <row r="270" spans="32:33" ht="15.75">
      <c r="AF270" s="17" t="s">
        <v>1449</v>
      </c>
      <c r="AG270" s="3" t="s">
        <v>377</v>
      </c>
    </row>
    <row r="271" ht="15">
      <c r="AG271" s="3" t="s">
        <v>29</v>
      </c>
    </row>
    <row r="272" ht="15">
      <c r="AG272" s="3" t="s">
        <v>1519</v>
      </c>
    </row>
    <row r="273" ht="15">
      <c r="AG273" s="3" t="s">
        <v>1912</v>
      </c>
    </row>
    <row r="274" spans="32:33" ht="15.75">
      <c r="AF274" s="17" t="s">
        <v>395</v>
      </c>
      <c r="AG274" s="3" t="s">
        <v>1890</v>
      </c>
    </row>
    <row r="275" ht="15">
      <c r="AG275" s="3" t="s">
        <v>334</v>
      </c>
    </row>
    <row r="276" ht="15">
      <c r="AG276" s="3" t="s">
        <v>1206</v>
      </c>
    </row>
    <row r="277" ht="15">
      <c r="AG277" s="3" t="s">
        <v>1891</v>
      </c>
    </row>
    <row r="278" ht="15">
      <c r="AG278" s="3" t="s">
        <v>1094</v>
      </c>
    </row>
    <row r="279" ht="15">
      <c r="AG279" s="3" t="s">
        <v>1206</v>
      </c>
    </row>
    <row r="280" ht="15">
      <c r="AG280" s="3" t="s">
        <v>1881</v>
      </c>
    </row>
    <row r="282" ht="15.75">
      <c r="AF282" s="26" t="s">
        <v>1450</v>
      </c>
    </row>
    <row r="283" spans="32:33" ht="15.75">
      <c r="AF283" s="26"/>
      <c r="AG283" s="3" t="s">
        <v>1442</v>
      </c>
    </row>
    <row r="284" spans="32:33" ht="15.75">
      <c r="AF284" s="26"/>
      <c r="AG284" s="3" t="s">
        <v>1880</v>
      </c>
    </row>
    <row r="285" spans="32:33" ht="15.75">
      <c r="AF285" s="26"/>
      <c r="AG285" s="3" t="s">
        <v>1337</v>
      </c>
    </row>
    <row r="286" spans="32:33" ht="15.75">
      <c r="AF286" s="26"/>
      <c r="AG286" s="3" t="s">
        <v>1880</v>
      </c>
    </row>
    <row r="287" spans="32:33" ht="15">
      <c r="AF287" s="3"/>
      <c r="AG287" s="3" t="s">
        <v>1418</v>
      </c>
    </row>
    <row r="288" spans="32:33" ht="15">
      <c r="AF288" s="3"/>
      <c r="AG288" s="3" t="s">
        <v>1469</v>
      </c>
    </row>
    <row r="289" spans="32:33" ht="15">
      <c r="AF289" s="3"/>
      <c r="AG289" s="3" t="s">
        <v>1882</v>
      </c>
    </row>
    <row r="290" spans="32:33" ht="15">
      <c r="AF290" s="3"/>
      <c r="AG290" s="3" t="s">
        <v>1470</v>
      </c>
    </row>
    <row r="291" spans="32:33" ht="15">
      <c r="AF291" s="3"/>
      <c r="AG291" s="3" t="s">
        <v>1455</v>
      </c>
    </row>
    <row r="292" spans="32:33" ht="15">
      <c r="AF292" s="3"/>
      <c r="AG292" s="3" t="s">
        <v>1385</v>
      </c>
    </row>
    <row r="293" spans="32:33" ht="15">
      <c r="AF293" s="3"/>
      <c r="AG293" s="3" t="s">
        <v>683</v>
      </c>
    </row>
    <row r="294" spans="32:33" ht="15">
      <c r="AF294" s="3"/>
      <c r="AG294" s="3" t="s">
        <v>1456</v>
      </c>
    </row>
    <row r="295" spans="32:33" ht="15">
      <c r="AF295" s="3"/>
      <c r="AG295" s="3" t="s">
        <v>1634</v>
      </c>
    </row>
    <row r="296" spans="32:33" ht="15">
      <c r="AF296" s="3"/>
      <c r="AG296" s="3" t="s">
        <v>1171</v>
      </c>
    </row>
    <row r="297" spans="32:33" ht="15">
      <c r="AF297" s="3"/>
      <c r="AG297" s="3" t="s">
        <v>28</v>
      </c>
    </row>
    <row r="298" spans="32:33" ht="15">
      <c r="AF298" s="3"/>
      <c r="AG298" s="3" t="s">
        <v>604</v>
      </c>
    </row>
    <row r="299" spans="32:33" ht="15">
      <c r="AF299" s="3"/>
      <c r="AG299" s="3" t="s">
        <v>1207</v>
      </c>
    </row>
    <row r="300" spans="32:33" ht="15">
      <c r="AF300" s="3"/>
      <c r="AG300" s="3" t="s">
        <v>915</v>
      </c>
    </row>
    <row r="301" spans="32:33" ht="15">
      <c r="AF301" s="3"/>
      <c r="AG301" s="3" t="s">
        <v>1245</v>
      </c>
    </row>
    <row r="302" spans="32:33" ht="15">
      <c r="AF302" s="3"/>
      <c r="AG302" s="3" t="s">
        <v>143</v>
      </c>
    </row>
    <row r="303" spans="32:33" ht="15">
      <c r="AF303" s="3"/>
      <c r="AG303" s="3" t="s">
        <v>144</v>
      </c>
    </row>
    <row r="304" spans="32:33" ht="15">
      <c r="AF304" s="3"/>
      <c r="AG304" s="3" t="s">
        <v>1281</v>
      </c>
    </row>
    <row r="305" spans="32:33" ht="15">
      <c r="AF305" s="3"/>
      <c r="AG305" s="3" t="s">
        <v>192</v>
      </c>
    </row>
    <row r="306" spans="32:33" ht="15">
      <c r="AF306" s="3"/>
      <c r="AG306" s="3" t="s">
        <v>1205</v>
      </c>
    </row>
    <row r="307" spans="32:33" ht="15">
      <c r="AF307" s="3"/>
      <c r="AG307" s="3" t="s">
        <v>1206</v>
      </c>
    </row>
    <row r="308" spans="32:33" ht="15">
      <c r="AF308" s="3"/>
      <c r="AG308" s="3" t="s">
        <v>602</v>
      </c>
    </row>
    <row r="309" spans="32:33" ht="15">
      <c r="AF309" s="3"/>
      <c r="AG309" s="3" t="s">
        <v>1207</v>
      </c>
    </row>
    <row r="310" spans="32:33" ht="15">
      <c r="AF310" s="3"/>
      <c r="AG310" s="3" t="s">
        <v>915</v>
      </c>
    </row>
    <row r="311" spans="32:33" ht="15">
      <c r="AF311" s="3"/>
      <c r="AG311" s="3" t="s">
        <v>1245</v>
      </c>
    </row>
    <row r="312" spans="32:33" ht="15">
      <c r="AF312" s="3"/>
      <c r="AG312" s="3" t="s">
        <v>143</v>
      </c>
    </row>
    <row r="313" spans="32:33" ht="15">
      <c r="AF313" s="3"/>
      <c r="AG313" s="3" t="s">
        <v>144</v>
      </c>
    </row>
    <row r="314" spans="32:33" ht="15">
      <c r="AF314" s="3"/>
      <c r="AG314" s="3" t="s">
        <v>1281</v>
      </c>
    </row>
    <row r="315" spans="32:33" ht="15">
      <c r="AF315" s="3"/>
      <c r="AG315" s="3" t="s">
        <v>377</v>
      </c>
    </row>
    <row r="316" spans="32:33" ht="15">
      <c r="AF316" s="3"/>
      <c r="AG316" s="3" t="s">
        <v>378</v>
      </c>
    </row>
    <row r="317" spans="32:33" ht="15">
      <c r="AF317" s="3"/>
      <c r="AG317" s="3" t="s">
        <v>1206</v>
      </c>
    </row>
    <row r="318" spans="32:33" ht="15">
      <c r="AF318" s="3"/>
      <c r="AG318" s="3" t="s">
        <v>1404</v>
      </c>
    </row>
    <row r="319" spans="32:33" ht="15">
      <c r="AF319" s="3"/>
      <c r="AG319" s="3" t="s">
        <v>1206</v>
      </c>
    </row>
    <row r="320" spans="32:33" ht="15">
      <c r="AF320" s="3"/>
      <c r="AG320" s="3" t="s">
        <v>954</v>
      </c>
    </row>
    <row r="321" spans="32:33" ht="15">
      <c r="AF321" s="3"/>
      <c r="AG321" s="3" t="s">
        <v>379</v>
      </c>
    </row>
    <row r="322" spans="32:33" ht="15">
      <c r="AF322" s="3"/>
      <c r="AG322" s="3" t="s">
        <v>955</v>
      </c>
    </row>
    <row r="323" spans="32:33" ht="15">
      <c r="AF323" s="3"/>
      <c r="AG323" s="3" t="s">
        <v>380</v>
      </c>
    </row>
    <row r="324" spans="32:33" ht="15">
      <c r="AF324" s="3"/>
      <c r="AG324" s="3" t="s">
        <v>547</v>
      </c>
    </row>
    <row r="325" spans="32:33" ht="15">
      <c r="AF325" s="3"/>
      <c r="AG325" s="3" t="s">
        <v>1206</v>
      </c>
    </row>
    <row r="326" spans="32:33" ht="15">
      <c r="AF326" s="3"/>
      <c r="AG326" s="3" t="s">
        <v>292</v>
      </c>
    </row>
    <row r="327" spans="32:33" ht="15">
      <c r="AF327" s="3"/>
      <c r="AG327" s="3" t="s">
        <v>1206</v>
      </c>
    </row>
    <row r="328" spans="32:33" ht="15">
      <c r="AF328" s="3"/>
      <c r="AG328" s="3" t="s">
        <v>1881</v>
      </c>
    </row>
    <row r="329" ht="15">
      <c r="AF329" s="3"/>
    </row>
    <row r="330" ht="15">
      <c r="AF330" s="3"/>
    </row>
    <row r="331" ht="15.75">
      <c r="AF331" s="26" t="s">
        <v>396</v>
      </c>
    </row>
    <row r="332" spans="32:33" ht="15">
      <c r="AF332" s="3"/>
      <c r="AG332" s="3" t="s">
        <v>1418</v>
      </c>
    </row>
    <row r="333" spans="32:33" ht="15">
      <c r="AF333" s="3"/>
      <c r="AG333" s="3" t="s">
        <v>1819</v>
      </c>
    </row>
    <row r="334" spans="32:33" ht="15">
      <c r="AF334" s="3"/>
      <c r="AG334" s="3" t="s">
        <v>1876</v>
      </c>
    </row>
    <row r="335" spans="32:33" ht="15">
      <c r="AF335" s="3"/>
      <c r="AG335" s="3" t="s">
        <v>1470</v>
      </c>
    </row>
    <row r="336" spans="32:33" ht="15">
      <c r="AF336" s="3"/>
      <c r="AG336" s="3" t="s">
        <v>1456</v>
      </c>
    </row>
    <row r="337" spans="32:33" ht="15">
      <c r="AF337" s="3"/>
      <c r="AG337" s="3" t="s">
        <v>1820</v>
      </c>
    </row>
    <row r="338" spans="32:33" ht="15">
      <c r="AF338" s="3"/>
      <c r="AG338" s="3" t="s">
        <v>1455</v>
      </c>
    </row>
    <row r="339" spans="32:33" ht="15">
      <c r="AF339" s="3"/>
      <c r="AG339" s="3" t="s">
        <v>1385</v>
      </c>
    </row>
    <row r="340" spans="32:33" ht="15">
      <c r="AF340" s="3"/>
      <c r="AG340" s="3" t="s">
        <v>1821</v>
      </c>
    </row>
    <row r="341" spans="32:33" ht="15">
      <c r="AF341" s="3"/>
      <c r="AG341" s="3" t="s">
        <v>1456</v>
      </c>
    </row>
    <row r="342" spans="32:33" ht="15">
      <c r="AF342" s="3"/>
      <c r="AG342" s="3" t="s">
        <v>1634</v>
      </c>
    </row>
    <row r="343" spans="32:33" ht="15">
      <c r="AF343" s="3"/>
      <c r="AG343" s="3" t="s">
        <v>1171</v>
      </c>
    </row>
    <row r="344" spans="32:33" ht="15">
      <c r="AF344" s="3"/>
      <c r="AG344" s="3" t="s">
        <v>28</v>
      </c>
    </row>
    <row r="345" spans="32:33" ht="15">
      <c r="AF345" s="3"/>
      <c r="AG345" s="3" t="s">
        <v>604</v>
      </c>
    </row>
    <row r="346" spans="32:33" ht="15">
      <c r="AF346" s="3"/>
      <c r="AG346" s="3" t="s">
        <v>1207</v>
      </c>
    </row>
    <row r="347" spans="32:33" ht="15">
      <c r="AF347" s="3"/>
      <c r="AG347" s="3" t="s">
        <v>915</v>
      </c>
    </row>
    <row r="348" spans="32:33" ht="15">
      <c r="AF348" s="3"/>
      <c r="AG348" s="3" t="s">
        <v>1245</v>
      </c>
    </row>
    <row r="349" spans="32:33" ht="15">
      <c r="AF349" s="3"/>
      <c r="AG349" s="3" t="s">
        <v>143</v>
      </c>
    </row>
    <row r="350" spans="32:33" ht="15">
      <c r="AF350" s="3"/>
      <c r="AG350" s="3" t="s">
        <v>144</v>
      </c>
    </row>
    <row r="351" spans="32:33" ht="15">
      <c r="AF351" s="3"/>
      <c r="AG351" s="3" t="s">
        <v>1281</v>
      </c>
    </row>
    <row r="352" spans="32:33" ht="15">
      <c r="AF352" s="3"/>
      <c r="AG352" s="3" t="s">
        <v>192</v>
      </c>
    </row>
    <row r="353" spans="32:33" ht="15">
      <c r="AF353" s="3"/>
      <c r="AG353" s="3" t="s">
        <v>1205</v>
      </c>
    </row>
    <row r="354" spans="32:33" ht="15">
      <c r="AF354" s="3"/>
      <c r="AG354" s="3" t="s">
        <v>1206</v>
      </c>
    </row>
    <row r="355" spans="32:33" ht="15">
      <c r="AF355" s="3"/>
      <c r="AG355" s="3" t="s">
        <v>602</v>
      </c>
    </row>
    <row r="356" spans="32:33" ht="15">
      <c r="AF356" s="3"/>
      <c r="AG356" s="3" t="s">
        <v>1207</v>
      </c>
    </row>
    <row r="357" spans="32:33" ht="15">
      <c r="AF357" s="3"/>
      <c r="AG357" s="3" t="s">
        <v>915</v>
      </c>
    </row>
    <row r="358" spans="32:33" ht="15">
      <c r="AF358" s="3"/>
      <c r="AG358" s="3" t="s">
        <v>1245</v>
      </c>
    </row>
    <row r="359" spans="32:33" ht="15">
      <c r="AF359" s="3"/>
      <c r="AG359" s="3" t="s">
        <v>143</v>
      </c>
    </row>
    <row r="360" spans="32:33" ht="15">
      <c r="AF360" s="3"/>
      <c r="AG360" s="3" t="s">
        <v>144</v>
      </c>
    </row>
    <row r="361" spans="32:33" ht="15">
      <c r="AF361" s="3"/>
      <c r="AG361" s="3" t="s">
        <v>1281</v>
      </c>
    </row>
    <row r="362" spans="32:33" ht="15">
      <c r="AF362" s="3"/>
      <c r="AG362" s="3" t="s">
        <v>377</v>
      </c>
    </row>
    <row r="363" spans="32:33" ht="15">
      <c r="AF363" s="3"/>
      <c r="AG363" s="3" t="s">
        <v>378</v>
      </c>
    </row>
    <row r="364" spans="32:33" ht="15">
      <c r="AF364" s="3"/>
      <c r="AG364" s="3" t="s">
        <v>1206</v>
      </c>
    </row>
    <row r="365" spans="32:33" ht="15">
      <c r="AF365" s="3"/>
      <c r="AG365" s="3" t="s">
        <v>1404</v>
      </c>
    </row>
    <row r="366" spans="32:33" ht="15">
      <c r="AF366" s="3"/>
      <c r="AG366" s="3" t="s">
        <v>1206</v>
      </c>
    </row>
    <row r="367" spans="32:34" ht="15">
      <c r="AF367" s="3"/>
      <c r="AG367" s="3" t="s">
        <v>1755</v>
      </c>
      <c r="AH367" s="3" t="s">
        <v>1554</v>
      </c>
    </row>
    <row r="368" spans="32:33" ht="15">
      <c r="AF368" s="3"/>
      <c r="AG368" s="3" t="s">
        <v>379</v>
      </c>
    </row>
    <row r="369" spans="32:33" ht="15">
      <c r="AF369" s="3"/>
      <c r="AG369" s="3" t="s">
        <v>1756</v>
      </c>
    </row>
    <row r="370" spans="32:33" ht="15">
      <c r="AF370" s="3"/>
      <c r="AG370" s="3" t="s">
        <v>380</v>
      </c>
    </row>
    <row r="371" spans="32:33" ht="15">
      <c r="AF371" s="3"/>
      <c r="AG371" s="3" t="s">
        <v>547</v>
      </c>
    </row>
    <row r="372" spans="32:33" ht="15">
      <c r="AF372" s="3"/>
      <c r="AG372" s="3" t="s">
        <v>1206</v>
      </c>
    </row>
    <row r="373" spans="32:33" ht="15">
      <c r="AF373" s="3"/>
      <c r="AG373" s="3" t="s">
        <v>292</v>
      </c>
    </row>
    <row r="374" spans="32:33" ht="15">
      <c r="AF374" s="3"/>
      <c r="AG374" s="3" t="s">
        <v>1206</v>
      </c>
    </row>
    <row r="375" spans="32:33" ht="15">
      <c r="AF375" s="3"/>
      <c r="AG375" s="3" t="s">
        <v>1881</v>
      </c>
    </row>
    <row r="376" ht="15">
      <c r="AF376" s="3"/>
    </row>
    <row r="8181" spans="57:58" ht="15">
      <c r="BE8181" s="3"/>
      <c r="BF8181" s="3"/>
    </row>
    <row r="8182" spans="23:105" ht="15">
      <c r="W8182" s="3"/>
      <c r="AA8182" s="3"/>
      <c r="AF8182" s="3"/>
      <c r="AJ8182" s="3"/>
      <c r="AK8182" s="3"/>
      <c r="AP8182" s="3"/>
      <c r="AQ8182" s="3"/>
      <c r="AZ8182" s="3"/>
      <c r="BA8182" s="3"/>
      <c r="BE8182" s="3"/>
      <c r="BF8182" s="3"/>
      <c r="BL8182" s="3"/>
      <c r="BM8182" s="3"/>
      <c r="BQ8182" s="3"/>
      <c r="BR8182" s="3"/>
      <c r="BV8182" s="3"/>
      <c r="BW8182" s="3"/>
      <c r="CA8182" s="3"/>
      <c r="CB8182" s="3"/>
      <c r="CG8182" s="3"/>
      <c r="CH8182" s="3"/>
      <c r="CL8182" s="3"/>
      <c r="CM8182" s="3"/>
      <c r="CQ8182" s="3"/>
      <c r="CV8182" s="3"/>
      <c r="DA8182" s="3"/>
    </row>
    <row r="8183" spans="23:105" ht="15">
      <c r="W8183" s="3"/>
      <c r="AA8183" s="3"/>
      <c r="AF8183" s="3"/>
      <c r="AJ8183" s="3"/>
      <c r="AK8183" s="3"/>
      <c r="AP8183" s="3"/>
      <c r="AQ8183" s="3"/>
      <c r="AZ8183" s="3"/>
      <c r="BA8183" s="3"/>
      <c r="BE8183" s="3"/>
      <c r="BF8183" s="3"/>
      <c r="BL8183" s="3"/>
      <c r="BM8183" s="3"/>
      <c r="BQ8183" s="3"/>
      <c r="BR8183" s="3"/>
      <c r="BV8183" s="3"/>
      <c r="BW8183" s="3"/>
      <c r="CA8183" s="3"/>
      <c r="CB8183" s="3"/>
      <c r="CG8183" s="3"/>
      <c r="CH8183" s="3"/>
      <c r="CL8183" s="3"/>
      <c r="CM8183" s="3"/>
      <c r="CQ8183" s="3"/>
      <c r="CV8183" s="3"/>
      <c r="DA8183" s="3"/>
    </row>
    <row r="8184" spans="15:105" ht="15">
      <c r="O8184" s="3"/>
      <c r="W8184" s="3"/>
      <c r="AA8184" s="3"/>
      <c r="AF8184" s="3"/>
      <c r="AJ8184" s="3"/>
      <c r="AK8184" s="3"/>
      <c r="AP8184" s="3"/>
      <c r="AQ8184" s="3"/>
      <c r="AZ8184" s="3"/>
      <c r="BA8184" s="3"/>
      <c r="BE8184" s="3"/>
      <c r="BF8184" s="3"/>
      <c r="BL8184" s="3"/>
      <c r="BM8184" s="3"/>
      <c r="BQ8184" s="3"/>
      <c r="BR8184" s="3"/>
      <c r="BV8184" s="3"/>
      <c r="BW8184" s="3"/>
      <c r="CA8184" s="3"/>
      <c r="CB8184" s="3"/>
      <c r="CG8184" s="3"/>
      <c r="CH8184" s="3"/>
      <c r="CL8184" s="3"/>
      <c r="CM8184" s="3"/>
      <c r="CQ8184" s="3"/>
      <c r="CV8184" s="3"/>
      <c r="DA8184" s="3"/>
    </row>
    <row r="8185" spans="15:105" ht="15">
      <c r="O8185" s="3"/>
      <c r="W8185" s="3"/>
      <c r="AA8185" s="3"/>
      <c r="AF8185" s="3"/>
      <c r="AJ8185" s="3"/>
      <c r="AK8185" s="3"/>
      <c r="AP8185" s="3"/>
      <c r="AQ8185" s="3"/>
      <c r="AZ8185" s="3"/>
      <c r="BA8185" s="3"/>
      <c r="BE8185" s="3"/>
      <c r="BF8185" s="3"/>
      <c r="BL8185" s="3"/>
      <c r="BM8185" s="3"/>
      <c r="BQ8185" s="3"/>
      <c r="BR8185" s="3"/>
      <c r="BV8185" s="3"/>
      <c r="BW8185" s="3"/>
      <c r="CA8185" s="3"/>
      <c r="CB8185" s="3"/>
      <c r="CG8185" s="3"/>
      <c r="CH8185" s="3"/>
      <c r="CL8185" s="3"/>
      <c r="CM8185" s="3"/>
      <c r="CQ8185" s="3"/>
      <c r="CV8185" s="3"/>
      <c r="DA8185" s="3"/>
    </row>
    <row r="8186" spans="15:105" ht="15">
      <c r="O8186" s="3"/>
      <c r="S8186" s="3"/>
      <c r="W8186" s="3"/>
      <c r="AA8186" s="3"/>
      <c r="AF8186" s="3"/>
      <c r="AJ8186" s="3"/>
      <c r="AK8186" s="3"/>
      <c r="AP8186" s="3"/>
      <c r="AQ8186" s="3"/>
      <c r="AZ8186" s="3"/>
      <c r="BA8186" s="3"/>
      <c r="BL8186" s="3"/>
      <c r="BM8186" s="3"/>
      <c r="BQ8186" s="3"/>
      <c r="BR8186" s="3"/>
      <c r="BV8186" s="3"/>
      <c r="BW8186" s="3"/>
      <c r="CA8186" s="3"/>
      <c r="CB8186" s="3"/>
      <c r="CG8186" s="3"/>
      <c r="CH8186" s="3"/>
      <c r="CL8186" s="3"/>
      <c r="CM8186" s="3"/>
      <c r="CQ8186" s="3"/>
      <c r="CV8186" s="3"/>
      <c r="DA8186" s="3"/>
    </row>
    <row r="8187" spans="15:48" ht="15">
      <c r="O8187" s="3"/>
      <c r="S8187" s="3"/>
      <c r="AU8187" s="3"/>
      <c r="AV8187" s="3"/>
    </row>
    <row r="8188" spans="15:48" ht="15">
      <c r="O8188" s="3"/>
      <c r="S8188" s="3"/>
      <c r="AU8188" s="3"/>
      <c r="AV8188" s="3"/>
    </row>
    <row r="8189" spans="19:48" ht="15">
      <c r="S8189" s="3"/>
      <c r="AU8189" s="3"/>
      <c r="AV8189" s="3"/>
    </row>
    <row r="8190" spans="19:48" ht="15">
      <c r="S8190" s="3"/>
      <c r="AU8190" s="3"/>
      <c r="AV8190" s="3"/>
    </row>
    <row r="8191" spans="47:48" ht="15">
      <c r="AU8191" s="3"/>
      <c r="AV8191" s="3"/>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1">
      <selection activeCell="A3" sqref="A3"/>
    </sheetView>
  </sheetViews>
  <sheetFormatPr defaultColWidth="9.140625" defaultRowHeight="12.75"/>
  <cols>
    <col min="1" max="1" width="45.140625" style="24" bestFit="1" customWidth="1"/>
    <col min="2" max="2" width="16.57421875" style="24" bestFit="1" customWidth="1"/>
    <col min="3" max="3" width="13.7109375" style="24" customWidth="1"/>
    <col min="4" max="4" width="12.57421875" style="24" customWidth="1"/>
    <col min="5" max="5" width="14.8515625" style="24" customWidth="1"/>
    <col min="6" max="7" width="9.140625" style="24" customWidth="1"/>
    <col min="8" max="8" width="12.8515625" style="24" bestFit="1" customWidth="1"/>
    <col min="9" max="16384" width="9.140625" style="24" customWidth="1"/>
  </cols>
  <sheetData>
    <row r="1" spans="1:2" ht="12.75">
      <c r="A1" s="325" t="s">
        <v>1105</v>
      </c>
      <c r="B1" s="67"/>
    </row>
    <row r="2" spans="1:2" ht="12.75">
      <c r="A2" s="326"/>
      <c r="B2" s="327" t="s">
        <v>1110</v>
      </c>
    </row>
    <row r="3" spans="1:2" ht="12.75">
      <c r="A3" s="326" t="s">
        <v>1106</v>
      </c>
      <c r="B3" s="328"/>
    </row>
    <row r="4" spans="1:2" ht="12.75">
      <c r="A4" s="329" t="s">
        <v>1107</v>
      </c>
      <c r="B4" s="330">
        <v>562338.85</v>
      </c>
    </row>
    <row r="5" spans="1:2" ht="12.75">
      <c r="A5" s="329" t="s">
        <v>1108</v>
      </c>
      <c r="B5" s="331">
        <v>-14722604.41</v>
      </c>
    </row>
    <row r="6" spans="1:2" ht="15">
      <c r="A6" s="329" t="s">
        <v>1109</v>
      </c>
      <c r="B6" s="332">
        <v>16537637.5</v>
      </c>
    </row>
    <row r="7" spans="1:2" ht="12.75">
      <c r="A7" s="68"/>
      <c r="B7" s="333">
        <f>B4+B5+B6</f>
        <v>2377371.9399999995</v>
      </c>
    </row>
    <row r="10" spans="1:4" ht="12.75">
      <c r="A10" s="65" t="s">
        <v>1112</v>
      </c>
      <c r="B10" s="66"/>
      <c r="C10" s="66"/>
      <c r="D10" s="67"/>
    </row>
    <row r="11" spans="1:4" ht="12.75">
      <c r="A11" s="326"/>
      <c r="B11" s="334"/>
      <c r="C11" s="334"/>
      <c r="D11" s="328"/>
    </row>
    <row r="12" spans="1:4" ht="12.75">
      <c r="A12" s="326" t="s">
        <v>1113</v>
      </c>
      <c r="B12" s="335">
        <f>B4</f>
        <v>562338.85</v>
      </c>
      <c r="C12" s="334"/>
      <c r="D12" s="328"/>
    </row>
    <row r="13" spans="1:4" ht="12.75">
      <c r="A13" s="326"/>
      <c r="B13" s="336"/>
      <c r="C13" s="334"/>
      <c r="D13" s="328"/>
    </row>
    <row r="14" spans="1:4" ht="12.75">
      <c r="A14" s="326"/>
      <c r="B14" s="334"/>
      <c r="C14" s="334" t="s">
        <v>1111</v>
      </c>
      <c r="D14" s="328" t="s">
        <v>1114</v>
      </c>
    </row>
    <row r="15" spans="1:4" ht="12.75">
      <c r="A15" s="329" t="s">
        <v>818</v>
      </c>
      <c r="B15" s="336">
        <f>B12/2</f>
        <v>281169.425</v>
      </c>
      <c r="C15" s="336">
        <f>B15*0.3</f>
        <v>84350.8275</v>
      </c>
      <c r="D15" s="337">
        <f>B15*0.7</f>
        <v>196818.59749999997</v>
      </c>
    </row>
    <row r="16" spans="1:4" ht="13.5" thickBot="1">
      <c r="A16" s="338" t="s">
        <v>819</v>
      </c>
      <c r="B16" s="339">
        <f>B12/2</f>
        <v>281169.425</v>
      </c>
      <c r="C16" s="340">
        <f>B16*0.3</f>
        <v>84350.8275</v>
      </c>
      <c r="D16" s="341">
        <f>B16*0.7</f>
        <v>196818.59749999997</v>
      </c>
    </row>
    <row r="17" ht="13.5" thickTop="1"/>
    <row r="18" ht="13.5" thickBot="1"/>
    <row r="19" spans="1:6" ht="13.5" thickTop="1">
      <c r="A19" s="342" t="s">
        <v>1115</v>
      </c>
      <c r="B19" s="343"/>
      <c r="C19" s="344" t="s">
        <v>1923</v>
      </c>
      <c r="D19" s="344"/>
      <c r="E19" s="345">
        <v>3048671.58</v>
      </c>
      <c r="F19" s="346"/>
    </row>
    <row r="20" spans="1:6" ht="12.75">
      <c r="A20" s="347"/>
      <c r="B20" s="334"/>
      <c r="C20" s="334"/>
      <c r="D20" s="334"/>
      <c r="E20" s="334"/>
      <c r="F20" s="348"/>
    </row>
    <row r="21" spans="1:6" ht="12.75">
      <c r="A21" s="347"/>
      <c r="B21" s="349" t="s">
        <v>1132</v>
      </c>
      <c r="C21" s="334"/>
      <c r="D21" s="334" t="s">
        <v>818</v>
      </c>
      <c r="E21" s="334" t="s">
        <v>819</v>
      </c>
      <c r="F21" s="348"/>
    </row>
    <row r="22" spans="1:9" ht="12.75">
      <c r="A22" s="347" t="s">
        <v>1116</v>
      </c>
      <c r="B22" s="103">
        <f>D22+E22</f>
        <v>3048671.58</v>
      </c>
      <c r="C22" s="103"/>
      <c r="D22" s="103">
        <f>E19*G22</f>
        <v>3439081.935766662</v>
      </c>
      <c r="E22" s="103">
        <f>E19*G23</f>
        <v>-390410.3557666618</v>
      </c>
      <c r="F22" s="350"/>
      <c r="G22" s="24">
        <f>H22/H24</f>
        <v>1.1280591711904442</v>
      </c>
      <c r="H22" s="351">
        <f>'UNIT 1 PWR BILL'!J55</f>
        <v>1868762</v>
      </c>
      <c r="I22" s="24" t="s">
        <v>1920</v>
      </c>
    </row>
    <row r="23" spans="1:9" ht="12.75">
      <c r="A23" s="347" t="s">
        <v>1117</v>
      </c>
      <c r="B23" s="103">
        <f>D23+E23</f>
        <v>3648983.27</v>
      </c>
      <c r="C23" s="103"/>
      <c r="D23" s="103">
        <f>-'UNIT 1 PWR BILL'!J56</f>
        <v>3251756.66</v>
      </c>
      <c r="E23" s="103">
        <f>-'UNIT 2 PWR BILL'!J56</f>
        <v>397226.61</v>
      </c>
      <c r="F23" s="350"/>
      <c r="G23" s="24">
        <f>H23/H24</f>
        <v>-0.12805917119044413</v>
      </c>
      <c r="H23" s="351">
        <f>'UNIT 2 PWR BILL'!J55</f>
        <v>-212145</v>
      </c>
      <c r="I23" s="24" t="s">
        <v>1921</v>
      </c>
    </row>
    <row r="24" spans="1:8" ht="12.75">
      <c r="A24" s="347"/>
      <c r="B24" s="103"/>
      <c r="C24" s="103"/>
      <c r="D24" s="103"/>
      <c r="E24" s="103"/>
      <c r="F24" s="350"/>
      <c r="H24" s="351">
        <f>SUM(H22:H23)</f>
        <v>1656617</v>
      </c>
    </row>
    <row r="25" spans="1:8" ht="12.75">
      <c r="A25" s="347" t="s">
        <v>1118</v>
      </c>
      <c r="B25" s="103">
        <f>D25+E25</f>
        <v>-600311.69</v>
      </c>
      <c r="C25" s="103"/>
      <c r="D25" s="103">
        <f>D22-D23</f>
        <v>187325.27576666186</v>
      </c>
      <c r="E25" s="103">
        <f>E22-E23</f>
        <v>-787636.9657666618</v>
      </c>
      <c r="F25" s="350"/>
      <c r="H25" s="351"/>
    </row>
    <row r="26" spans="1:6" ht="12.75">
      <c r="A26" s="347"/>
      <c r="B26" s="103"/>
      <c r="C26" s="103"/>
      <c r="D26" s="103"/>
      <c r="E26" s="103"/>
      <c r="F26" s="350"/>
    </row>
    <row r="27" spans="1:13" ht="12.75">
      <c r="A27" s="347" t="s">
        <v>1119</v>
      </c>
      <c r="B27" s="103">
        <f>D27+E27</f>
        <v>562338.85</v>
      </c>
      <c r="C27" s="103"/>
      <c r="D27" s="103">
        <f>B15</f>
        <v>281169.425</v>
      </c>
      <c r="E27" s="103">
        <f>B16</f>
        <v>281169.425</v>
      </c>
      <c r="F27" s="350"/>
      <c r="G27" s="352"/>
      <c r="H27" s="352"/>
      <c r="I27" s="352"/>
      <c r="J27" s="352"/>
      <c r="K27" s="352"/>
      <c r="L27" s="352"/>
      <c r="M27" s="352"/>
    </row>
    <row r="28" spans="1:13" ht="12.75">
      <c r="A28" s="347"/>
      <c r="B28" s="103"/>
      <c r="C28" s="103"/>
      <c r="D28" s="103"/>
      <c r="E28" s="103"/>
      <c r="F28" s="350"/>
      <c r="G28" s="352"/>
      <c r="H28" s="352"/>
      <c r="I28" s="352"/>
      <c r="J28" s="352"/>
      <c r="K28" s="352"/>
      <c r="L28" s="352"/>
      <c r="M28" s="352"/>
    </row>
    <row r="29" spans="1:13" ht="12.75">
      <c r="A29" s="347" t="s">
        <v>1120</v>
      </c>
      <c r="B29" s="103">
        <f>D29+E29</f>
        <v>-1162650.54</v>
      </c>
      <c r="C29" s="103"/>
      <c r="D29" s="103">
        <f>D25-D27</f>
        <v>-93844.14923333813</v>
      </c>
      <c r="E29" s="103">
        <f>E25-E27</f>
        <v>-1068806.3907666618</v>
      </c>
      <c r="F29" s="350"/>
      <c r="G29" s="352"/>
      <c r="H29" s="352"/>
      <c r="I29" s="352"/>
      <c r="J29" s="352"/>
      <c r="K29" s="352"/>
      <c r="L29" s="352"/>
      <c r="M29" s="352"/>
    </row>
    <row r="30" spans="1:6" ht="12.75">
      <c r="A30" s="347"/>
      <c r="B30" s="103"/>
      <c r="C30" s="103"/>
      <c r="D30" s="103"/>
      <c r="E30" s="103"/>
      <c r="F30" s="350"/>
    </row>
    <row r="31" spans="1:6" ht="12.75">
      <c r="A31" s="347" t="s">
        <v>1121</v>
      </c>
      <c r="B31" s="353">
        <v>0.35</v>
      </c>
      <c r="C31" s="103"/>
      <c r="D31" s="353">
        <v>0.35</v>
      </c>
      <c r="E31" s="353">
        <v>0.35</v>
      </c>
      <c r="F31" s="350"/>
    </row>
    <row r="32" spans="1:7" ht="12.75">
      <c r="A32" s="347"/>
      <c r="B32" s="103"/>
      <c r="C32" s="103"/>
      <c r="D32" s="103"/>
      <c r="E32" s="103"/>
      <c r="F32" s="350"/>
      <c r="G32" s="24" t="s">
        <v>1914</v>
      </c>
    </row>
    <row r="33" spans="1:8" ht="12.75">
      <c r="A33" s="347" t="s">
        <v>1122</v>
      </c>
      <c r="B33" s="103">
        <f>D33+E33</f>
        <v>-406927.68899999995</v>
      </c>
      <c r="C33" s="103"/>
      <c r="D33" s="103">
        <f>D29*D31</f>
        <v>-32845.45223166834</v>
      </c>
      <c r="E33" s="103">
        <f>E29*E31</f>
        <v>-374082.2367683316</v>
      </c>
      <c r="F33" s="350"/>
      <c r="G33" s="354">
        <f>D33/B33</f>
        <v>0.08071569745569304</v>
      </c>
      <c r="H33" s="354">
        <f>E33/B33</f>
        <v>0.9192843025443069</v>
      </c>
    </row>
    <row r="34" spans="1:6" ht="12.75">
      <c r="A34" s="347"/>
      <c r="B34" s="103"/>
      <c r="C34" s="103"/>
      <c r="D34" s="103"/>
      <c r="E34" s="103"/>
      <c r="F34" s="350"/>
    </row>
    <row r="35" spans="1:7" ht="12.75">
      <c r="A35" s="347" t="s">
        <v>1157</v>
      </c>
      <c r="B35" s="355">
        <v>76362</v>
      </c>
      <c r="C35" s="103"/>
      <c r="D35" s="103">
        <f>B35*G33</f>
        <v>6163.6120891116325</v>
      </c>
      <c r="E35" s="103">
        <f>B35*H33</f>
        <v>70198.38791088837</v>
      </c>
      <c r="F35" s="350"/>
      <c r="G35" s="24" t="s">
        <v>1924</v>
      </c>
    </row>
    <row r="36" spans="1:6" ht="12.75">
      <c r="A36" s="347"/>
      <c r="B36" s="103"/>
      <c r="C36" s="103"/>
      <c r="D36" s="103"/>
      <c r="E36" s="103"/>
      <c r="F36" s="350"/>
    </row>
    <row r="37" spans="1:6" ht="12.75">
      <c r="A37" s="347" t="s">
        <v>1123</v>
      </c>
      <c r="B37" s="356">
        <f>B33+B35</f>
        <v>-330565.68899999995</v>
      </c>
      <c r="C37" s="103"/>
      <c r="D37" s="103">
        <f>D33+D35</f>
        <v>-26681.84014255671</v>
      </c>
      <c r="E37" s="103">
        <f>E33+E35</f>
        <v>-303883.84885744326</v>
      </c>
      <c r="F37" s="350"/>
    </row>
    <row r="38" spans="1:6" ht="12.75">
      <c r="A38" s="347"/>
      <c r="B38" s="103"/>
      <c r="C38" s="103"/>
      <c r="D38" s="103"/>
      <c r="E38" s="103"/>
      <c r="F38" s="350"/>
    </row>
    <row r="39" spans="1:6" ht="12.75">
      <c r="A39" s="347" t="s">
        <v>1554</v>
      </c>
      <c r="B39" s="103"/>
      <c r="C39" s="357" t="s">
        <v>1111</v>
      </c>
      <c r="D39" s="358">
        <f>D37*0.3</f>
        <v>-8004.552042767013</v>
      </c>
      <c r="E39" s="358">
        <f>E37*0.3</f>
        <v>-91165.15465723297</v>
      </c>
      <c r="F39" s="350"/>
    </row>
    <row r="40" spans="1:6" ht="12.75">
      <c r="A40" s="347"/>
      <c r="B40" s="334"/>
      <c r="C40" s="357" t="s">
        <v>1114</v>
      </c>
      <c r="D40" s="357">
        <f>D37*0.7</f>
        <v>-18677.288099789697</v>
      </c>
      <c r="E40" s="357">
        <f>E37*0.7</f>
        <v>-212718.69420021027</v>
      </c>
      <c r="F40" s="348"/>
    </row>
    <row r="41" spans="1:6" ht="13.5" thickBot="1">
      <c r="A41" s="359"/>
      <c r="B41" s="360"/>
      <c r="C41" s="360"/>
      <c r="D41" s="360"/>
      <c r="E41" s="360"/>
      <c r="F41" s="361"/>
    </row>
    <row r="42" ht="14.25" thickBot="1" thickTop="1"/>
    <row r="43" spans="1:6" ht="13.5" thickTop="1">
      <c r="A43" s="342" t="s">
        <v>1124</v>
      </c>
      <c r="B43" s="343"/>
      <c r="C43" s="343"/>
      <c r="D43" s="343"/>
      <c r="E43" s="343"/>
      <c r="F43" s="346"/>
    </row>
    <row r="44" spans="1:6" ht="12.75">
      <c r="A44" s="347"/>
      <c r="B44" s="334"/>
      <c r="C44" s="334"/>
      <c r="D44" s="334"/>
      <c r="E44" s="334"/>
      <c r="F44" s="348"/>
    </row>
    <row r="45" spans="1:6" ht="12.75">
      <c r="A45" s="347" t="s">
        <v>1125</v>
      </c>
      <c r="B45" s="362">
        <f>B6</f>
        <v>16537637.5</v>
      </c>
      <c r="C45" s="334"/>
      <c r="D45" s="334"/>
      <c r="E45" s="334"/>
      <c r="F45" s="348"/>
    </row>
    <row r="46" spans="1:6" ht="12.75">
      <c r="A46" s="347"/>
      <c r="B46" s="334"/>
      <c r="C46" s="334"/>
      <c r="D46" s="334" t="s">
        <v>1111</v>
      </c>
      <c r="E46" s="334" t="s">
        <v>1114</v>
      </c>
      <c r="F46" s="348"/>
    </row>
    <row r="47" spans="1:6" ht="12.75">
      <c r="A47" s="363" t="s">
        <v>818</v>
      </c>
      <c r="B47" s="127">
        <f>'UNIT 1 PWR BILL'!J61</f>
        <v>1556576</v>
      </c>
      <c r="C47" s="334"/>
      <c r="D47" s="103">
        <f>B47*0.3</f>
        <v>466972.8</v>
      </c>
      <c r="E47" s="103">
        <f>B47*0.7</f>
        <v>1089603.2</v>
      </c>
      <c r="F47" s="348"/>
    </row>
    <row r="48" spans="1:6" ht="13.5" thickBot="1">
      <c r="A48" s="364" t="s">
        <v>819</v>
      </c>
      <c r="B48" s="128">
        <f>'UNIT 2 PWR BILL'!J61</f>
        <v>37000.56000000001</v>
      </c>
      <c r="C48" s="360"/>
      <c r="D48" s="365">
        <f>B48*0.3</f>
        <v>11100.168000000003</v>
      </c>
      <c r="E48" s="365">
        <f>B48*0.7</f>
        <v>25900.392000000007</v>
      </c>
      <c r="F48" s="361"/>
    </row>
    <row r="49" ht="13.5" thickTop="1"/>
  </sheetData>
  <sheetProtection/>
  <printOptions/>
  <pageMargins left="0.75" right="0.75" top="1" bottom="1" header="0.5" footer="0.5"/>
  <pageSetup fitToHeight="1" fitToWidth="1" horizontalDpi="600" verticalDpi="600" orientation="portrait" scale="29"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30" activePane="bottomLeft" state="frozen"/>
      <selection pane="topLeft" activeCell="A3" sqref="A3"/>
      <selection pane="bottomLeft" activeCell="A3" sqref="A3"/>
    </sheetView>
  </sheetViews>
  <sheetFormatPr defaultColWidth="9.7109375" defaultRowHeight="12.75"/>
  <cols>
    <col min="1" max="1" width="8.7109375" style="24" customWidth="1"/>
    <col min="2" max="2" width="16.57421875" style="24" customWidth="1"/>
    <col min="3" max="3" width="11.7109375" style="24" customWidth="1"/>
    <col min="4" max="4" width="3.7109375" style="24" customWidth="1"/>
    <col min="5" max="5" width="14.00390625" style="24" customWidth="1"/>
    <col min="6" max="6" width="3.7109375" style="24" customWidth="1"/>
    <col min="7" max="7" width="14.57421875" style="24" customWidth="1"/>
    <col min="8" max="8" width="3.7109375" style="24" customWidth="1"/>
    <col min="9" max="9" width="14.28125" style="24" customWidth="1"/>
    <col min="10" max="10" width="4.7109375" style="24" customWidth="1"/>
    <col min="11" max="11" width="19.57421875" style="24" customWidth="1"/>
    <col min="12" max="12" width="19.8515625" style="24" customWidth="1"/>
    <col min="13" max="16384" width="9.7109375" style="24" customWidth="1"/>
  </cols>
  <sheetData>
    <row r="1" spans="1:13" ht="12.75">
      <c r="A1" s="5"/>
      <c r="B1" s="5"/>
      <c r="C1" s="5"/>
      <c r="D1" s="5"/>
      <c r="E1" s="5"/>
      <c r="F1" s="5"/>
      <c r="G1" s="5"/>
      <c r="H1" s="5"/>
      <c r="I1" s="5"/>
      <c r="J1" s="5"/>
      <c r="K1" s="5"/>
      <c r="L1" s="5"/>
      <c r="M1" s="5"/>
    </row>
    <row r="2" spans="1:13" ht="15.75">
      <c r="A2" s="3"/>
      <c r="B2" s="3"/>
      <c r="C2" s="3"/>
      <c r="D2" s="3"/>
      <c r="E2" s="3"/>
      <c r="F2" s="3"/>
      <c r="G2" s="3"/>
      <c r="H2" s="3"/>
      <c r="I2" s="3"/>
      <c r="J2" s="3"/>
      <c r="K2" s="21"/>
      <c r="L2" s="5"/>
      <c r="M2" s="5"/>
    </row>
    <row r="3" spans="1:13" ht="15.75">
      <c r="A3" s="223" t="str">
        <f>INSTRUCTIONS!$L$29</f>
        <v>ESTIMATE</v>
      </c>
      <c r="B3" s="3"/>
      <c r="C3" s="263" t="s">
        <v>312</v>
      </c>
      <c r="D3" s="263"/>
      <c r="E3" s="263"/>
      <c r="F3" s="263"/>
      <c r="G3" s="263"/>
      <c r="H3" s="26"/>
      <c r="I3" s="26"/>
      <c r="J3" s="3"/>
      <c r="K3" s="21" t="s">
        <v>125</v>
      </c>
      <c r="L3" s="5"/>
      <c r="M3" s="5"/>
    </row>
    <row r="4" spans="1:13" ht="15.75">
      <c r="A4" s="3"/>
      <c r="B4" s="3"/>
      <c r="C4" s="319" t="str">
        <f>INSTRUCTIONS!L5&amp;" 2015 ESTIMATED VS. ACTUAL BILLS"</f>
        <v>December 2015 ESTIMATED VS. ACTUAL BILLS</v>
      </c>
      <c r="D4" s="26"/>
      <c r="E4" s="26"/>
      <c r="F4" s="26"/>
      <c r="G4" s="26"/>
      <c r="H4" s="26"/>
      <c r="I4" s="26"/>
      <c r="J4" s="3"/>
      <c r="K4" s="21" t="str">
        <f>INSTRUCTIONS!Q13</f>
        <v>JMJ</v>
      </c>
      <c r="L4" s="5"/>
      <c r="M4" s="5"/>
    </row>
    <row r="5" spans="1:13" ht="15.75">
      <c r="A5" s="3"/>
      <c r="B5" s="3"/>
      <c r="C5" s="319" t="str">
        <f>"RECORDED ON "&amp;INSTRUCTIONS!L7&amp;" ESTIMATED BILLS"</f>
        <v>RECORDED ON January, 2016 ESTIMATED BILLS</v>
      </c>
      <c r="D5" s="26"/>
      <c r="E5" s="26"/>
      <c r="F5" s="26"/>
      <c r="G5" s="26"/>
      <c r="H5" s="26"/>
      <c r="I5" s="26"/>
      <c r="J5" s="3"/>
      <c r="K5" s="148">
        <f ca="1">TODAY()</f>
        <v>44061</v>
      </c>
      <c r="L5" s="5"/>
      <c r="M5" s="5"/>
    </row>
    <row r="6" spans="1:13" ht="15">
      <c r="A6" s="3"/>
      <c r="B6" s="3"/>
      <c r="C6" s="3"/>
      <c r="D6" s="3"/>
      <c r="E6" s="3"/>
      <c r="F6" s="3"/>
      <c r="G6" s="3"/>
      <c r="H6" s="3"/>
      <c r="I6" s="3"/>
      <c r="J6" s="3"/>
      <c r="K6" s="3"/>
      <c r="L6" s="5"/>
      <c r="M6" s="5"/>
    </row>
    <row r="7" spans="1:13" ht="15">
      <c r="A7" s="250" t="s">
        <v>309</v>
      </c>
      <c r="B7" s="250"/>
      <c r="C7" s="3"/>
      <c r="D7" s="3"/>
      <c r="E7" s="3"/>
      <c r="F7" s="3"/>
      <c r="G7" s="3"/>
      <c r="H7" s="3"/>
      <c r="I7" s="3"/>
      <c r="J7" s="3"/>
      <c r="K7" s="3"/>
      <c r="L7" s="5"/>
      <c r="M7" s="5"/>
    </row>
    <row r="8" spans="1:13" ht="15.75">
      <c r="A8" s="3"/>
      <c r="B8" s="3"/>
      <c r="C8" s="3"/>
      <c r="D8" s="3"/>
      <c r="E8" s="17" t="s">
        <v>391</v>
      </c>
      <c r="F8" s="21"/>
      <c r="G8" s="17" t="s">
        <v>1342</v>
      </c>
      <c r="H8" s="21"/>
      <c r="I8" s="17" t="s">
        <v>306</v>
      </c>
      <c r="J8" s="21"/>
      <c r="K8" s="17" t="s">
        <v>126</v>
      </c>
      <c r="L8" s="21"/>
      <c r="M8" s="5"/>
    </row>
    <row r="9" spans="1:13" ht="15.75">
      <c r="A9" s="17" t="s">
        <v>794</v>
      </c>
      <c r="B9" s="3"/>
      <c r="C9" s="3"/>
      <c r="D9" s="3"/>
      <c r="E9" s="3"/>
      <c r="F9" s="3"/>
      <c r="G9" s="3"/>
      <c r="H9" s="3"/>
      <c r="I9" s="3"/>
      <c r="J9" s="3"/>
      <c r="K9" s="3"/>
      <c r="L9" s="5"/>
      <c r="M9" s="5"/>
    </row>
    <row r="10" spans="1:18" ht="15">
      <c r="A10" s="3"/>
      <c r="B10" s="3" t="s">
        <v>1518</v>
      </c>
      <c r="C10" s="3"/>
      <c r="D10" s="3"/>
      <c r="E10" s="7">
        <v>883854</v>
      </c>
      <c r="F10" s="7"/>
      <c r="G10" s="7">
        <v>3636857</v>
      </c>
      <c r="H10" s="7"/>
      <c r="I10" s="8">
        <f>+K10-E10-G10</f>
        <v>7118916</v>
      </c>
      <c r="J10" s="8"/>
      <c r="K10" s="7">
        <v>11639627</v>
      </c>
      <c r="L10" s="5"/>
      <c r="M10" s="5"/>
      <c r="N10" s="65"/>
      <c r="O10" s="66"/>
      <c r="P10" s="66"/>
      <c r="Q10" s="66"/>
      <c r="R10" s="67"/>
    </row>
    <row r="11" spans="1:18" ht="15">
      <c r="A11" s="3"/>
      <c r="B11" s="3" t="s">
        <v>1728</v>
      </c>
      <c r="C11" s="3"/>
      <c r="D11" s="3"/>
      <c r="E11" s="7">
        <v>883854</v>
      </c>
      <c r="F11" s="7"/>
      <c r="G11" s="7">
        <v>3636857</v>
      </c>
      <c r="H11" s="7"/>
      <c r="I11" s="8">
        <f>+K11-E11-G11</f>
        <v>6827734</v>
      </c>
      <c r="J11" s="8"/>
      <c r="K11" s="7">
        <v>11348445</v>
      </c>
      <c r="L11" s="5"/>
      <c r="M11" s="5"/>
      <c r="N11" s="68"/>
      <c r="O11" s="22"/>
      <c r="P11" s="22"/>
      <c r="Q11" s="22"/>
      <c r="R11" s="69"/>
    </row>
    <row r="12" spans="1:13" ht="15">
      <c r="A12" s="3"/>
      <c r="B12" s="3"/>
      <c r="C12" s="3"/>
      <c r="D12" s="3"/>
      <c r="E12" s="16" t="s">
        <v>1072</v>
      </c>
      <c r="F12" s="8"/>
      <c r="G12" s="16" t="s">
        <v>1072</v>
      </c>
      <c r="H12" s="8"/>
      <c r="I12" s="16" t="s">
        <v>1072</v>
      </c>
      <c r="J12" s="8"/>
      <c r="K12" s="16" t="s">
        <v>1072</v>
      </c>
      <c r="L12" s="5"/>
      <c r="M12" s="5"/>
    </row>
    <row r="13" spans="1:13" ht="15">
      <c r="A13" s="3"/>
      <c r="B13" s="18" t="s">
        <v>252</v>
      </c>
      <c r="C13" s="3"/>
      <c r="D13" s="3"/>
      <c r="E13" s="8">
        <f>E10-E11</f>
        <v>0</v>
      </c>
      <c r="F13" s="8"/>
      <c r="G13" s="8">
        <f>G10-G11</f>
        <v>0</v>
      </c>
      <c r="H13" s="8"/>
      <c r="I13" s="8">
        <f>I10-I11</f>
        <v>291182</v>
      </c>
      <c r="J13" s="8"/>
      <c r="K13" s="8">
        <f>K10-K11</f>
        <v>291182</v>
      </c>
      <c r="L13" s="320"/>
      <c r="M13" s="5"/>
    </row>
    <row r="14" spans="1:13" ht="15">
      <c r="A14" s="3"/>
      <c r="B14" s="3"/>
      <c r="C14" s="3"/>
      <c r="D14" s="3"/>
      <c r="E14" s="16" t="s">
        <v>1569</v>
      </c>
      <c r="F14" s="8"/>
      <c r="G14" s="16" t="s">
        <v>1569</v>
      </c>
      <c r="H14" s="8"/>
      <c r="I14" s="16" t="s">
        <v>1569</v>
      </c>
      <c r="J14" s="8"/>
      <c r="K14" s="16" t="s">
        <v>1569</v>
      </c>
      <c r="L14" s="320"/>
      <c r="M14" s="5"/>
    </row>
    <row r="15" spans="1:13" ht="15">
      <c r="A15" s="3"/>
      <c r="B15" s="3"/>
      <c r="C15" s="3"/>
      <c r="D15" s="3"/>
      <c r="E15" s="8"/>
      <c r="F15" s="8"/>
      <c r="G15" s="8"/>
      <c r="H15" s="8"/>
      <c r="I15" s="8"/>
      <c r="J15" s="8"/>
      <c r="K15" s="8"/>
      <c r="L15" s="320"/>
      <c r="M15" s="5"/>
    </row>
    <row r="16" spans="1:13" ht="15">
      <c r="A16" s="3"/>
      <c r="B16" s="3" t="s">
        <v>1458</v>
      </c>
      <c r="C16" s="3"/>
      <c r="D16" s="3"/>
      <c r="E16" s="7">
        <v>378794</v>
      </c>
      <c r="F16" s="7"/>
      <c r="G16" s="7">
        <v>1558653</v>
      </c>
      <c r="H16" s="7"/>
      <c r="I16" s="8">
        <f>+K16-E16-G16</f>
        <v>3050964</v>
      </c>
      <c r="J16" s="8"/>
      <c r="K16" s="7">
        <v>4988411</v>
      </c>
      <c r="L16" s="320"/>
      <c r="M16" s="5"/>
    </row>
    <row r="17" spans="1:13" ht="15">
      <c r="A17" s="3"/>
      <c r="B17" s="3" t="s">
        <v>1728</v>
      </c>
      <c r="C17" s="3"/>
      <c r="D17" s="3"/>
      <c r="E17" s="7">
        <v>378794</v>
      </c>
      <c r="F17" s="7"/>
      <c r="G17" s="7">
        <v>1558653</v>
      </c>
      <c r="H17" s="7"/>
      <c r="I17" s="8">
        <f>+K17-E17-G17</f>
        <v>2926173</v>
      </c>
      <c r="J17" s="8"/>
      <c r="K17" s="7">
        <v>4863620</v>
      </c>
      <c r="L17" s="320"/>
      <c r="M17" s="5"/>
    </row>
    <row r="18" spans="1:13" ht="15">
      <c r="A18" s="3"/>
      <c r="B18" s="3"/>
      <c r="C18" s="3"/>
      <c r="D18" s="3"/>
      <c r="E18" s="16" t="s">
        <v>1072</v>
      </c>
      <c r="F18" s="8"/>
      <c r="G18" s="16" t="s">
        <v>1072</v>
      </c>
      <c r="H18" s="8"/>
      <c r="I18" s="16" t="s">
        <v>1072</v>
      </c>
      <c r="J18" s="8"/>
      <c r="K18" s="16" t="s">
        <v>1072</v>
      </c>
      <c r="L18" s="320"/>
      <c r="M18" s="5"/>
    </row>
    <row r="19" spans="1:13" ht="15">
      <c r="A19" s="3"/>
      <c r="B19" s="18" t="s">
        <v>252</v>
      </c>
      <c r="C19" s="3"/>
      <c r="D19" s="3"/>
      <c r="E19" s="8">
        <f>E16-E17</f>
        <v>0</v>
      </c>
      <c r="F19" s="8"/>
      <c r="G19" s="8">
        <f>G16-G17</f>
        <v>0</v>
      </c>
      <c r="H19" s="8"/>
      <c r="I19" s="8">
        <f>I16-I17</f>
        <v>124791</v>
      </c>
      <c r="J19" s="8"/>
      <c r="K19" s="8">
        <f>K16-K17</f>
        <v>124791</v>
      </c>
      <c r="L19" s="320"/>
      <c r="M19" s="5"/>
    </row>
    <row r="20" spans="1:13" ht="15">
      <c r="A20" s="3"/>
      <c r="B20" s="3"/>
      <c r="C20" s="3"/>
      <c r="D20" s="3"/>
      <c r="E20" s="16" t="s">
        <v>1569</v>
      </c>
      <c r="F20" s="8"/>
      <c r="G20" s="16" t="s">
        <v>1569</v>
      </c>
      <c r="H20" s="8"/>
      <c r="I20" s="16" t="s">
        <v>1569</v>
      </c>
      <c r="J20" s="8"/>
      <c r="K20" s="16" t="s">
        <v>1569</v>
      </c>
      <c r="L20" s="5"/>
      <c r="M20" s="5"/>
    </row>
    <row r="21" spans="1:13" ht="15">
      <c r="A21" s="3"/>
      <c r="B21" s="3"/>
      <c r="C21" s="3"/>
      <c r="D21" s="3"/>
      <c r="E21" s="8"/>
      <c r="F21" s="8"/>
      <c r="G21" s="8"/>
      <c r="H21" s="8"/>
      <c r="I21" s="8"/>
      <c r="J21" s="8"/>
      <c r="K21" s="8"/>
      <c r="L21" s="5"/>
      <c r="M21" s="5"/>
    </row>
    <row r="22" spans="1:13" ht="15">
      <c r="A22" s="3"/>
      <c r="B22" s="3"/>
      <c r="C22" s="3"/>
      <c r="D22" s="3"/>
      <c r="E22" s="8"/>
      <c r="F22" s="8"/>
      <c r="G22" s="8"/>
      <c r="H22" s="8"/>
      <c r="I22" s="8"/>
      <c r="J22" s="8"/>
      <c r="K22" s="8"/>
      <c r="L22" s="5"/>
      <c r="M22" s="5"/>
    </row>
    <row r="23" spans="1:13" ht="15">
      <c r="A23" s="3"/>
      <c r="B23" s="18" t="s">
        <v>1767</v>
      </c>
      <c r="C23" s="3"/>
      <c r="D23" s="3"/>
      <c r="E23" s="8">
        <f>(E10+E16)</f>
        <v>1262648</v>
      </c>
      <c r="F23" s="8"/>
      <c r="G23" s="8">
        <f>(G10+G16)</f>
        <v>5195510</v>
      </c>
      <c r="H23" s="8"/>
      <c r="I23" s="8">
        <f>+K23-E23-G23</f>
        <v>10169880</v>
      </c>
      <c r="J23" s="8"/>
      <c r="K23" s="8">
        <f>(K10+K16)</f>
        <v>16628038</v>
      </c>
      <c r="L23" s="5"/>
      <c r="M23" s="5"/>
    </row>
    <row r="24" spans="1:13" ht="15">
      <c r="A24" s="3"/>
      <c r="B24" s="3" t="s">
        <v>1728</v>
      </c>
      <c r="C24" s="3"/>
      <c r="D24" s="3"/>
      <c r="E24" s="8">
        <f>(E11+E17)</f>
        <v>1262648</v>
      </c>
      <c r="F24" s="8"/>
      <c r="G24" s="8">
        <f>(G11+G17)</f>
        <v>5195510</v>
      </c>
      <c r="H24" s="8"/>
      <c r="I24" s="8">
        <f>+K24-E24-G24</f>
        <v>9753907</v>
      </c>
      <c r="J24" s="8"/>
      <c r="K24" s="8">
        <f>(K11+K17)</f>
        <v>16212065</v>
      </c>
      <c r="L24" s="5"/>
      <c r="M24" s="5"/>
    </row>
    <row r="25" spans="1:13" ht="15">
      <c r="A25" s="3"/>
      <c r="B25" s="3"/>
      <c r="C25" s="3"/>
      <c r="D25" s="3"/>
      <c r="E25" s="16" t="s">
        <v>1072</v>
      </c>
      <c r="F25" s="8"/>
      <c r="G25" s="16" t="s">
        <v>1072</v>
      </c>
      <c r="H25" s="8"/>
      <c r="I25" s="16" t="s">
        <v>1072</v>
      </c>
      <c r="J25" s="8"/>
      <c r="K25" s="16" t="s">
        <v>1072</v>
      </c>
      <c r="L25" s="5"/>
      <c r="M25" s="5"/>
    </row>
    <row r="26" spans="1:13" ht="15">
      <c r="A26" s="3"/>
      <c r="B26" s="18" t="s">
        <v>1768</v>
      </c>
      <c r="C26" s="3"/>
      <c r="D26" s="3"/>
      <c r="E26" s="8">
        <f>E23-E24</f>
        <v>0</v>
      </c>
      <c r="F26" s="8"/>
      <c r="G26" s="8">
        <f>G23-G24</f>
        <v>0</v>
      </c>
      <c r="H26" s="8"/>
      <c r="I26" s="8">
        <f>I23-I24</f>
        <v>415973</v>
      </c>
      <c r="J26" s="8"/>
      <c r="K26" s="8">
        <f>K23-K24</f>
        <v>415973</v>
      </c>
      <c r="L26" s="5"/>
      <c r="M26" s="5"/>
    </row>
    <row r="27" spans="1:13" ht="15">
      <c r="A27" s="3"/>
      <c r="B27" s="3"/>
      <c r="C27" s="3"/>
      <c r="D27" s="3"/>
      <c r="E27" s="16" t="s">
        <v>1569</v>
      </c>
      <c r="F27" s="8"/>
      <c r="G27" s="16" t="s">
        <v>1569</v>
      </c>
      <c r="H27" s="8"/>
      <c r="I27" s="16" t="s">
        <v>1569</v>
      </c>
      <c r="J27" s="8"/>
      <c r="K27" s="16" t="s">
        <v>1569</v>
      </c>
      <c r="L27" s="5"/>
      <c r="M27" s="5"/>
    </row>
    <row r="28" spans="1:13" ht="15">
      <c r="A28" s="3"/>
      <c r="B28" s="3"/>
      <c r="C28" s="3"/>
      <c r="D28" s="3"/>
      <c r="E28" s="8"/>
      <c r="F28" s="8"/>
      <c r="G28" s="8"/>
      <c r="H28" s="8"/>
      <c r="I28" s="8"/>
      <c r="J28" s="8"/>
      <c r="K28" s="8"/>
      <c r="L28" s="5"/>
      <c r="M28" s="5"/>
    </row>
    <row r="29" spans="1:13" ht="15">
      <c r="A29" s="3"/>
      <c r="B29" s="3"/>
      <c r="C29" s="3"/>
      <c r="D29" s="3"/>
      <c r="E29" s="8"/>
      <c r="F29" s="8"/>
      <c r="G29" s="8"/>
      <c r="H29" s="8"/>
      <c r="I29" s="8"/>
      <c r="J29" s="8"/>
      <c r="K29" s="8"/>
      <c r="L29" s="5"/>
      <c r="M29" s="5"/>
    </row>
    <row r="30" spans="1:13" ht="15">
      <c r="A30" s="3"/>
      <c r="B30" s="3"/>
      <c r="C30" s="3"/>
      <c r="D30" s="3"/>
      <c r="E30" s="8"/>
      <c r="F30" s="8"/>
      <c r="G30" s="8"/>
      <c r="H30" s="8"/>
      <c r="I30" s="8"/>
      <c r="J30" s="8"/>
      <c r="K30" s="8"/>
      <c r="L30" s="5"/>
      <c r="M30" s="5"/>
    </row>
    <row r="31" spans="1:13" ht="15.75">
      <c r="A31" s="17" t="s">
        <v>804</v>
      </c>
      <c r="B31" s="3"/>
      <c r="C31" s="3"/>
      <c r="D31" s="3"/>
      <c r="E31" s="8"/>
      <c r="F31" s="8"/>
      <c r="G31" s="8"/>
      <c r="H31" s="8"/>
      <c r="I31" s="8"/>
      <c r="J31" s="8"/>
      <c r="K31" s="8"/>
      <c r="L31" s="5"/>
      <c r="M31" s="5"/>
    </row>
    <row r="32" spans="1:13" ht="15">
      <c r="A32" s="3"/>
      <c r="B32" s="3" t="s">
        <v>1518</v>
      </c>
      <c r="C32" s="3"/>
      <c r="D32" s="3"/>
      <c r="E32" s="7">
        <v>-170458</v>
      </c>
      <c r="F32" s="7"/>
      <c r="G32" s="7">
        <v>1685177</v>
      </c>
      <c r="H32" s="7"/>
      <c r="I32" s="8">
        <f>+K32-E32-G32</f>
        <v>4945977</v>
      </c>
      <c r="J32" s="8"/>
      <c r="K32" s="7">
        <v>6460696</v>
      </c>
      <c r="L32" s="5"/>
      <c r="M32" s="5"/>
    </row>
    <row r="33" spans="1:13" ht="15">
      <c r="A33" s="3"/>
      <c r="B33" s="3" t="s">
        <v>1728</v>
      </c>
      <c r="C33" s="3"/>
      <c r="D33" s="3"/>
      <c r="E33" s="7">
        <v>-170458</v>
      </c>
      <c r="F33" s="7"/>
      <c r="G33" s="7">
        <v>1685177</v>
      </c>
      <c r="H33" s="7"/>
      <c r="I33" s="8">
        <f>+K33-E33-G33</f>
        <v>5148648</v>
      </c>
      <c r="J33" s="8"/>
      <c r="K33" s="7">
        <v>6663367</v>
      </c>
      <c r="L33" s="5"/>
      <c r="M33" s="5"/>
    </row>
    <row r="34" spans="1:13" ht="15">
      <c r="A34" s="3"/>
      <c r="B34" s="3"/>
      <c r="C34" s="3"/>
      <c r="D34" s="3"/>
      <c r="E34" s="16" t="s">
        <v>1072</v>
      </c>
      <c r="F34" s="8"/>
      <c r="G34" s="16" t="s">
        <v>1072</v>
      </c>
      <c r="H34" s="8"/>
      <c r="I34" s="16" t="s">
        <v>1072</v>
      </c>
      <c r="J34" s="8"/>
      <c r="K34" s="16" t="s">
        <v>1072</v>
      </c>
      <c r="L34" s="5"/>
      <c r="M34" s="5"/>
    </row>
    <row r="35" spans="1:13" ht="15">
      <c r="A35" s="3"/>
      <c r="B35" s="18" t="s">
        <v>252</v>
      </c>
      <c r="C35" s="3"/>
      <c r="D35" s="3"/>
      <c r="E35" s="8">
        <f>E32-E33</f>
        <v>0</v>
      </c>
      <c r="F35" s="8"/>
      <c r="G35" s="8">
        <f>G32-G33</f>
        <v>0</v>
      </c>
      <c r="H35" s="8"/>
      <c r="I35" s="8">
        <f>I32-I33</f>
        <v>-202671</v>
      </c>
      <c r="J35" s="8"/>
      <c r="K35" s="8">
        <f>K32-K33</f>
        <v>-202671</v>
      </c>
      <c r="L35" s="5"/>
      <c r="M35" s="5"/>
    </row>
    <row r="36" spans="1:13" ht="15.75" customHeight="1">
      <c r="A36" s="3"/>
      <c r="B36" s="3"/>
      <c r="C36" s="3"/>
      <c r="D36" s="3"/>
      <c r="E36" s="16" t="s">
        <v>1569</v>
      </c>
      <c r="F36" s="8"/>
      <c r="G36" s="16" t="s">
        <v>1569</v>
      </c>
      <c r="H36" s="8"/>
      <c r="I36" s="16" t="s">
        <v>1569</v>
      </c>
      <c r="J36" s="8"/>
      <c r="K36" s="16" t="s">
        <v>1569</v>
      </c>
      <c r="L36" s="5"/>
      <c r="M36" s="5"/>
    </row>
    <row r="37" spans="1:13" ht="15">
      <c r="A37" s="3"/>
      <c r="B37" s="3"/>
      <c r="C37" s="3"/>
      <c r="D37" s="3"/>
      <c r="E37" s="8"/>
      <c r="F37" s="8"/>
      <c r="G37" s="8"/>
      <c r="H37" s="8"/>
      <c r="I37" s="8"/>
      <c r="J37" s="8"/>
      <c r="K37" s="8"/>
      <c r="L37" s="5"/>
      <c r="M37" s="5"/>
    </row>
    <row r="38" spans="1:13" ht="15">
      <c r="A38" s="3"/>
      <c r="B38" s="3" t="s">
        <v>1458</v>
      </c>
      <c r="C38" s="3"/>
      <c r="D38" s="3"/>
      <c r="E38" s="7">
        <v>-73054</v>
      </c>
      <c r="F38" s="7"/>
      <c r="G38" s="7">
        <v>722219</v>
      </c>
      <c r="H38" s="7"/>
      <c r="I38" s="8">
        <f>+K38-E38-G38</f>
        <v>2119703</v>
      </c>
      <c r="J38" s="8"/>
      <c r="K38" s="7">
        <v>2768868</v>
      </c>
      <c r="L38" s="5"/>
      <c r="M38" s="5"/>
    </row>
    <row r="39" spans="1:13" ht="15">
      <c r="A39" s="3"/>
      <c r="B39" s="3" t="s">
        <v>1728</v>
      </c>
      <c r="C39" s="3"/>
      <c r="D39" s="3"/>
      <c r="E39" s="7">
        <v>-73054</v>
      </c>
      <c r="F39" s="7"/>
      <c r="G39" s="7">
        <v>722219</v>
      </c>
      <c r="H39" s="7"/>
      <c r="I39" s="8">
        <f>+K39-E39-G39</f>
        <v>2206562</v>
      </c>
      <c r="J39" s="8"/>
      <c r="K39" s="7">
        <v>2855727</v>
      </c>
      <c r="L39" s="5"/>
      <c r="M39" s="5"/>
    </row>
    <row r="40" spans="1:13" ht="15">
      <c r="A40" s="3"/>
      <c r="B40" s="3"/>
      <c r="C40" s="3"/>
      <c r="D40" s="3"/>
      <c r="E40" s="16" t="s">
        <v>1072</v>
      </c>
      <c r="F40" s="8"/>
      <c r="G40" s="16" t="s">
        <v>1072</v>
      </c>
      <c r="H40" s="8"/>
      <c r="I40" s="16" t="s">
        <v>1072</v>
      </c>
      <c r="J40" s="8"/>
      <c r="K40" s="16" t="s">
        <v>1072</v>
      </c>
      <c r="L40" s="5"/>
      <c r="M40" s="5"/>
    </row>
    <row r="41" spans="1:13" ht="15">
      <c r="A41" s="3"/>
      <c r="B41" s="18" t="s">
        <v>252</v>
      </c>
      <c r="C41" s="3"/>
      <c r="D41" s="3"/>
      <c r="E41" s="8">
        <f>E38-E39</f>
        <v>0</v>
      </c>
      <c r="F41" s="8"/>
      <c r="G41" s="8">
        <f>G38-G39</f>
        <v>0</v>
      </c>
      <c r="H41" s="8"/>
      <c r="I41" s="8">
        <f>I38-I39</f>
        <v>-86859</v>
      </c>
      <c r="J41" s="8"/>
      <c r="K41" s="8">
        <f>K38-K39</f>
        <v>-86859</v>
      </c>
      <c r="L41" s="5"/>
      <c r="M41" s="5"/>
    </row>
    <row r="42" spans="1:13" ht="15">
      <c r="A42" s="3"/>
      <c r="B42" s="3"/>
      <c r="C42" s="3"/>
      <c r="D42" s="3"/>
      <c r="E42" s="16" t="s">
        <v>1569</v>
      </c>
      <c r="F42" s="8"/>
      <c r="G42" s="16" t="s">
        <v>1569</v>
      </c>
      <c r="H42" s="8"/>
      <c r="I42" s="16" t="s">
        <v>1569</v>
      </c>
      <c r="J42" s="8"/>
      <c r="K42" s="16" t="s">
        <v>1569</v>
      </c>
      <c r="L42" s="5"/>
      <c r="M42" s="5"/>
    </row>
    <row r="43" spans="1:13" ht="15">
      <c r="A43" s="3"/>
      <c r="B43" s="3"/>
      <c r="C43" s="3"/>
      <c r="D43" s="3"/>
      <c r="E43" s="8"/>
      <c r="F43" s="8"/>
      <c r="G43" s="8"/>
      <c r="H43" s="8"/>
      <c r="I43" s="8"/>
      <c r="J43" s="8"/>
      <c r="K43" s="8"/>
      <c r="L43" s="5"/>
      <c r="M43" s="5"/>
    </row>
    <row r="44" spans="1:13" ht="15">
      <c r="A44" s="3"/>
      <c r="B44" s="3"/>
      <c r="C44" s="3"/>
      <c r="D44" s="3"/>
      <c r="E44" s="8"/>
      <c r="F44" s="8"/>
      <c r="G44" s="8"/>
      <c r="H44" s="8"/>
      <c r="I44" s="8"/>
      <c r="J44" s="8"/>
      <c r="K44" s="8"/>
      <c r="L44" s="5"/>
      <c r="M44" s="5"/>
    </row>
    <row r="45" spans="1:13" ht="15">
      <c r="A45" s="3"/>
      <c r="B45" s="18" t="s">
        <v>624</v>
      </c>
      <c r="C45" s="3"/>
      <c r="D45" s="3"/>
      <c r="E45" s="8">
        <f>E32+E38</f>
        <v>-243512</v>
      </c>
      <c r="F45" s="8"/>
      <c r="G45" s="8">
        <f>G32+G38</f>
        <v>2407396</v>
      </c>
      <c r="H45" s="8"/>
      <c r="I45" s="8">
        <f>I32+I38</f>
        <v>7065680</v>
      </c>
      <c r="J45" s="8"/>
      <c r="K45" s="8">
        <f>K32+K38</f>
        <v>9229564</v>
      </c>
      <c r="L45" s="5"/>
      <c r="M45" s="5"/>
    </row>
    <row r="46" spans="1:13" ht="15">
      <c r="A46" s="3"/>
      <c r="B46" s="3" t="s">
        <v>1728</v>
      </c>
      <c r="C46" s="3"/>
      <c r="D46" s="3"/>
      <c r="E46" s="8">
        <f>E33+E39</f>
        <v>-243512</v>
      </c>
      <c r="F46" s="8"/>
      <c r="G46" s="8">
        <f>G33+G39</f>
        <v>2407396</v>
      </c>
      <c r="H46" s="8"/>
      <c r="I46" s="8">
        <f>I33+I39</f>
        <v>7355210</v>
      </c>
      <c r="J46" s="8"/>
      <c r="K46" s="8">
        <f>K33+K39</f>
        <v>9519094</v>
      </c>
      <c r="L46" s="5"/>
      <c r="M46" s="5"/>
    </row>
    <row r="47" spans="1:13" ht="15">
      <c r="A47" s="3"/>
      <c r="B47" s="3"/>
      <c r="C47" s="3"/>
      <c r="D47" s="3"/>
      <c r="E47" s="16" t="s">
        <v>1072</v>
      </c>
      <c r="F47" s="8"/>
      <c r="G47" s="16" t="s">
        <v>1072</v>
      </c>
      <c r="H47" s="8"/>
      <c r="I47" s="16" t="s">
        <v>1072</v>
      </c>
      <c r="J47" s="8"/>
      <c r="K47" s="16" t="s">
        <v>1072</v>
      </c>
      <c r="L47" s="5"/>
      <c r="M47" s="5"/>
    </row>
    <row r="48" spans="1:13" ht="15">
      <c r="A48" s="3"/>
      <c r="B48" s="18" t="s">
        <v>625</v>
      </c>
      <c r="C48" s="3"/>
      <c r="D48" s="3"/>
      <c r="E48" s="8">
        <f>E45-E46</f>
        <v>0</v>
      </c>
      <c r="F48" s="8"/>
      <c r="G48" s="8">
        <f>G45-G46</f>
        <v>0</v>
      </c>
      <c r="H48" s="8"/>
      <c r="I48" s="8">
        <f>I45-I46</f>
        <v>-289530</v>
      </c>
      <c r="J48" s="8"/>
      <c r="K48" s="8">
        <f>K45-K46</f>
        <v>-289530</v>
      </c>
      <c r="L48" s="5"/>
      <c r="M48" s="5"/>
    </row>
    <row r="49" spans="1:13" ht="15">
      <c r="A49" s="3"/>
      <c r="B49" s="3"/>
      <c r="C49" s="3"/>
      <c r="D49" s="3"/>
      <c r="E49" s="16" t="s">
        <v>1569</v>
      </c>
      <c r="F49" s="8"/>
      <c r="G49" s="16" t="s">
        <v>1569</v>
      </c>
      <c r="H49" s="8"/>
      <c r="I49" s="16" t="s">
        <v>1569</v>
      </c>
      <c r="J49" s="8"/>
      <c r="K49" s="16" t="s">
        <v>1569</v>
      </c>
      <c r="L49" s="5"/>
      <c r="M49" s="5"/>
    </row>
    <row r="50" spans="1:13" ht="15">
      <c r="A50" s="3"/>
      <c r="B50" s="3"/>
      <c r="C50" s="3"/>
      <c r="D50" s="3"/>
      <c r="E50" s="8"/>
      <c r="F50" s="8"/>
      <c r="G50" s="8"/>
      <c r="H50" s="8"/>
      <c r="I50" s="8"/>
      <c r="J50" s="8"/>
      <c r="K50" s="8"/>
      <c r="L50" s="5"/>
      <c r="M50" s="5"/>
    </row>
    <row r="51" spans="1:13" ht="15">
      <c r="A51" s="174" t="s">
        <v>1709</v>
      </c>
      <c r="B51" s="3"/>
      <c r="C51" s="3"/>
      <c r="D51" s="3"/>
      <c r="E51" s="8"/>
      <c r="F51" s="8"/>
      <c r="G51" s="8"/>
      <c r="H51" s="8"/>
      <c r="I51" s="8"/>
      <c r="J51" s="8"/>
      <c r="K51" s="8"/>
      <c r="L51" s="5"/>
      <c r="M51" s="5"/>
    </row>
    <row r="52" spans="1:13" ht="15">
      <c r="A52" s="3"/>
      <c r="B52" s="18" t="s">
        <v>8</v>
      </c>
      <c r="C52" s="3"/>
      <c r="D52" s="3"/>
      <c r="E52" s="8">
        <f>E35+E13</f>
        <v>0</v>
      </c>
      <c r="F52" s="8"/>
      <c r="G52" s="8">
        <f>G35+G13</f>
        <v>0</v>
      </c>
      <c r="H52" s="8"/>
      <c r="I52" s="8">
        <f>I35+I13</f>
        <v>88511</v>
      </c>
      <c r="J52" s="8"/>
      <c r="K52" s="8">
        <f>K35+K13</f>
        <v>88511</v>
      </c>
      <c r="L52" s="5"/>
      <c r="M52" s="5"/>
    </row>
    <row r="53" spans="1:13" ht="15">
      <c r="A53" s="3"/>
      <c r="B53" s="18" t="s">
        <v>9</v>
      </c>
      <c r="C53" s="3"/>
      <c r="D53" s="3"/>
      <c r="E53" s="8">
        <f>E41+E19</f>
        <v>0</v>
      </c>
      <c r="F53" s="8"/>
      <c r="G53" s="8">
        <f>G41+G19</f>
        <v>0</v>
      </c>
      <c r="H53" s="8"/>
      <c r="I53" s="8">
        <f>I41+I19</f>
        <v>37932</v>
      </c>
      <c r="J53" s="8"/>
      <c r="K53" s="8">
        <f>K41+K19</f>
        <v>37932</v>
      </c>
      <c r="L53" s="5"/>
      <c r="M53" s="5"/>
    </row>
    <row r="54" spans="1:13" ht="15">
      <c r="A54" s="3"/>
      <c r="B54" s="3"/>
      <c r="C54" s="3"/>
      <c r="D54" s="3"/>
      <c r="E54" s="16" t="s">
        <v>1072</v>
      </c>
      <c r="F54" s="8"/>
      <c r="G54" s="16" t="s">
        <v>1072</v>
      </c>
      <c r="H54" s="8"/>
      <c r="I54" s="16" t="s">
        <v>1072</v>
      </c>
      <c r="J54" s="8"/>
      <c r="K54" s="16" t="s">
        <v>1072</v>
      </c>
      <c r="L54" s="5"/>
      <c r="M54" s="5"/>
    </row>
    <row r="55" spans="1:13" ht="15">
      <c r="A55" s="3"/>
      <c r="B55" s="18" t="s">
        <v>1801</v>
      </c>
      <c r="C55" s="3"/>
      <c r="D55" s="3"/>
      <c r="E55" s="8">
        <f>SUM(E52:E53)</f>
        <v>0</v>
      </c>
      <c r="F55" s="8"/>
      <c r="G55" s="8">
        <f>SUM(G52:G53)</f>
        <v>0</v>
      </c>
      <c r="H55" s="8"/>
      <c r="I55" s="8">
        <f>SUM(I52:I53)</f>
        <v>126443</v>
      </c>
      <c r="J55" s="8"/>
      <c r="K55" s="8">
        <f>SUM(K52:K53)</f>
        <v>126443</v>
      </c>
      <c r="L55" s="5"/>
      <c r="M55" s="5"/>
    </row>
    <row r="56" spans="1:13" ht="15">
      <c r="A56" s="3"/>
      <c r="B56" s="3"/>
      <c r="C56" s="3"/>
      <c r="D56" s="3"/>
      <c r="E56" s="16" t="s">
        <v>1569</v>
      </c>
      <c r="F56" s="8"/>
      <c r="G56" s="16" t="s">
        <v>1569</v>
      </c>
      <c r="H56" s="8"/>
      <c r="I56" s="16" t="s">
        <v>1569</v>
      </c>
      <c r="J56" s="8"/>
      <c r="K56" s="16" t="s">
        <v>1569</v>
      </c>
      <c r="L56" s="5"/>
      <c r="M56" s="5"/>
    </row>
    <row r="57" spans="1:13" ht="15">
      <c r="A57" s="34" t="s">
        <v>1892</v>
      </c>
      <c r="B57" s="3"/>
      <c r="C57" s="3"/>
      <c r="D57" s="3"/>
      <c r="E57" s="8"/>
      <c r="F57" s="8"/>
      <c r="G57" s="8"/>
      <c r="H57" s="8"/>
      <c r="I57" s="8"/>
      <c r="J57" s="8"/>
      <c r="K57" s="8"/>
      <c r="L57" s="5"/>
      <c r="M57" s="5"/>
    </row>
    <row r="58" spans="1:13" ht="15">
      <c r="A58" s="3"/>
      <c r="B58" s="3"/>
      <c r="C58" s="3"/>
      <c r="D58" s="3"/>
      <c r="E58" s="8"/>
      <c r="F58" s="8"/>
      <c r="G58" s="8"/>
      <c r="H58" s="8"/>
      <c r="I58" s="8"/>
      <c r="J58" s="8"/>
      <c r="K58" s="8"/>
      <c r="L58" s="5"/>
      <c r="M58" s="5"/>
    </row>
    <row r="59" spans="1:13" ht="15">
      <c r="A59" s="3"/>
      <c r="B59" s="18" t="s">
        <v>462</v>
      </c>
      <c r="C59" s="3"/>
      <c r="D59" s="3"/>
      <c r="E59" s="8">
        <f>E48+E26</f>
        <v>0</v>
      </c>
      <c r="F59" s="8"/>
      <c r="G59" s="8">
        <f>G48+G26</f>
        <v>0</v>
      </c>
      <c r="H59" s="8"/>
      <c r="I59" s="8">
        <f>I48+I26</f>
        <v>126443</v>
      </c>
      <c r="J59" s="8"/>
      <c r="K59" s="8">
        <f>K48+K26</f>
        <v>126443</v>
      </c>
      <c r="L59" s="5"/>
      <c r="M59" s="5"/>
    </row>
    <row r="60" spans="1:13" ht="15">
      <c r="A60" s="3"/>
      <c r="B60" s="3"/>
      <c r="C60" s="3"/>
      <c r="D60" s="3"/>
      <c r="E60" s="16" t="s">
        <v>1569</v>
      </c>
      <c r="F60" s="8"/>
      <c r="G60" s="16" t="s">
        <v>1569</v>
      </c>
      <c r="H60" s="8"/>
      <c r="I60" s="16" t="s">
        <v>1569</v>
      </c>
      <c r="J60" s="8"/>
      <c r="K60" s="16" t="s">
        <v>1569</v>
      </c>
      <c r="L60" s="5"/>
      <c r="M60" s="5"/>
    </row>
    <row r="61" spans="1:13" ht="15">
      <c r="A61" s="3"/>
      <c r="B61" s="3"/>
      <c r="C61" s="3"/>
      <c r="D61" s="3"/>
      <c r="E61" s="16"/>
      <c r="F61" s="8"/>
      <c r="G61" s="16"/>
      <c r="H61" s="8"/>
      <c r="I61" s="16"/>
      <c r="J61" s="8"/>
      <c r="K61" s="16"/>
      <c r="L61" s="5"/>
      <c r="M61" s="5"/>
    </row>
    <row r="62" spans="1:13" ht="15">
      <c r="A62" s="3"/>
      <c r="B62" s="3"/>
      <c r="C62" s="3"/>
      <c r="D62" s="3"/>
      <c r="E62" s="16"/>
      <c r="F62" s="8"/>
      <c r="G62" s="16"/>
      <c r="H62" s="8"/>
      <c r="I62" s="16"/>
      <c r="J62" s="8"/>
      <c r="K62" s="16"/>
      <c r="L62" s="5"/>
      <c r="M62" s="5"/>
    </row>
    <row r="63" spans="1:13" ht="15">
      <c r="A63" s="3"/>
      <c r="B63" s="321"/>
      <c r="C63" s="321"/>
      <c r="D63" s="3"/>
      <c r="E63" s="322"/>
      <c r="F63" s="322"/>
      <c r="G63" s="322"/>
      <c r="H63" s="8"/>
      <c r="I63" s="322"/>
      <c r="J63" s="322"/>
      <c r="K63" s="16"/>
      <c r="L63" s="5"/>
      <c r="M63" s="5"/>
    </row>
    <row r="64" spans="1:13" ht="15">
      <c r="A64" s="3"/>
      <c r="B64" s="321"/>
      <c r="C64" s="321"/>
      <c r="D64" s="3"/>
      <c r="E64" s="322"/>
      <c r="F64" s="322"/>
      <c r="G64" s="322"/>
      <c r="H64" s="8"/>
      <c r="I64" s="322"/>
      <c r="J64" s="322"/>
      <c r="K64" s="16"/>
      <c r="L64" s="5"/>
      <c r="M64" s="5"/>
    </row>
    <row r="65" spans="1:13" ht="15">
      <c r="A65" s="3"/>
      <c r="B65" s="3"/>
      <c r="C65" s="3"/>
      <c r="D65" s="3"/>
      <c r="E65" s="16"/>
      <c r="F65" s="8"/>
      <c r="G65" s="16"/>
      <c r="H65" s="8"/>
      <c r="I65" s="16"/>
      <c r="J65" s="8"/>
      <c r="K65" s="16"/>
      <c r="L65" s="5"/>
      <c r="M65" s="5"/>
    </row>
    <row r="66" spans="1:13" ht="15">
      <c r="A66" s="3"/>
      <c r="B66" s="3"/>
      <c r="C66" s="3"/>
      <c r="D66" s="3"/>
      <c r="E66" s="3"/>
      <c r="F66" s="3"/>
      <c r="G66" s="3"/>
      <c r="H66" s="3"/>
      <c r="I66" s="3"/>
      <c r="J66" s="3"/>
      <c r="K66" s="3"/>
      <c r="L66" s="5"/>
      <c r="M66" s="5"/>
    </row>
    <row r="67" spans="1:13" ht="15">
      <c r="A67" s="3"/>
      <c r="B67" s="3"/>
      <c r="C67" s="323"/>
      <c r="D67" s="323"/>
      <c r="E67" s="323"/>
      <c r="F67" s="323"/>
      <c r="G67" s="323"/>
      <c r="H67" s="323"/>
      <c r="I67" s="323"/>
      <c r="J67" s="323"/>
      <c r="K67" s="323"/>
      <c r="L67" s="5"/>
      <c r="M67" s="5"/>
    </row>
    <row r="68" spans="1:13" ht="15">
      <c r="A68" s="3"/>
      <c r="B68" s="3"/>
      <c r="C68" s="323"/>
      <c r="D68" s="323"/>
      <c r="E68" s="323"/>
      <c r="F68" s="323"/>
      <c r="G68" s="323"/>
      <c r="H68" s="323"/>
      <c r="I68" s="323"/>
      <c r="J68" s="323"/>
      <c r="K68" s="323"/>
      <c r="L68" s="5"/>
      <c r="M68" s="5"/>
    </row>
    <row r="69" spans="1:13" ht="15">
      <c r="A69" s="5"/>
      <c r="B69" s="3"/>
      <c r="C69" s="323"/>
      <c r="D69" s="323"/>
      <c r="E69" s="323"/>
      <c r="F69" s="323"/>
      <c r="G69" s="323"/>
      <c r="H69" s="323"/>
      <c r="I69" s="323"/>
      <c r="J69" s="323"/>
      <c r="K69" s="323"/>
      <c r="L69" s="5"/>
      <c r="M69" s="5"/>
    </row>
    <row r="70" spans="1:13" ht="15">
      <c r="A70" s="5"/>
      <c r="B70" s="3"/>
      <c r="C70" s="323"/>
      <c r="D70" s="323"/>
      <c r="E70" s="323"/>
      <c r="F70" s="323"/>
      <c r="G70" s="323"/>
      <c r="H70" s="323"/>
      <c r="I70" s="323"/>
      <c r="J70" s="323"/>
      <c r="K70" s="323"/>
      <c r="L70" s="5"/>
      <c r="M70" s="5"/>
    </row>
    <row r="71" spans="1:13" ht="12.75">
      <c r="A71" s="5"/>
      <c r="B71" s="5"/>
      <c r="C71" s="5"/>
      <c r="D71" s="5"/>
      <c r="E71" s="5"/>
      <c r="F71" s="5"/>
      <c r="G71" s="5"/>
      <c r="H71" s="5"/>
      <c r="I71" s="5"/>
      <c r="J71" s="5"/>
      <c r="K71" s="324"/>
      <c r="L71" s="5"/>
      <c r="M71" s="5"/>
    </row>
    <row r="72" spans="1:13" ht="12.75">
      <c r="A72" s="5"/>
      <c r="B72" s="5"/>
      <c r="C72" s="5"/>
      <c r="D72" s="5"/>
      <c r="E72" s="5"/>
      <c r="F72" s="5"/>
      <c r="G72" s="5"/>
      <c r="H72" s="5"/>
      <c r="I72" s="5"/>
      <c r="J72" s="5"/>
      <c r="K72" s="5"/>
      <c r="L72" s="5"/>
      <c r="M72" s="5"/>
    </row>
    <row r="73" spans="1:13" ht="15.75">
      <c r="A73" s="26" t="s">
        <v>535</v>
      </c>
      <c r="B73" s="5"/>
      <c r="C73" s="5"/>
      <c r="D73" s="5"/>
      <c r="E73" s="5"/>
      <c r="F73" s="5"/>
      <c r="G73" s="5"/>
      <c r="H73" s="5"/>
      <c r="I73" s="5"/>
      <c r="J73" s="5"/>
      <c r="K73" s="5"/>
      <c r="L73" s="5"/>
      <c r="M73" s="5"/>
    </row>
    <row r="74" spans="1:13" ht="15.75">
      <c r="A74" s="26"/>
      <c r="B74" s="5" t="s">
        <v>1171</v>
      </c>
      <c r="C74" s="5"/>
      <c r="D74" s="5"/>
      <c r="E74" s="5"/>
      <c r="F74" s="5"/>
      <c r="G74" s="5"/>
      <c r="H74" s="5"/>
      <c r="I74" s="5"/>
      <c r="J74" s="5"/>
      <c r="K74" s="5"/>
      <c r="L74" s="5"/>
      <c r="M74" s="5"/>
    </row>
    <row r="75" spans="1:13" ht="15.75">
      <c r="A75" s="26"/>
      <c r="B75" s="5" t="s">
        <v>28</v>
      </c>
      <c r="C75" s="5"/>
      <c r="D75" s="5"/>
      <c r="E75" s="5"/>
      <c r="F75" s="5"/>
      <c r="G75" s="5"/>
      <c r="H75" s="5"/>
      <c r="I75" s="5"/>
      <c r="J75" s="5"/>
      <c r="K75" s="5"/>
      <c r="L75" s="5"/>
      <c r="M75" s="5"/>
    </row>
    <row r="76" spans="1:13" ht="15.75">
      <c r="A76" s="26"/>
      <c r="B76" s="5" t="s">
        <v>1207</v>
      </c>
      <c r="C76" s="5"/>
      <c r="D76" s="5"/>
      <c r="E76" s="5"/>
      <c r="F76" s="5"/>
      <c r="G76" s="5"/>
      <c r="H76" s="5"/>
      <c r="I76" s="5"/>
      <c r="J76" s="5"/>
      <c r="K76" s="5"/>
      <c r="L76" s="5"/>
      <c r="M76" s="5"/>
    </row>
    <row r="77" spans="1:13" ht="15.75">
      <c r="A77" s="26"/>
      <c r="B77" s="5" t="s">
        <v>915</v>
      </c>
      <c r="C77" s="5"/>
      <c r="D77" s="5"/>
      <c r="E77" s="5"/>
      <c r="F77" s="5"/>
      <c r="G77" s="5"/>
      <c r="H77" s="5"/>
      <c r="I77" s="5"/>
      <c r="J77" s="5"/>
      <c r="K77" s="5"/>
      <c r="L77" s="5"/>
      <c r="M77" s="5"/>
    </row>
    <row r="78" spans="1:13" ht="15.75">
      <c r="A78" s="26"/>
      <c r="B78" s="5" t="s">
        <v>1245</v>
      </c>
      <c r="C78" s="5"/>
      <c r="D78" s="5"/>
      <c r="E78" s="5"/>
      <c r="F78" s="5"/>
      <c r="G78" s="5"/>
      <c r="H78" s="5"/>
      <c r="I78" s="5"/>
      <c r="J78" s="5"/>
      <c r="K78" s="5"/>
      <c r="L78" s="5"/>
      <c r="M78" s="5"/>
    </row>
    <row r="79" spans="1:13" ht="15.75">
      <c r="A79" s="26"/>
      <c r="B79" s="5" t="s">
        <v>143</v>
      </c>
      <c r="C79" s="5"/>
      <c r="D79" s="5"/>
      <c r="E79" s="5"/>
      <c r="F79" s="5"/>
      <c r="G79" s="5"/>
      <c r="H79" s="5"/>
      <c r="I79" s="5"/>
      <c r="J79" s="5"/>
      <c r="K79" s="5"/>
      <c r="L79" s="5"/>
      <c r="M79" s="5"/>
    </row>
    <row r="80" spans="1:13" ht="15.75">
      <c r="A80" s="26"/>
      <c r="B80" s="5" t="s">
        <v>144</v>
      </c>
      <c r="C80" s="5"/>
      <c r="D80" s="5"/>
      <c r="E80" s="5"/>
      <c r="F80" s="5"/>
      <c r="G80" s="5"/>
      <c r="H80" s="5"/>
      <c r="I80" s="5"/>
      <c r="J80" s="5"/>
      <c r="K80" s="5"/>
      <c r="L80" s="5"/>
      <c r="M80" s="5"/>
    </row>
    <row r="81" spans="1:13" ht="15.75">
      <c r="A81" s="26"/>
      <c r="B81" s="5" t="s">
        <v>1281</v>
      </c>
      <c r="C81" s="5"/>
      <c r="D81" s="5"/>
      <c r="E81" s="5"/>
      <c r="F81" s="5"/>
      <c r="G81" s="5"/>
      <c r="H81" s="5"/>
      <c r="I81" s="5"/>
      <c r="J81" s="5"/>
      <c r="K81" s="5"/>
      <c r="L81" s="5"/>
      <c r="M81" s="5"/>
    </row>
    <row r="82" spans="1:13" ht="15.75">
      <c r="A82" s="26"/>
      <c r="B82" s="5" t="s">
        <v>192</v>
      </c>
      <c r="C82" s="5"/>
      <c r="D82" s="5"/>
      <c r="E82" s="5"/>
      <c r="F82" s="5"/>
      <c r="G82" s="5"/>
      <c r="H82" s="5"/>
      <c r="I82" s="5"/>
      <c r="J82" s="5"/>
      <c r="K82" s="5"/>
      <c r="L82" s="5"/>
      <c r="M82" s="5"/>
    </row>
    <row r="83" spans="1:13" ht="12.75">
      <c r="A83" s="5"/>
      <c r="B83" s="5" t="s">
        <v>536</v>
      </c>
      <c r="C83" s="5"/>
      <c r="D83" s="5"/>
      <c r="E83" s="5"/>
      <c r="F83" s="5"/>
      <c r="G83" s="5"/>
      <c r="H83" s="5"/>
      <c r="I83" s="5"/>
      <c r="J83" s="5"/>
      <c r="K83" s="5"/>
      <c r="L83" s="5"/>
      <c r="M83" s="5"/>
    </row>
    <row r="84" spans="1:13" ht="12.75">
      <c r="A84" s="5"/>
      <c r="B84" s="5" t="s">
        <v>1206</v>
      </c>
      <c r="C84" s="5"/>
      <c r="D84" s="5"/>
      <c r="E84" s="5"/>
      <c r="F84" s="5"/>
      <c r="G84" s="5"/>
      <c r="H84" s="5"/>
      <c r="I84" s="5"/>
      <c r="J84" s="5"/>
      <c r="K84" s="5"/>
      <c r="L84" s="5"/>
      <c r="M84" s="5"/>
    </row>
    <row r="85" spans="1:13" ht="12.75">
      <c r="A85" s="5"/>
      <c r="B85" s="5" t="s">
        <v>1881</v>
      </c>
      <c r="C85" s="5"/>
      <c r="D85" s="5"/>
      <c r="E85" s="5"/>
      <c r="F85" s="5"/>
      <c r="G85" s="5"/>
      <c r="H85" s="5"/>
      <c r="I85" s="5"/>
      <c r="J85" s="5"/>
      <c r="K85" s="5"/>
      <c r="L85" s="5"/>
      <c r="M85" s="5"/>
    </row>
    <row r="86" spans="1:13" ht="12.75">
      <c r="A86" s="5"/>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c r="B88" s="5"/>
      <c r="C88" s="5"/>
      <c r="D88" s="5"/>
      <c r="E88" s="5"/>
      <c r="F88" s="5"/>
      <c r="G88" s="5"/>
      <c r="H88" s="5"/>
      <c r="I88" s="5"/>
      <c r="J88" s="5"/>
      <c r="K88" s="5"/>
      <c r="L88" s="5"/>
      <c r="M88" s="5"/>
    </row>
    <row r="89" spans="1:13" ht="15.75">
      <c r="A89" s="26"/>
      <c r="B89" s="5"/>
      <c r="C89" s="5"/>
      <c r="D89" s="5"/>
      <c r="E89" s="5"/>
      <c r="F89" s="5"/>
      <c r="G89" s="5"/>
      <c r="H89" s="5"/>
      <c r="I89" s="5"/>
      <c r="J89" s="5"/>
      <c r="K89" s="5"/>
      <c r="L89" s="5"/>
      <c r="M89" s="5"/>
    </row>
    <row r="90" spans="1:13" ht="12.75">
      <c r="A90" s="5"/>
      <c r="B90" s="5"/>
      <c r="C90" s="5"/>
      <c r="D90" s="5"/>
      <c r="E90" s="5"/>
      <c r="F90" s="5"/>
      <c r="G90" s="5"/>
      <c r="H90" s="5"/>
      <c r="I90" s="5"/>
      <c r="J90" s="5"/>
      <c r="K90" s="5"/>
      <c r="L90" s="5"/>
      <c r="M90" s="5"/>
    </row>
    <row r="91" spans="1:13" ht="12.75">
      <c r="A91" s="5"/>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c r="B93" s="5"/>
      <c r="C93" s="5"/>
      <c r="D93" s="5"/>
      <c r="E93" s="5"/>
      <c r="F93" s="5"/>
      <c r="G93" s="5"/>
      <c r="H93" s="5"/>
      <c r="I93" s="5"/>
      <c r="J93" s="5"/>
      <c r="K93" s="5"/>
      <c r="L93" s="5"/>
      <c r="M93" s="5"/>
    </row>
    <row r="94" spans="1:13" ht="12.75">
      <c r="A94" s="5"/>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c r="B96" s="5"/>
      <c r="C96" s="5"/>
      <c r="D96" s="5"/>
      <c r="E96" s="5"/>
      <c r="F96" s="5"/>
      <c r="G96" s="5"/>
      <c r="H96" s="5"/>
      <c r="I96" s="5"/>
      <c r="J96" s="5"/>
      <c r="K96" s="5"/>
      <c r="L96" s="5"/>
      <c r="M96" s="5"/>
    </row>
    <row r="97" spans="1:13" ht="12.75">
      <c r="A97" s="5"/>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c r="B99" s="5"/>
      <c r="C99" s="5"/>
      <c r="D99" s="5"/>
      <c r="E99" s="5"/>
      <c r="F99" s="5"/>
      <c r="G99" s="5"/>
      <c r="H99" s="5"/>
      <c r="I99" s="5"/>
      <c r="J99" s="5"/>
      <c r="K99" s="5"/>
      <c r="L99" s="5"/>
      <c r="M99" s="5"/>
    </row>
    <row r="100" spans="1:13" ht="12.75">
      <c r="A100" s="5"/>
      <c r="B100" s="5"/>
      <c r="C100" s="5"/>
      <c r="D100" s="5"/>
      <c r="E100" s="5"/>
      <c r="F100" s="5"/>
      <c r="G100" s="5"/>
      <c r="H100" s="5"/>
      <c r="I100" s="5"/>
      <c r="J100" s="5"/>
      <c r="K100" s="5"/>
      <c r="L100" s="5"/>
      <c r="M100" s="5"/>
    </row>
    <row r="101" spans="1:13" ht="12.75">
      <c r="A101" s="5"/>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c r="B103" s="5"/>
      <c r="C103" s="5"/>
      <c r="D103" s="5"/>
      <c r="E103" s="5"/>
      <c r="F103" s="5"/>
      <c r="G103" s="5"/>
      <c r="H103" s="5"/>
      <c r="I103" s="5"/>
      <c r="J103" s="5"/>
      <c r="K103" s="5"/>
      <c r="L103" s="5"/>
      <c r="M103" s="5"/>
    </row>
    <row r="104" spans="1:13" ht="12.75">
      <c r="A104" s="5"/>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2.75">
      <c r="A109" s="5"/>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c r="B111" s="5"/>
      <c r="C111" s="5"/>
      <c r="D111" s="5"/>
      <c r="E111" s="5"/>
      <c r="F111" s="5"/>
      <c r="G111" s="5"/>
      <c r="H111" s="5"/>
      <c r="I111" s="5"/>
      <c r="J111" s="5"/>
      <c r="K111" s="5"/>
      <c r="L111" s="5"/>
      <c r="M111" s="5"/>
    </row>
    <row r="112" spans="1:13" ht="12.75">
      <c r="A112" s="5"/>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2.75">
      <c r="A115" s="5"/>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c r="B129" s="5"/>
      <c r="C129" s="5"/>
      <c r="D129" s="5"/>
      <c r="E129" s="5"/>
      <c r="F129" s="5"/>
      <c r="G129" s="5"/>
      <c r="H129" s="5"/>
      <c r="I129" s="5"/>
      <c r="J129" s="5"/>
      <c r="K129" s="5"/>
      <c r="L129" s="5"/>
      <c r="M129" s="5"/>
    </row>
    <row r="130" spans="1:13" ht="12.75">
      <c r="A130" s="5"/>
      <c r="B130" s="5"/>
      <c r="C130" s="5"/>
      <c r="D130" s="5"/>
      <c r="E130" s="5"/>
      <c r="F130" s="5"/>
      <c r="G130" s="5"/>
      <c r="H130" s="5"/>
      <c r="I130" s="5"/>
      <c r="J130" s="5"/>
      <c r="K130" s="5"/>
      <c r="L130" s="5"/>
      <c r="M130" s="5"/>
    </row>
    <row r="131" spans="1:13" ht="12.75">
      <c r="A131" s="5"/>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c r="B135" s="5"/>
      <c r="C135" s="5"/>
      <c r="D135" s="5"/>
      <c r="E135" s="5"/>
      <c r="F135" s="5"/>
      <c r="G135" s="5"/>
      <c r="H135" s="5"/>
      <c r="I135" s="5"/>
      <c r="J135" s="5"/>
      <c r="K135" s="5"/>
      <c r="L135" s="5"/>
      <c r="M135" s="5"/>
    </row>
    <row r="136" spans="1:13" ht="12.75">
      <c r="A136" s="5"/>
      <c r="B136" s="5"/>
      <c r="C136" s="5"/>
      <c r="D136" s="5"/>
      <c r="E136" s="5"/>
      <c r="F136" s="5"/>
      <c r="G136" s="5"/>
      <c r="H136" s="5"/>
      <c r="I136" s="5"/>
      <c r="J136" s="5"/>
      <c r="K136" s="5"/>
      <c r="L136" s="5"/>
      <c r="M136" s="5"/>
    </row>
    <row r="137" spans="1:13" ht="12.75">
      <c r="A137" s="5"/>
      <c r="B137" s="5"/>
      <c r="C137" s="5"/>
      <c r="D137" s="5"/>
      <c r="E137" s="5"/>
      <c r="F137" s="5"/>
      <c r="G137" s="5"/>
      <c r="H137" s="5"/>
      <c r="I137" s="5"/>
      <c r="J137" s="5"/>
      <c r="K137" s="5"/>
      <c r="L137" s="5"/>
      <c r="M137" s="5"/>
    </row>
    <row r="138" spans="1:13" ht="12.75">
      <c r="A138" s="5"/>
      <c r="B138" s="5"/>
      <c r="C138" s="5"/>
      <c r="D138" s="5"/>
      <c r="E138" s="5"/>
      <c r="F138" s="5"/>
      <c r="G138" s="5"/>
      <c r="H138" s="5"/>
      <c r="I138" s="5"/>
      <c r="J138" s="5"/>
      <c r="K138" s="5"/>
      <c r="L138" s="5"/>
      <c r="M138" s="5"/>
    </row>
    <row r="139" spans="1:13" ht="12.75">
      <c r="A139" s="5"/>
      <c r="B139" s="5"/>
      <c r="C139" s="5"/>
      <c r="D139" s="5"/>
      <c r="E139" s="5"/>
      <c r="F139" s="5"/>
      <c r="G139" s="5"/>
      <c r="H139" s="5"/>
      <c r="I139" s="5"/>
      <c r="J139" s="5"/>
      <c r="K139" s="5"/>
      <c r="L139" s="5"/>
      <c r="M139" s="5"/>
    </row>
    <row r="140" spans="1:13" ht="12.75">
      <c r="A140" s="5"/>
      <c r="B140" s="5"/>
      <c r="C140" s="5"/>
      <c r="D140" s="5"/>
      <c r="E140" s="5"/>
      <c r="F140" s="5"/>
      <c r="G140" s="5"/>
      <c r="H140" s="5"/>
      <c r="I140" s="5"/>
      <c r="J140" s="5"/>
      <c r="K140" s="5"/>
      <c r="L140" s="5"/>
      <c r="M140" s="5"/>
    </row>
    <row r="141" spans="1:13" ht="12.75">
      <c r="A141" s="5"/>
      <c r="B141" s="5"/>
      <c r="C141" s="5"/>
      <c r="D141" s="5"/>
      <c r="E141" s="5"/>
      <c r="F141" s="5"/>
      <c r="G141" s="5"/>
      <c r="H141" s="5"/>
      <c r="I141" s="5"/>
      <c r="J141" s="5"/>
      <c r="K141" s="5"/>
      <c r="L141" s="5"/>
      <c r="M141" s="5"/>
    </row>
    <row r="142" spans="1:13" ht="12.75">
      <c r="A142" s="5"/>
      <c r="B142" s="5"/>
      <c r="C142" s="5"/>
      <c r="D142" s="5"/>
      <c r="E142" s="5"/>
      <c r="F142" s="5"/>
      <c r="G142" s="5"/>
      <c r="H142" s="5"/>
      <c r="I142" s="5"/>
      <c r="J142" s="5"/>
      <c r="K142" s="5"/>
      <c r="L142" s="5"/>
      <c r="M142" s="5"/>
    </row>
    <row r="143" spans="1:13" ht="12.75">
      <c r="A143" s="5"/>
      <c r="B143" s="5"/>
      <c r="C143" s="5"/>
      <c r="D143" s="5"/>
      <c r="E143" s="5"/>
      <c r="F143" s="5"/>
      <c r="G143" s="5"/>
      <c r="H143" s="5"/>
      <c r="I143" s="5"/>
      <c r="J143" s="5"/>
      <c r="K143" s="5"/>
      <c r="L143" s="5"/>
      <c r="M143" s="5"/>
    </row>
    <row r="144" spans="1:13" ht="12.75">
      <c r="A144" s="5"/>
      <c r="B144" s="5"/>
      <c r="C144" s="5"/>
      <c r="D144" s="5"/>
      <c r="E144" s="5"/>
      <c r="F144" s="5"/>
      <c r="G144" s="5"/>
      <c r="H144" s="5"/>
      <c r="I144" s="5"/>
      <c r="J144" s="5"/>
      <c r="K144" s="5"/>
      <c r="L144" s="5"/>
      <c r="M144" s="5"/>
    </row>
    <row r="145" spans="1:13" ht="12.75">
      <c r="A145" s="5"/>
      <c r="B145" s="5"/>
      <c r="C145" s="5"/>
      <c r="D145" s="5"/>
      <c r="E145" s="5"/>
      <c r="F145" s="5"/>
      <c r="G145" s="5"/>
      <c r="H145" s="5"/>
      <c r="I145" s="5"/>
      <c r="J145" s="5"/>
      <c r="K145" s="5"/>
      <c r="L145" s="5"/>
      <c r="M145" s="5"/>
    </row>
    <row r="146" spans="1:13" ht="12.75">
      <c r="A146" s="5"/>
      <c r="B146" s="5"/>
      <c r="C146" s="5"/>
      <c r="D146" s="5"/>
      <c r="E146" s="5"/>
      <c r="F146" s="5"/>
      <c r="G146" s="5"/>
      <c r="H146" s="5"/>
      <c r="I146" s="5"/>
      <c r="J146" s="5"/>
      <c r="K146" s="5"/>
      <c r="L146" s="5"/>
      <c r="M146" s="5"/>
    </row>
    <row r="147" spans="1:13" ht="12.75">
      <c r="A147" s="5"/>
      <c r="B147" s="5"/>
      <c r="C147" s="5"/>
      <c r="D147" s="5"/>
      <c r="E147" s="5"/>
      <c r="F147" s="5"/>
      <c r="G147" s="5"/>
      <c r="H147" s="5"/>
      <c r="I147" s="5"/>
      <c r="J147" s="5"/>
      <c r="K147" s="5"/>
      <c r="L147" s="5"/>
      <c r="M147" s="5"/>
    </row>
    <row r="148" spans="1:13" ht="12.75">
      <c r="A148" s="5"/>
      <c r="B148" s="5"/>
      <c r="C148" s="5"/>
      <c r="D148" s="5"/>
      <c r="E148" s="5"/>
      <c r="F148" s="5"/>
      <c r="G148" s="5"/>
      <c r="H148" s="5"/>
      <c r="I148" s="5"/>
      <c r="J148" s="5"/>
      <c r="K148" s="5"/>
      <c r="L148" s="5"/>
      <c r="M148" s="5"/>
    </row>
    <row r="149" spans="1:13" ht="12.75">
      <c r="A149" s="5"/>
      <c r="B149" s="5"/>
      <c r="C149" s="5"/>
      <c r="D149" s="5"/>
      <c r="E149" s="5"/>
      <c r="F149" s="5"/>
      <c r="G149" s="5"/>
      <c r="H149" s="5"/>
      <c r="I149" s="5"/>
      <c r="J149" s="5"/>
      <c r="K149" s="5"/>
      <c r="L149" s="5"/>
      <c r="M149" s="5"/>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70" zoomScaleNormal="70" zoomScalePageLayoutView="0" colorId="22" workbookViewId="0" topLeftCell="A1">
      <pane ySplit="4" topLeftCell="A119" activePane="bottomLeft" state="frozen"/>
      <selection pane="topLeft" activeCell="A3" sqref="A3"/>
      <selection pane="bottomLeft" activeCell="A3" sqref="A3"/>
    </sheetView>
  </sheetViews>
  <sheetFormatPr defaultColWidth="9.7109375" defaultRowHeight="12.75"/>
  <cols>
    <col min="1" max="1" width="22.57421875" style="3" customWidth="1"/>
    <col min="2" max="2" width="21.8515625" style="12" customWidth="1"/>
    <col min="3" max="3" width="2.7109375" style="3" customWidth="1"/>
    <col min="4" max="4" width="21.57421875" style="12" customWidth="1"/>
    <col min="5" max="5" width="23.140625" style="12" customWidth="1"/>
    <col min="6" max="6" width="22.8515625" style="12" customWidth="1"/>
    <col min="7" max="7" width="2.7109375" style="3" customWidth="1"/>
    <col min="8" max="8" width="21.28125" style="12" customWidth="1"/>
    <col min="9" max="9" width="16.00390625" style="12" customWidth="1"/>
    <col min="10" max="10" width="19.57421875" style="12" customWidth="1"/>
    <col min="11" max="11" width="16.57421875" style="3" customWidth="1"/>
    <col min="12" max="12" width="15.7109375" style="3" customWidth="1"/>
    <col min="13" max="16384" width="9.7109375" style="3" customWidth="1"/>
  </cols>
  <sheetData>
    <row r="1" ht="15"/>
    <row r="2" spans="1:12" ht="15.75">
      <c r="A2" s="250" t="s">
        <v>309</v>
      </c>
      <c r="B2" s="250"/>
      <c r="C2" s="26"/>
      <c r="D2" s="263" t="s">
        <v>312</v>
      </c>
      <c r="E2" s="263"/>
      <c r="F2" s="263"/>
      <c r="G2" s="263"/>
      <c r="H2" s="263"/>
      <c r="J2" s="12" t="s">
        <v>1554</v>
      </c>
      <c r="L2" s="146">
        <f ca="1">TODAY()</f>
        <v>44061</v>
      </c>
    </row>
    <row r="3" spans="4:12" ht="15.75">
      <c r="D3" s="139" t="s">
        <v>1757</v>
      </c>
      <c r="E3" s="139"/>
      <c r="F3" s="139"/>
      <c r="G3" s="139"/>
      <c r="H3" s="139"/>
      <c r="L3" s="18" t="s">
        <v>1758</v>
      </c>
    </row>
    <row r="4" spans="1:12" ht="15.75">
      <c r="A4" s="131"/>
      <c r="C4" s="26"/>
      <c r="D4" s="254" t="str">
        <f>"At Month End "&amp;INSTRUCTIONS!L5</f>
        <v>At Month End December</v>
      </c>
      <c r="E4" s="254"/>
      <c r="F4" s="254"/>
      <c r="G4" s="254"/>
      <c r="H4" s="254"/>
      <c r="L4" s="18" t="s">
        <v>1759</v>
      </c>
    </row>
    <row r="5" spans="4:12" ht="15.75">
      <c r="D5" s="263" t="s">
        <v>854</v>
      </c>
      <c r="E5" s="263"/>
      <c r="F5" s="263"/>
      <c r="G5" s="263"/>
      <c r="H5" s="263"/>
      <c r="L5" s="18" t="str">
        <f>INSTRUCTIONS!Q13</f>
        <v>JMJ</v>
      </c>
    </row>
    <row r="6" spans="5:9" ht="15.75">
      <c r="E6" s="262" t="s">
        <v>271</v>
      </c>
      <c r="I6" s="262" t="s">
        <v>1228</v>
      </c>
    </row>
    <row r="7" spans="4:15" ht="15.75">
      <c r="D7" s="282" t="s">
        <v>566</v>
      </c>
      <c r="E7" s="282" t="s">
        <v>350</v>
      </c>
      <c r="F7" s="282" t="s">
        <v>1521</v>
      </c>
      <c r="H7" s="282" t="s">
        <v>1072</v>
      </c>
      <c r="I7" s="282" t="s">
        <v>1072</v>
      </c>
      <c r="J7" s="282" t="s">
        <v>1072</v>
      </c>
      <c r="L7" s="18" t="s">
        <v>1863</v>
      </c>
      <c r="O7" s="26"/>
    </row>
    <row r="8" spans="1:15" ht="15.75">
      <c r="A8" s="52" t="s">
        <v>1346</v>
      </c>
      <c r="B8" s="262" t="s">
        <v>1336</v>
      </c>
      <c r="C8" s="26"/>
      <c r="D8" s="262" t="s">
        <v>487</v>
      </c>
      <c r="E8" s="265"/>
      <c r="F8" s="261"/>
      <c r="G8" s="26"/>
      <c r="H8" s="262" t="s">
        <v>487</v>
      </c>
      <c r="I8" s="265"/>
      <c r="J8" s="262"/>
      <c r="L8" s="215" t="s">
        <v>1070</v>
      </c>
      <c r="O8" s="26"/>
    </row>
    <row r="9" spans="1:10" ht="15.75">
      <c r="A9" s="147" t="s">
        <v>1071</v>
      </c>
      <c r="B9" s="283" t="s">
        <v>1132</v>
      </c>
      <c r="C9" s="26"/>
      <c r="D9" s="283" t="s">
        <v>1133</v>
      </c>
      <c r="E9" s="283" t="s">
        <v>1134</v>
      </c>
      <c r="F9" s="283" t="s">
        <v>1135</v>
      </c>
      <c r="G9" s="26"/>
      <c r="H9" s="283" t="s">
        <v>1133</v>
      </c>
      <c r="I9" s="283" t="s">
        <v>1134</v>
      </c>
      <c r="J9" s="283" t="s">
        <v>1135</v>
      </c>
    </row>
    <row r="10" ht="15"/>
    <row r="11" spans="1:12" ht="15.75">
      <c r="A11" s="26">
        <v>1010</v>
      </c>
      <c r="B11" s="12">
        <f>+F11+J11</f>
        <v>832317471.8000001</v>
      </c>
      <c r="D11" s="11">
        <v>692182238.47</v>
      </c>
      <c r="E11" s="12">
        <v>0</v>
      </c>
      <c r="F11" s="12">
        <f>D11+E11</f>
        <v>692182238.47</v>
      </c>
      <c r="H11" s="11">
        <v>140135233.33</v>
      </c>
      <c r="I11" s="12">
        <v>0</v>
      </c>
      <c r="J11" s="12">
        <f>+H11+I11</f>
        <v>140135233.33</v>
      </c>
      <c r="K11" s="284" t="s">
        <v>1928</v>
      </c>
      <c r="L11" s="18" t="s">
        <v>222</v>
      </c>
    </row>
    <row r="12" spans="1:12" ht="15.75">
      <c r="A12" s="26">
        <v>1060</v>
      </c>
      <c r="B12" s="12">
        <f>+F12+J12</f>
        <v>87826906.68</v>
      </c>
      <c r="D12" s="11">
        <v>37169480.62</v>
      </c>
      <c r="E12" s="12">
        <v>0</v>
      </c>
      <c r="F12" s="12">
        <f>D12+E12</f>
        <v>37169480.62</v>
      </c>
      <c r="H12" s="11">
        <v>50657426.06</v>
      </c>
      <c r="I12" s="12">
        <v>0</v>
      </c>
      <c r="J12" s="12">
        <f>+H12+I12</f>
        <v>50657426.06</v>
      </c>
      <c r="L12" s="18" t="s">
        <v>223</v>
      </c>
    </row>
    <row r="13" spans="1:12" ht="15.75">
      <c r="A13" s="26">
        <v>1080</v>
      </c>
      <c r="B13" s="12">
        <f>+F13+J13</f>
        <v>-587928922.49</v>
      </c>
      <c r="D13" s="11">
        <v>-447224094.66</v>
      </c>
      <c r="E13" s="12">
        <v>0</v>
      </c>
      <c r="F13" s="12">
        <f>D13+E13</f>
        <v>-447224094.66</v>
      </c>
      <c r="H13" s="11">
        <v>-140704827.83</v>
      </c>
      <c r="I13" s="12">
        <v>0</v>
      </c>
      <c r="J13" s="12">
        <f>+H13+I13</f>
        <v>-140704827.83</v>
      </c>
      <c r="K13" s="5" t="s">
        <v>1131</v>
      </c>
      <c r="L13" s="18" t="s">
        <v>223</v>
      </c>
    </row>
    <row r="14" spans="1:12" ht="15.75">
      <c r="A14" s="26">
        <v>1110</v>
      </c>
      <c r="B14" s="12">
        <f>+F14+J14</f>
        <v>-34226633.6</v>
      </c>
      <c r="D14" s="11">
        <v>-127900.38</v>
      </c>
      <c r="E14" s="12">
        <v>0</v>
      </c>
      <c r="F14" s="12">
        <f>D14+E14</f>
        <v>-127900.38</v>
      </c>
      <c r="H14" s="11">
        <v>-34098733.22</v>
      </c>
      <c r="I14" s="12">
        <v>0</v>
      </c>
      <c r="J14" s="12">
        <f>+H14+I14</f>
        <v>-34098733.22</v>
      </c>
      <c r="K14" s="5" t="s">
        <v>1131</v>
      </c>
      <c r="L14" s="18" t="s">
        <v>626</v>
      </c>
    </row>
    <row r="15" ht="16.5" thickBot="1">
      <c r="A15" s="26" t="s">
        <v>315</v>
      </c>
    </row>
    <row r="16" spans="10:12" ht="15">
      <c r="J16" s="285"/>
      <c r="K16" s="286"/>
      <c r="L16" s="287" t="s">
        <v>1164</v>
      </c>
    </row>
    <row r="17" spans="1:12" ht="15">
      <c r="A17" s="96" t="s">
        <v>1818</v>
      </c>
      <c r="J17" s="288"/>
      <c r="K17" s="289" t="s">
        <v>1165</v>
      </c>
      <c r="L17" s="290">
        <f>B11</f>
        <v>832317471.8000001</v>
      </c>
    </row>
    <row r="18" spans="3:12" ht="15">
      <c r="C18" s="125" t="s">
        <v>1727</v>
      </c>
      <c r="F18" s="12">
        <f>+B11</f>
        <v>832317471.8000001</v>
      </c>
      <c r="J18" s="291" t="s">
        <v>1166</v>
      </c>
      <c r="K18" s="292" t="s">
        <v>1167</v>
      </c>
      <c r="L18" s="293">
        <v>0</v>
      </c>
    </row>
    <row r="19" spans="3:13" ht="15.75" thickBot="1">
      <c r="C19" s="125" t="s">
        <v>627</v>
      </c>
      <c r="F19" s="12">
        <f>B12</f>
        <v>87826906.68</v>
      </c>
      <c r="J19" s="61"/>
      <c r="K19" s="62" t="s">
        <v>1035</v>
      </c>
      <c r="L19" s="63">
        <f>SUM(L17:L18)</f>
        <v>832317471.8000001</v>
      </c>
      <c r="M19" s="294" t="s">
        <v>182</v>
      </c>
    </row>
    <row r="20" spans="3:12" ht="15">
      <c r="C20" s="125" t="s">
        <v>127</v>
      </c>
      <c r="F20" s="12">
        <f>+B13</f>
        <v>-587928922.49</v>
      </c>
      <c r="J20" s="285"/>
      <c r="K20" s="286"/>
      <c r="L20" s="287" t="s">
        <v>1164</v>
      </c>
    </row>
    <row r="21" spans="4:12" ht="15">
      <c r="D21" s="12" t="s">
        <v>1646</v>
      </c>
      <c r="F21" s="282" t="s">
        <v>1072</v>
      </c>
      <c r="J21" s="288"/>
      <c r="K21" s="289" t="s">
        <v>1169</v>
      </c>
      <c r="L21" s="290">
        <f>B13</f>
        <v>-587928922.49</v>
      </c>
    </row>
    <row r="22" spans="3:12" ht="15">
      <c r="C22" s="125" t="s">
        <v>628</v>
      </c>
      <c r="F22" s="12">
        <f>SUM(F18:F20)</f>
        <v>332215455.99</v>
      </c>
      <c r="J22" s="291" t="s">
        <v>1166</v>
      </c>
      <c r="K22" s="292" t="s">
        <v>1167</v>
      </c>
      <c r="L22" s="293">
        <v>0</v>
      </c>
    </row>
    <row r="23" spans="10:13" ht="15.75" thickBot="1">
      <c r="J23" s="61"/>
      <c r="K23" s="62" t="s">
        <v>400</v>
      </c>
      <c r="L23" s="63">
        <f>SUM(L21:L22)</f>
        <v>-587928922.49</v>
      </c>
      <c r="M23" s="294" t="s">
        <v>182</v>
      </c>
    </row>
    <row r="24" spans="3:12" ht="15">
      <c r="C24" s="8" t="s">
        <v>629</v>
      </c>
      <c r="F24" s="12">
        <f>F22*0.01</f>
        <v>3322154.5599</v>
      </c>
      <c r="L24" s="33"/>
    </row>
    <row r="25" ht="15">
      <c r="K25" s="88"/>
    </row>
    <row r="26" spans="3:8" ht="15">
      <c r="C26" s="125" t="s">
        <v>630</v>
      </c>
      <c r="F26" s="295"/>
      <c r="H26" s="295"/>
    </row>
    <row r="27" ht="15">
      <c r="J27" s="12" t="s">
        <v>1554</v>
      </c>
    </row>
    <row r="28" ht="15">
      <c r="A28" s="3" t="s">
        <v>251</v>
      </c>
    </row>
    <row r="29" spans="2:5" ht="15">
      <c r="B29" s="47" t="s">
        <v>1031</v>
      </c>
      <c r="E29" s="296"/>
    </row>
    <row r="30" ht="15"/>
    <row r="31" spans="1:12" ht="15.75">
      <c r="A31" s="26">
        <v>1650</v>
      </c>
      <c r="B31" s="12">
        <f aca="true" t="shared" si="0" ref="B31:B46">+F31+J31</f>
        <v>48400.02</v>
      </c>
      <c r="D31" s="11">
        <v>24200.01</v>
      </c>
      <c r="E31" s="12">
        <v>0</v>
      </c>
      <c r="F31" s="12">
        <f aca="true" t="shared" si="1" ref="F31:F46">D31+E31</f>
        <v>24200.01</v>
      </c>
      <c r="H31" s="11">
        <v>24200.01</v>
      </c>
      <c r="I31" s="12">
        <v>0</v>
      </c>
      <c r="J31" s="12">
        <f aca="true" t="shared" si="2" ref="J31:J46">+H31+I31</f>
        <v>24200.01</v>
      </c>
      <c r="L31" s="18" t="s">
        <v>1674</v>
      </c>
    </row>
    <row r="32" spans="1:12" ht="15.75">
      <c r="A32" s="52" t="s">
        <v>323</v>
      </c>
      <c r="B32" s="12">
        <f t="shared" si="0"/>
        <v>0</v>
      </c>
      <c r="D32" s="11">
        <v>0</v>
      </c>
      <c r="E32" s="12">
        <v>0</v>
      </c>
      <c r="F32" s="12">
        <f t="shared" si="1"/>
        <v>0</v>
      </c>
      <c r="H32" s="11">
        <v>0</v>
      </c>
      <c r="I32" s="12">
        <v>0</v>
      </c>
      <c r="J32" s="12">
        <f t="shared" si="2"/>
        <v>0</v>
      </c>
      <c r="L32" s="18" t="s">
        <v>1675</v>
      </c>
    </row>
    <row r="33" spans="1:12" ht="15.75">
      <c r="A33" s="52" t="s">
        <v>247</v>
      </c>
      <c r="B33" s="12">
        <f t="shared" si="0"/>
        <v>0</v>
      </c>
      <c r="D33" s="11">
        <v>0</v>
      </c>
      <c r="E33" s="12">
        <v>0</v>
      </c>
      <c r="F33" s="12">
        <f t="shared" si="1"/>
        <v>0</v>
      </c>
      <c r="H33" s="11">
        <v>0</v>
      </c>
      <c r="I33" s="12">
        <v>0</v>
      </c>
      <c r="J33" s="12">
        <f t="shared" si="2"/>
        <v>0</v>
      </c>
      <c r="L33" s="18" t="s">
        <v>1676</v>
      </c>
    </row>
    <row r="34" spans="1:12" ht="15.75">
      <c r="A34" s="52" t="s">
        <v>337</v>
      </c>
      <c r="B34" s="12">
        <f t="shared" si="0"/>
        <v>0</v>
      </c>
      <c r="D34" s="11">
        <v>0</v>
      </c>
      <c r="E34" s="12">
        <v>0</v>
      </c>
      <c r="F34" s="12">
        <f t="shared" si="1"/>
        <v>0</v>
      </c>
      <c r="H34" s="11">
        <v>0</v>
      </c>
      <c r="I34" s="12">
        <v>0</v>
      </c>
      <c r="J34" s="12">
        <f t="shared" si="2"/>
        <v>0</v>
      </c>
      <c r="L34" s="18" t="s">
        <v>1677</v>
      </c>
    </row>
    <row r="35" spans="1:12" ht="15.75">
      <c r="A35" s="52" t="s">
        <v>338</v>
      </c>
      <c r="B35" s="12">
        <f t="shared" si="0"/>
        <v>0</v>
      </c>
      <c r="D35" s="11">
        <v>0</v>
      </c>
      <c r="E35" s="12">
        <v>0</v>
      </c>
      <c r="F35" s="12">
        <f t="shared" si="1"/>
        <v>0</v>
      </c>
      <c r="H35" s="11">
        <v>0</v>
      </c>
      <c r="I35" s="12">
        <v>0</v>
      </c>
      <c r="J35" s="12">
        <f t="shared" si="2"/>
        <v>0</v>
      </c>
      <c r="L35" s="18" t="s">
        <v>1719</v>
      </c>
    </row>
    <row r="36" spans="1:12" ht="15.75">
      <c r="A36" s="52" t="s">
        <v>339</v>
      </c>
      <c r="B36" s="12">
        <f t="shared" si="0"/>
        <v>25139187.02</v>
      </c>
      <c r="D36" s="11">
        <v>12408681.01</v>
      </c>
      <c r="E36" s="12">
        <v>0</v>
      </c>
      <c r="F36" s="12">
        <f t="shared" si="1"/>
        <v>12408681.01</v>
      </c>
      <c r="H36" s="11">
        <v>12730506.01</v>
      </c>
      <c r="I36" s="12">
        <v>0</v>
      </c>
      <c r="J36" s="12">
        <f t="shared" si="2"/>
        <v>12730506.01</v>
      </c>
      <c r="L36" s="18" t="s">
        <v>1720</v>
      </c>
    </row>
    <row r="37" spans="1:12" ht="15.75">
      <c r="A37" s="52" t="s">
        <v>340</v>
      </c>
      <c r="B37" s="12">
        <f t="shared" si="0"/>
        <v>0</v>
      </c>
      <c r="D37" s="11">
        <v>0</v>
      </c>
      <c r="E37" s="12">
        <v>0</v>
      </c>
      <c r="F37" s="12">
        <f t="shared" si="1"/>
        <v>0</v>
      </c>
      <c r="H37" s="11">
        <v>0</v>
      </c>
      <c r="I37" s="12">
        <v>0</v>
      </c>
      <c r="J37" s="12">
        <f t="shared" si="2"/>
        <v>0</v>
      </c>
      <c r="L37" s="18" t="s">
        <v>1721</v>
      </c>
    </row>
    <row r="38" spans="1:12" ht="15.75">
      <c r="A38" s="52" t="s">
        <v>341</v>
      </c>
      <c r="B38" s="12">
        <f t="shared" si="0"/>
        <v>-151277.08</v>
      </c>
      <c r="D38" s="11">
        <v>-75638.54</v>
      </c>
      <c r="E38" s="12">
        <v>0</v>
      </c>
      <c r="F38" s="12">
        <f>D38+E38</f>
        <v>-75638.54</v>
      </c>
      <c r="H38" s="11">
        <v>-75638.54</v>
      </c>
      <c r="I38" s="12">
        <v>0</v>
      </c>
      <c r="J38" s="12">
        <f t="shared" si="2"/>
        <v>-75638.54</v>
      </c>
      <c r="L38" s="18" t="s">
        <v>1722</v>
      </c>
    </row>
    <row r="39" spans="1:12" ht="15.75">
      <c r="A39" s="52" t="s">
        <v>342</v>
      </c>
      <c r="B39" s="12">
        <f t="shared" si="0"/>
        <v>-30877311.7</v>
      </c>
      <c r="D39" s="11">
        <v>-15468656.59</v>
      </c>
      <c r="E39" s="12">
        <v>0</v>
      </c>
      <c r="F39" s="12">
        <f>D39+E39</f>
        <v>-15468656.59</v>
      </c>
      <c r="H39" s="11">
        <v>-15408655.11</v>
      </c>
      <c r="I39" s="12">
        <v>0</v>
      </c>
      <c r="J39" s="12">
        <f t="shared" si="2"/>
        <v>-15408655.11</v>
      </c>
      <c r="L39" s="18" t="s">
        <v>1691</v>
      </c>
    </row>
    <row r="40" spans="1:12" ht="15.75">
      <c r="A40" s="52" t="s">
        <v>343</v>
      </c>
      <c r="B40" s="12">
        <f t="shared" si="0"/>
        <v>4275309.79</v>
      </c>
      <c r="D40" s="11">
        <v>947443.08</v>
      </c>
      <c r="E40" s="12">
        <v>0</v>
      </c>
      <c r="F40" s="12">
        <f t="shared" si="1"/>
        <v>947443.08</v>
      </c>
      <c r="H40" s="11">
        <v>3327866.71</v>
      </c>
      <c r="I40" s="12">
        <v>0</v>
      </c>
      <c r="J40" s="12">
        <f t="shared" si="2"/>
        <v>3327866.71</v>
      </c>
      <c r="L40" s="18" t="s">
        <v>890</v>
      </c>
    </row>
    <row r="41" spans="1:12" ht="15.75">
      <c r="A41" s="52" t="s">
        <v>538</v>
      </c>
      <c r="B41" s="12">
        <f t="shared" si="0"/>
        <v>-640134.44</v>
      </c>
      <c r="D41" s="11">
        <v>-320067.22</v>
      </c>
      <c r="E41" s="12">
        <v>0</v>
      </c>
      <c r="F41" s="12">
        <f t="shared" si="1"/>
        <v>-320067.22</v>
      </c>
      <c r="H41" s="11">
        <v>-320067.22</v>
      </c>
      <c r="I41" s="12">
        <v>0</v>
      </c>
      <c r="J41" s="12">
        <f t="shared" si="2"/>
        <v>-320067.22</v>
      </c>
      <c r="L41" s="18" t="s">
        <v>891</v>
      </c>
    </row>
    <row r="42" spans="1:12" ht="15.75">
      <c r="A42" s="52" t="s">
        <v>539</v>
      </c>
      <c r="B42" s="12">
        <f t="shared" si="0"/>
        <v>0</v>
      </c>
      <c r="D42" s="11">
        <v>0</v>
      </c>
      <c r="E42" s="12">
        <v>0</v>
      </c>
      <c r="F42" s="12">
        <f t="shared" si="1"/>
        <v>0</v>
      </c>
      <c r="H42" s="11">
        <v>0</v>
      </c>
      <c r="I42" s="12">
        <v>0</v>
      </c>
      <c r="J42" s="12">
        <f t="shared" si="2"/>
        <v>0</v>
      </c>
      <c r="L42" s="18" t="s">
        <v>893</v>
      </c>
    </row>
    <row r="43" spans="1:12" ht="15.75">
      <c r="A43" s="52" t="s">
        <v>540</v>
      </c>
      <c r="B43" s="12">
        <f t="shared" si="0"/>
        <v>0</v>
      </c>
      <c r="D43" s="11">
        <v>0</v>
      </c>
      <c r="E43" s="12">
        <v>0</v>
      </c>
      <c r="F43" s="12">
        <f t="shared" si="1"/>
        <v>0</v>
      </c>
      <c r="H43" s="11">
        <v>0</v>
      </c>
      <c r="I43" s="12">
        <v>0</v>
      </c>
      <c r="J43" s="12">
        <f t="shared" si="2"/>
        <v>0</v>
      </c>
      <c r="L43" s="18" t="s">
        <v>894</v>
      </c>
    </row>
    <row r="44" spans="1:12" ht="15.75">
      <c r="A44" s="52" t="s">
        <v>541</v>
      </c>
      <c r="B44" s="12">
        <f t="shared" si="0"/>
        <v>-5765486.52</v>
      </c>
      <c r="D44" s="11">
        <v>-428482.13</v>
      </c>
      <c r="E44" s="12">
        <v>0</v>
      </c>
      <c r="F44" s="12">
        <f t="shared" si="1"/>
        <v>-428482.13</v>
      </c>
      <c r="H44" s="11">
        <v>-5337004.39</v>
      </c>
      <c r="I44" s="12">
        <v>0</v>
      </c>
      <c r="J44" s="12">
        <f t="shared" si="2"/>
        <v>-5337004.39</v>
      </c>
      <c r="L44" s="18" t="s">
        <v>895</v>
      </c>
    </row>
    <row r="45" spans="1:12" ht="15.75">
      <c r="A45" s="52" t="s">
        <v>542</v>
      </c>
      <c r="B45" s="12">
        <f>+F45+J45</f>
        <v>-757369.14</v>
      </c>
      <c r="D45" s="11">
        <v>-378684.57</v>
      </c>
      <c r="E45" s="12">
        <v>0</v>
      </c>
      <c r="F45" s="12">
        <f>D45+E45</f>
        <v>-378684.57</v>
      </c>
      <c r="H45" s="11">
        <v>-378684.57</v>
      </c>
      <c r="I45" s="12">
        <v>0</v>
      </c>
      <c r="J45" s="12">
        <f>+H45+I45</f>
        <v>-378684.57</v>
      </c>
      <c r="L45" s="18"/>
    </row>
    <row r="46" spans="1:12" ht="15.75">
      <c r="A46" s="52">
        <v>1810</v>
      </c>
      <c r="B46" s="12">
        <f t="shared" si="0"/>
        <v>78972.02</v>
      </c>
      <c r="D46" s="11">
        <v>39486.01</v>
      </c>
      <c r="E46" s="12">
        <v>0</v>
      </c>
      <c r="F46" s="12">
        <f t="shared" si="1"/>
        <v>39486.01</v>
      </c>
      <c r="H46" s="11">
        <v>39486.01</v>
      </c>
      <c r="I46" s="12">
        <v>0</v>
      </c>
      <c r="J46" s="12">
        <f t="shared" si="2"/>
        <v>39486.01</v>
      </c>
      <c r="L46" s="18" t="s">
        <v>896</v>
      </c>
    </row>
    <row r="47" ht="15">
      <c r="B47" s="56"/>
    </row>
    <row r="48" spans="1:12" ht="15.75">
      <c r="A48" s="26">
        <v>2530</v>
      </c>
      <c r="B48" s="12">
        <f>+F48+J48</f>
        <v>-38623998</v>
      </c>
      <c r="D48" s="11">
        <v>232123</v>
      </c>
      <c r="E48" s="12">
        <v>0</v>
      </c>
      <c r="F48" s="12">
        <f>D48+E48</f>
        <v>232123</v>
      </c>
      <c r="H48" s="11">
        <v>-38856121</v>
      </c>
      <c r="I48" s="12">
        <v>0</v>
      </c>
      <c r="J48" s="12">
        <f>+H48+I48</f>
        <v>-38856121</v>
      </c>
      <c r="L48" s="18" t="s">
        <v>461</v>
      </c>
    </row>
    <row r="49" spans="1:10" ht="15.75">
      <c r="A49" s="297" t="s">
        <v>293</v>
      </c>
      <c r="B49" s="12">
        <f>+F49+J49</f>
        <v>-7908025.76</v>
      </c>
      <c r="D49" s="11">
        <f>-3666762.89-287249.99</f>
        <v>-3954012.88</v>
      </c>
      <c r="E49" s="12">
        <v>0</v>
      </c>
      <c r="F49" s="12">
        <f>D49+E49</f>
        <v>-3954012.88</v>
      </c>
      <c r="H49" s="11">
        <f>-3666762.89-287249.99</f>
        <v>-3954012.88</v>
      </c>
      <c r="I49" s="12">
        <v>0</v>
      </c>
      <c r="J49" s="12">
        <f>+H49+I49</f>
        <v>-3954012.88</v>
      </c>
    </row>
    <row r="50" spans="2:12" ht="15">
      <c r="B50" s="282" t="s">
        <v>1072</v>
      </c>
      <c r="D50" s="282" t="s">
        <v>1072</v>
      </c>
      <c r="E50" s="14" t="s">
        <v>220</v>
      </c>
      <c r="F50" s="14" t="s">
        <v>220</v>
      </c>
      <c r="G50" s="8" t="s">
        <v>1554</v>
      </c>
      <c r="H50" s="14" t="s">
        <v>220</v>
      </c>
      <c r="I50" s="14" t="s">
        <v>221</v>
      </c>
      <c r="J50" s="14" t="s">
        <v>220</v>
      </c>
      <c r="K50" s="5"/>
      <c r="L50" s="18" t="s">
        <v>589</v>
      </c>
    </row>
    <row r="51" spans="1:12" ht="15">
      <c r="A51" s="3" t="s">
        <v>897</v>
      </c>
      <c r="B51" s="12">
        <f>SUM(B48:B49)</f>
        <v>-46532023.76</v>
      </c>
      <c r="D51" s="12">
        <f>SUM(D48:D49)</f>
        <v>-3721889.88</v>
      </c>
      <c r="E51" s="12">
        <f>SUM(E48:E49)</f>
        <v>0</v>
      </c>
      <c r="F51" s="12">
        <f>SUM(F48:F49)</f>
        <v>-3721889.88</v>
      </c>
      <c r="H51" s="12">
        <f>SUM(H48:H49)</f>
        <v>-42810133.88</v>
      </c>
      <c r="I51" s="12">
        <f>SUM(I48:I49)</f>
        <v>0</v>
      </c>
      <c r="J51" s="12">
        <f>SUM(J48:J49)</f>
        <v>-42810133.88</v>
      </c>
      <c r="L51" s="18" t="s">
        <v>1660</v>
      </c>
    </row>
    <row r="52" spans="1:10" ht="15">
      <c r="A52" s="3" t="s">
        <v>1852</v>
      </c>
      <c r="B52" s="12">
        <f>+B49</f>
        <v>-7908025.76</v>
      </c>
      <c r="D52" s="12">
        <f>+D49</f>
        <v>-3954012.88</v>
      </c>
      <c r="E52" s="12">
        <f>+E49</f>
        <v>0</v>
      </c>
      <c r="F52" s="12">
        <f>+F49</f>
        <v>-3954012.88</v>
      </c>
      <c r="H52" s="12">
        <f>+H49</f>
        <v>-3954012.88</v>
      </c>
      <c r="I52" s="12">
        <f>+I49</f>
        <v>0</v>
      </c>
      <c r="J52" s="12">
        <f>+J49</f>
        <v>-3954012.88</v>
      </c>
    </row>
    <row r="53" spans="2:10" ht="15">
      <c r="B53" s="282" t="s">
        <v>1072</v>
      </c>
      <c r="D53" s="282" t="s">
        <v>1072</v>
      </c>
      <c r="E53" s="14" t="s">
        <v>220</v>
      </c>
      <c r="F53" s="14" t="s">
        <v>220</v>
      </c>
      <c r="G53" s="8" t="s">
        <v>1554</v>
      </c>
      <c r="H53" s="14" t="s">
        <v>220</v>
      </c>
      <c r="I53" s="14" t="s">
        <v>221</v>
      </c>
      <c r="J53" s="14" t="s">
        <v>220</v>
      </c>
    </row>
    <row r="54" spans="1:12" ht="15.75">
      <c r="A54" s="21" t="s">
        <v>1661</v>
      </c>
      <c r="B54" s="12">
        <f>B51-B52</f>
        <v>-38623998</v>
      </c>
      <c r="D54" s="12">
        <f>D51-D52</f>
        <v>232123</v>
      </c>
      <c r="E54" s="12">
        <f>E51-E52</f>
        <v>0</v>
      </c>
      <c r="F54" s="12">
        <f>F51-F52</f>
        <v>232123</v>
      </c>
      <c r="H54" s="12">
        <f>H51-H52</f>
        <v>-38856121</v>
      </c>
      <c r="I54" s="12">
        <f>I51-I52</f>
        <v>0</v>
      </c>
      <c r="J54" s="12">
        <f>J51-J52</f>
        <v>-38856121</v>
      </c>
      <c r="K54" s="8">
        <f>+B49</f>
        <v>-7908025.76</v>
      </c>
      <c r="L54" s="18" t="s">
        <v>1662</v>
      </c>
    </row>
    <row r="55" ht="15"/>
    <row r="56" spans="1:2" ht="15.75">
      <c r="A56" s="21" t="s">
        <v>544</v>
      </c>
      <c r="B56" s="12" t="s">
        <v>1554</v>
      </c>
    </row>
    <row r="57" spans="1:12" ht="15.75">
      <c r="A57" s="21" t="s">
        <v>543</v>
      </c>
      <c r="B57" s="12">
        <f>SUM(B32:B45)</f>
        <v>-8777082.069999998</v>
      </c>
      <c r="D57" s="12">
        <f>SUM(D32:D45)</f>
        <v>-3315404.9599999986</v>
      </c>
      <c r="E57" s="12">
        <f>SUM(E32:E45)</f>
        <v>0</v>
      </c>
      <c r="F57" s="12">
        <f>SUM(F32:F45)</f>
        <v>-3315404.9599999986</v>
      </c>
      <c r="H57" s="12">
        <f>SUM(H32:H45)</f>
        <v>-5461677.1099999985</v>
      </c>
      <c r="I57" s="12">
        <f>SUM(I32:I45)</f>
        <v>0</v>
      </c>
      <c r="J57" s="12">
        <f>SUM(J32:J45)</f>
        <v>-5461677.1099999985</v>
      </c>
      <c r="L57" s="3" t="s">
        <v>1673</v>
      </c>
    </row>
    <row r="58" ht="15"/>
    <row r="59" ht="15">
      <c r="A59" s="131"/>
    </row>
    <row r="60" ht="15"/>
    <row r="61" spans="1:10" ht="15.75">
      <c r="A61" s="12"/>
      <c r="B61" s="263" t="s">
        <v>1652</v>
      </c>
      <c r="C61" s="263"/>
      <c r="D61" s="263"/>
      <c r="E61" s="263"/>
      <c r="F61" s="263"/>
      <c r="G61" s="263"/>
      <c r="H61" s="263"/>
      <c r="J61" s="298">
        <f>+L2</f>
        <v>44061</v>
      </c>
    </row>
    <row r="62" spans="2:10" ht="15.75">
      <c r="B62" s="263" t="s">
        <v>1757</v>
      </c>
      <c r="C62" s="263"/>
      <c r="D62" s="263"/>
      <c r="E62" s="263"/>
      <c r="F62" s="263"/>
      <c r="G62" s="263"/>
      <c r="H62" s="263"/>
      <c r="J62" s="12" t="str">
        <f>+L3</f>
        <v>SCHEDULE I</v>
      </c>
    </row>
    <row r="63" spans="2:10" ht="15.75">
      <c r="B63" s="263" t="str">
        <f>+D4</f>
        <v>At Month End December</v>
      </c>
      <c r="C63" s="263"/>
      <c r="D63" s="263"/>
      <c r="E63" s="263"/>
      <c r="F63" s="263"/>
      <c r="G63" s="263"/>
      <c r="H63" s="263"/>
      <c r="J63" s="12" t="str">
        <f>+L4</f>
        <v>TAB:AEGBS</v>
      </c>
    </row>
    <row r="64" ht="15">
      <c r="J64" s="47" t="str">
        <f>+L5</f>
        <v>JMJ</v>
      </c>
    </row>
    <row r="65" ht="15">
      <c r="D65" s="47" t="s">
        <v>699</v>
      </c>
    </row>
    <row r="66" spans="1:10" ht="15.75">
      <c r="A66" s="18" t="s">
        <v>1346</v>
      </c>
      <c r="B66" s="265" t="s">
        <v>1573</v>
      </c>
      <c r="D66" s="47" t="s">
        <v>579</v>
      </c>
      <c r="E66" s="12">
        <f>30064831.3-1471476.9</f>
        <v>28593354.400000002</v>
      </c>
      <c r="F66" s="262"/>
      <c r="G66" s="26"/>
      <c r="H66" s="262"/>
      <c r="J66" s="47" t="s">
        <v>1516</v>
      </c>
    </row>
    <row r="67" spans="1:10" ht="16.5" thickBot="1">
      <c r="A67" s="215" t="s">
        <v>1071</v>
      </c>
      <c r="B67" s="299" t="s">
        <v>580</v>
      </c>
      <c r="C67" s="96"/>
      <c r="D67" s="299"/>
      <c r="E67" s="300"/>
      <c r="F67" s="283" t="s">
        <v>1856</v>
      </c>
      <c r="G67" s="83"/>
      <c r="H67" s="283" t="s">
        <v>1260</v>
      </c>
      <c r="J67" s="265" t="s">
        <v>413</v>
      </c>
    </row>
    <row r="68" spans="1:12" ht="15.75">
      <c r="A68" s="3">
        <v>190.1</v>
      </c>
      <c r="B68" s="47" t="s">
        <v>469</v>
      </c>
      <c r="D68" s="11">
        <f>2363289.39-628024</f>
        <v>1735265.3900000001</v>
      </c>
      <c r="E68" s="53"/>
      <c r="F68" s="12">
        <f>+D68</f>
        <v>1735265.3900000001</v>
      </c>
      <c r="H68" s="12">
        <v>0</v>
      </c>
      <c r="J68" s="274" t="s">
        <v>1812</v>
      </c>
      <c r="K68" s="301" t="s">
        <v>1303</v>
      </c>
      <c r="L68" s="302"/>
    </row>
    <row r="69" spans="1:12" ht="15.75">
      <c r="A69" s="15" t="s">
        <v>468</v>
      </c>
      <c r="B69" s="47" t="s">
        <v>992</v>
      </c>
      <c r="D69" s="11">
        <f>39182.15-38482</f>
        <v>700.1500000000015</v>
      </c>
      <c r="E69" s="53"/>
      <c r="F69" s="12">
        <f>ROUND((D69/2),2)</f>
        <v>350.08</v>
      </c>
      <c r="H69" s="12">
        <f>D69-F69</f>
        <v>350.07000000000147</v>
      </c>
      <c r="J69" s="303" t="s">
        <v>172</v>
      </c>
      <c r="K69" s="304" t="s">
        <v>1853</v>
      </c>
      <c r="L69" s="305" t="s">
        <v>1854</v>
      </c>
    </row>
    <row r="70" spans="2:12" ht="15.75" thickBot="1">
      <c r="B70" s="47" t="s">
        <v>993</v>
      </c>
      <c r="D70" s="11">
        <v>-100951.87</v>
      </c>
      <c r="E70" s="53"/>
      <c r="F70" s="277">
        <f>D70*K70</f>
        <v>-48658.80134</v>
      </c>
      <c r="G70" s="6"/>
      <c r="H70" s="277">
        <f>D70*L70</f>
        <v>-52293.06866</v>
      </c>
      <c r="J70" s="12" t="s">
        <v>1855</v>
      </c>
      <c r="K70" s="306">
        <v>0.482</v>
      </c>
      <c r="L70" s="307">
        <v>0.518</v>
      </c>
    </row>
    <row r="71" spans="1:10" ht="15">
      <c r="A71" s="12"/>
      <c r="B71" s="47" t="s">
        <v>1188</v>
      </c>
      <c r="D71" s="11">
        <f>93940.75+27768+1719014.5+5786</f>
        <v>1846509.25</v>
      </c>
      <c r="E71" s="53"/>
      <c r="F71" s="12">
        <f>ROUND((D71/2),0)</f>
        <v>923255</v>
      </c>
      <c r="H71" s="12">
        <f>D71-F71</f>
        <v>923254.25</v>
      </c>
      <c r="J71" s="303" t="s">
        <v>172</v>
      </c>
    </row>
    <row r="72" spans="2:10" ht="15">
      <c r="B72" s="47" t="s">
        <v>994</v>
      </c>
      <c r="D72" s="11">
        <f>13518399.54-386239.99</f>
        <v>13132159.549999999</v>
      </c>
      <c r="E72" s="53"/>
      <c r="F72" s="12">
        <v>0</v>
      </c>
      <c r="H72" s="12">
        <f>+D72</f>
        <v>13132159.549999999</v>
      </c>
      <c r="J72" s="12" t="s">
        <v>1811</v>
      </c>
    </row>
    <row r="73" spans="2:10" ht="15">
      <c r="B73" s="47" t="s">
        <v>667</v>
      </c>
      <c r="D73" s="11">
        <v>76362</v>
      </c>
      <c r="E73" s="53"/>
      <c r="F73" s="12">
        <f>ROUND((D73/2),0)</f>
        <v>38181</v>
      </c>
      <c r="H73" s="12">
        <f>F73</f>
        <v>38181</v>
      </c>
      <c r="J73" s="308" t="s">
        <v>172</v>
      </c>
    </row>
    <row r="74" spans="2:10" ht="15">
      <c r="B74" s="47" t="s">
        <v>1220</v>
      </c>
      <c r="D74" s="11">
        <v>0</v>
      </c>
      <c r="E74" s="53"/>
      <c r="F74" s="12">
        <f>ROUND((D74/2),2)</f>
        <v>0</v>
      </c>
      <c r="H74" s="12">
        <f>D74-F74</f>
        <v>0</v>
      </c>
      <c r="J74" s="308" t="s">
        <v>172</v>
      </c>
    </row>
    <row r="75" spans="2:10" ht="15">
      <c r="B75" s="47" t="s">
        <v>909</v>
      </c>
      <c r="D75" s="11">
        <v>1495855.07</v>
      </c>
      <c r="E75" s="53"/>
      <c r="F75" s="12">
        <f>ROUND((D75/2),2)</f>
        <v>747927.54</v>
      </c>
      <c r="H75" s="12">
        <f>D75-F75</f>
        <v>747927.53</v>
      </c>
      <c r="J75" s="303" t="s">
        <v>172</v>
      </c>
    </row>
    <row r="76" spans="2:10" ht="15">
      <c r="B76" s="47" t="s">
        <v>995</v>
      </c>
      <c r="D76" s="11">
        <v>2620641</v>
      </c>
      <c r="E76" s="53"/>
      <c r="F76" s="12">
        <v>0</v>
      </c>
      <c r="H76" s="12">
        <f>+D76</f>
        <v>2620641</v>
      </c>
      <c r="J76" s="12" t="s">
        <v>1811</v>
      </c>
    </row>
    <row r="77" spans="2:10" ht="15">
      <c r="B77" s="47" t="s">
        <v>1102</v>
      </c>
      <c r="D77" s="11">
        <v>2772520.28</v>
      </c>
      <c r="E77" s="53"/>
      <c r="F77" s="12">
        <f>ROUND((D77/2),2)</f>
        <v>1386260.14</v>
      </c>
      <c r="H77" s="12">
        <f>D77-F77</f>
        <v>1386260.14</v>
      </c>
      <c r="J77" s="303" t="s">
        <v>172</v>
      </c>
    </row>
    <row r="78" spans="2:10" ht="15">
      <c r="B78" s="47" t="s">
        <v>1238</v>
      </c>
      <c r="D78" s="11">
        <v>0</v>
      </c>
      <c r="E78" s="53"/>
      <c r="F78" s="12">
        <f>ROUND((D78/2),2)</f>
        <v>0</v>
      </c>
      <c r="H78" s="12">
        <f>D78-F78</f>
        <v>0</v>
      </c>
      <c r="J78" s="303" t="s">
        <v>172</v>
      </c>
    </row>
    <row r="79" spans="2:10" ht="15">
      <c r="B79" s="47" t="s">
        <v>1408</v>
      </c>
      <c r="D79" s="11">
        <v>-245793.38</v>
      </c>
      <c r="E79" s="53"/>
      <c r="F79" s="12">
        <f>ROUND((D79/2),2)</f>
        <v>-122896.69</v>
      </c>
      <c r="H79" s="12">
        <f>D79-F79</f>
        <v>-122896.69</v>
      </c>
      <c r="J79" s="308" t="s">
        <v>172</v>
      </c>
    </row>
    <row r="80" spans="1:10" ht="15">
      <c r="A80" s="3">
        <v>190.3</v>
      </c>
      <c r="B80" s="47" t="s">
        <v>996</v>
      </c>
      <c r="D80" s="11">
        <v>4984906.19</v>
      </c>
      <c r="E80" s="53"/>
      <c r="F80" s="53"/>
      <c r="H80" s="53"/>
      <c r="J80" s="12" t="s">
        <v>336</v>
      </c>
    </row>
    <row r="81" spans="1:10" ht="15">
      <c r="A81" s="3">
        <v>190.4</v>
      </c>
      <c r="B81" s="47" t="s">
        <v>997</v>
      </c>
      <c r="D81" s="11">
        <v>587314.98</v>
      </c>
      <c r="E81" s="53"/>
      <c r="J81" s="12" t="s">
        <v>336</v>
      </c>
    </row>
    <row r="82" spans="2:10" ht="15.75">
      <c r="B82" s="47" t="s">
        <v>286</v>
      </c>
      <c r="D82" s="11"/>
      <c r="J82" s="265" t="s">
        <v>287</v>
      </c>
    </row>
    <row r="83" spans="2:5" ht="15">
      <c r="B83" s="47" t="s">
        <v>998</v>
      </c>
      <c r="D83" s="12">
        <f>SUM(D68:D82)</f>
        <v>28905488.610000003</v>
      </c>
      <c r="E83" s="54"/>
    </row>
    <row r="84" spans="2:4" ht="15.75" thickBot="1">
      <c r="B84" s="47" t="s">
        <v>999</v>
      </c>
      <c r="D84" s="12">
        <f>D81+D80</f>
        <v>5572221.17</v>
      </c>
    </row>
    <row r="85" spans="4:12" ht="15">
      <c r="D85" s="282" t="s">
        <v>1072</v>
      </c>
      <c r="J85" s="285"/>
      <c r="K85" s="286"/>
      <c r="L85" s="287" t="s">
        <v>1164</v>
      </c>
    </row>
    <row r="86" spans="2:12" ht="15">
      <c r="B86" s="47" t="s">
        <v>1000</v>
      </c>
      <c r="D86" s="12">
        <f>D83-D84</f>
        <v>23333267.440000005</v>
      </c>
      <c r="J86" s="288"/>
      <c r="K86" s="289" t="s">
        <v>401</v>
      </c>
      <c r="L86" s="290">
        <f>D93</f>
        <v>23333267.440000005</v>
      </c>
    </row>
    <row r="87" spans="1:12" ht="15">
      <c r="A87" s="18" t="s">
        <v>1001</v>
      </c>
      <c r="J87" s="291" t="s">
        <v>1166</v>
      </c>
      <c r="K87" s="292" t="s">
        <v>1167</v>
      </c>
      <c r="L87" s="293">
        <v>0</v>
      </c>
    </row>
    <row r="88" spans="1:13" ht="15.75" thickBot="1">
      <c r="A88" s="18">
        <v>1860000</v>
      </c>
      <c r="B88" s="309" t="s">
        <v>1780</v>
      </c>
      <c r="D88" s="11">
        <v>0</v>
      </c>
      <c r="E88" s="12" t="s">
        <v>1181</v>
      </c>
      <c r="F88" s="12">
        <f>D88</f>
        <v>0</v>
      </c>
      <c r="H88" s="12">
        <f>+D88</f>
        <v>0</v>
      </c>
      <c r="J88" s="61"/>
      <c r="K88" s="62" t="s">
        <v>1168</v>
      </c>
      <c r="L88" s="63">
        <f>SUM(L86:L87)</f>
        <v>23333267.440000005</v>
      </c>
      <c r="M88" s="294" t="s">
        <v>182</v>
      </c>
    </row>
    <row r="89" spans="1:8" ht="15">
      <c r="A89" s="18">
        <v>1860000</v>
      </c>
      <c r="B89" s="309" t="s">
        <v>1570</v>
      </c>
      <c r="D89" s="11">
        <v>0</v>
      </c>
      <c r="E89" s="12" t="s">
        <v>1181</v>
      </c>
      <c r="F89" s="12">
        <f>D89</f>
        <v>0</v>
      </c>
      <c r="H89" s="12">
        <f>+D89</f>
        <v>0</v>
      </c>
    </row>
    <row r="90" spans="1:8" ht="15">
      <c r="A90" s="18">
        <v>1860000</v>
      </c>
      <c r="B90" s="309" t="s">
        <v>1781</v>
      </c>
      <c r="D90" s="11">
        <v>0</v>
      </c>
      <c r="E90" s="12" t="s">
        <v>1181</v>
      </c>
      <c r="F90" s="12">
        <f>D90</f>
        <v>0</v>
      </c>
      <c r="H90" s="12">
        <f>+D90</f>
        <v>0</v>
      </c>
    </row>
    <row r="91" spans="1:10" ht="15">
      <c r="A91" s="18">
        <v>1901000</v>
      </c>
      <c r="B91" s="309" t="s">
        <v>1560</v>
      </c>
      <c r="D91" s="11">
        <v>0</v>
      </c>
      <c r="E91" s="12" t="s">
        <v>1181</v>
      </c>
      <c r="F91" s="12">
        <f>D91</f>
        <v>0</v>
      </c>
      <c r="H91" s="12">
        <f>+D91</f>
        <v>0</v>
      </c>
      <c r="J91" s="12" t="s">
        <v>219</v>
      </c>
    </row>
    <row r="92" spans="4:8" ht="15">
      <c r="D92" s="282" t="s">
        <v>1072</v>
      </c>
      <c r="F92" s="282" t="s">
        <v>1072</v>
      </c>
      <c r="H92" s="282" t="s">
        <v>1072</v>
      </c>
    </row>
    <row r="93" spans="1:10" ht="15">
      <c r="A93" s="3" t="s">
        <v>590</v>
      </c>
      <c r="D93" s="12">
        <f>D86+D88+D89+D90+D91</f>
        <v>23333267.440000005</v>
      </c>
      <c r="E93" s="12">
        <f>(F93+H93)-D93</f>
        <v>0</v>
      </c>
      <c r="F93" s="12">
        <f>SUM(F68:F79)+F88+F89+F90+F91</f>
        <v>4659683.658659999</v>
      </c>
      <c r="H93" s="12">
        <f>SUM(H68:H79)+H88+H89+H90+H91</f>
        <v>18673583.78134</v>
      </c>
      <c r="J93" s="12" t="s">
        <v>591</v>
      </c>
    </row>
    <row r="94" ht="15"/>
    <row r="95" spans="2:10" ht="15.75">
      <c r="B95" s="47"/>
      <c r="D95" s="11"/>
      <c r="F95" s="283" t="s">
        <v>1856</v>
      </c>
      <c r="G95" s="83"/>
      <c r="H95" s="283" t="s">
        <v>1260</v>
      </c>
      <c r="J95" s="265" t="s">
        <v>413</v>
      </c>
    </row>
    <row r="96" spans="1:10" ht="15">
      <c r="A96" s="3">
        <v>255</v>
      </c>
      <c r="B96" s="47" t="s">
        <v>1362</v>
      </c>
      <c r="D96" s="11">
        <v>6366</v>
      </c>
      <c r="E96" s="53"/>
      <c r="F96" s="12">
        <f>+D96</f>
        <v>6366</v>
      </c>
      <c r="H96" s="12">
        <v>0</v>
      </c>
      <c r="I96" s="47"/>
      <c r="J96" s="12" t="s">
        <v>1812</v>
      </c>
    </row>
    <row r="97" spans="1:10" ht="15.75" thickBot="1">
      <c r="A97" s="15" t="s">
        <v>1361</v>
      </c>
      <c r="B97" s="47" t="s">
        <v>1363</v>
      </c>
      <c r="D97" s="11">
        <v>-13625771</v>
      </c>
      <c r="E97" s="53"/>
      <c r="F97" s="12">
        <v>0</v>
      </c>
      <c r="H97" s="12">
        <f>+D97</f>
        <v>-13625771</v>
      </c>
      <c r="J97" s="12" t="s">
        <v>1811</v>
      </c>
    </row>
    <row r="98" spans="4:12" ht="15">
      <c r="D98" s="282" t="s">
        <v>1072</v>
      </c>
      <c r="F98" s="282" t="s">
        <v>1072</v>
      </c>
      <c r="H98" s="282" t="s">
        <v>1072</v>
      </c>
      <c r="J98" s="310"/>
      <c r="K98" s="311" t="s">
        <v>180</v>
      </c>
      <c r="L98" s="287" t="s">
        <v>1164</v>
      </c>
    </row>
    <row r="99" spans="1:13" ht="15.75" thickBot="1">
      <c r="A99" s="3" t="s">
        <v>1364</v>
      </c>
      <c r="D99" s="12">
        <f>SUM(D96:D97)</f>
        <v>-13619405</v>
      </c>
      <c r="E99" s="12">
        <f>(F99+H99)-D99</f>
        <v>0</v>
      </c>
      <c r="F99" s="12">
        <f>SUM(F96:F97)</f>
        <v>6366</v>
      </c>
      <c r="H99" s="12">
        <f>SUM(H96:H97)</f>
        <v>-13625771</v>
      </c>
      <c r="J99" s="310"/>
      <c r="K99" s="312" t="s">
        <v>179</v>
      </c>
      <c r="L99" s="63">
        <f>D99</f>
        <v>-13619405</v>
      </c>
      <c r="M99" s="294" t="s">
        <v>182</v>
      </c>
    </row>
    <row r="100" ht="15">
      <c r="D100" s="56" t="s">
        <v>1554</v>
      </c>
    </row>
    <row r="101" spans="4:10" ht="15.75">
      <c r="D101" s="56"/>
      <c r="E101" s="12">
        <f>-66714095.22+669076.16</f>
        <v>-66045019.06</v>
      </c>
      <c r="F101" s="283" t="s">
        <v>1856</v>
      </c>
      <c r="G101" s="83"/>
      <c r="H101" s="283" t="s">
        <v>1260</v>
      </c>
      <c r="J101" s="265" t="s">
        <v>413</v>
      </c>
    </row>
    <row r="102" spans="1:10" ht="15.75" thickBot="1">
      <c r="A102" s="3">
        <v>282.1</v>
      </c>
      <c r="B102" s="47" t="s">
        <v>1365</v>
      </c>
      <c r="D102" s="11">
        <f>-22601538.95-1228</f>
        <v>-22602766.95</v>
      </c>
      <c r="E102" s="53"/>
      <c r="F102" s="12">
        <f>+D102</f>
        <v>-22602766.95</v>
      </c>
      <c r="H102" s="12">
        <v>0</v>
      </c>
      <c r="J102" s="12" t="s">
        <v>1812</v>
      </c>
    </row>
    <row r="103" spans="1:12" ht="15.75">
      <c r="A103" s="15" t="s">
        <v>1366</v>
      </c>
      <c r="B103" s="47" t="s">
        <v>1367</v>
      </c>
      <c r="D103" s="11">
        <f>-6795214.6+10791</f>
        <v>-6784423.6</v>
      </c>
      <c r="E103" s="53"/>
      <c r="F103" s="12">
        <v>0</v>
      </c>
      <c r="H103" s="12">
        <f>+D103</f>
        <v>-6784423.6</v>
      </c>
      <c r="J103" s="12" t="s">
        <v>1811</v>
      </c>
      <c r="K103" s="301" t="s">
        <v>288</v>
      </c>
      <c r="L103" s="302"/>
    </row>
    <row r="104" spans="1:12" ht="15.75">
      <c r="A104" s="15" t="s">
        <v>1368</v>
      </c>
      <c r="B104" s="47" t="s">
        <v>1369</v>
      </c>
      <c r="D104" s="11">
        <f>-7003763.15+3252</f>
        <v>-7000511.15</v>
      </c>
      <c r="E104" s="53"/>
      <c r="F104" s="12">
        <f>D104*0.5</f>
        <v>-3500255.575</v>
      </c>
      <c r="H104" s="12">
        <f>D104-F104</f>
        <v>-3500255.575</v>
      </c>
      <c r="J104" s="308" t="s">
        <v>172</v>
      </c>
      <c r="K104" s="304" t="s">
        <v>1853</v>
      </c>
      <c r="L104" s="305" t="s">
        <v>1854</v>
      </c>
    </row>
    <row r="105" spans="2:12" ht="15.75" thickBot="1">
      <c r="B105" s="47" t="s">
        <v>1189</v>
      </c>
      <c r="D105" s="11">
        <f>-8929590.45+4779950</f>
        <v>-4149640.4499999993</v>
      </c>
      <c r="E105" s="47" t="s">
        <v>1726</v>
      </c>
      <c r="F105" s="12">
        <f>D105*K105</f>
        <v>-2000126.6968999996</v>
      </c>
      <c r="H105" s="12">
        <f>D105*L105</f>
        <v>-2149513.7531</v>
      </c>
      <c r="I105" s="14" t="s">
        <v>1725</v>
      </c>
      <c r="J105" s="12" t="s">
        <v>1855</v>
      </c>
      <c r="K105" s="306">
        <v>0.482</v>
      </c>
      <c r="L105" s="307">
        <v>0.518</v>
      </c>
    </row>
    <row r="106" spans="2:10" ht="15">
      <c r="B106" s="47" t="s">
        <v>1178</v>
      </c>
      <c r="D106" s="11">
        <f>-63640.15-3192876.75+702827.37</f>
        <v>-2553689.53</v>
      </c>
      <c r="E106" s="53"/>
      <c r="F106" s="12">
        <f>D106*0.5</f>
        <v>-1276844.765</v>
      </c>
      <c r="H106" s="12">
        <f>D106-F106</f>
        <v>-1276844.765</v>
      </c>
      <c r="J106" s="308" t="s">
        <v>172</v>
      </c>
    </row>
    <row r="107" spans="1:10" ht="15">
      <c r="A107" s="12"/>
      <c r="B107" s="47" t="s">
        <v>1190</v>
      </c>
      <c r="D107" s="11">
        <f>-1245811+1232198</f>
        <v>-13613</v>
      </c>
      <c r="E107" s="53"/>
      <c r="F107" s="12">
        <f>D107*0.5</f>
        <v>-6806.5</v>
      </c>
      <c r="H107" s="12">
        <f>D107-F107</f>
        <v>-6806.5</v>
      </c>
      <c r="J107" s="308" t="s">
        <v>172</v>
      </c>
    </row>
    <row r="108" spans="2:10" ht="15">
      <c r="B108" s="47" t="s">
        <v>1191</v>
      </c>
      <c r="D108" s="11">
        <f>-25499907+25487843</f>
        <v>-12064</v>
      </c>
      <c r="E108" s="53"/>
      <c r="F108" s="12">
        <f>+D108</f>
        <v>-12064</v>
      </c>
      <c r="H108" s="12">
        <v>0</v>
      </c>
      <c r="J108" s="12" t="s">
        <v>1812</v>
      </c>
    </row>
    <row r="109" spans="2:10" ht="15">
      <c r="B109" s="47" t="s">
        <v>1192</v>
      </c>
      <c r="D109" s="11">
        <f>-4069010.45+2992038</f>
        <v>-1076972.4500000002</v>
      </c>
      <c r="E109" s="53"/>
      <c r="F109" s="12">
        <v>0</v>
      </c>
      <c r="H109" s="12">
        <f>+D109</f>
        <v>-1076972.4500000002</v>
      </c>
      <c r="J109" s="12" t="s">
        <v>1811</v>
      </c>
    </row>
    <row r="110" spans="1:10" ht="15">
      <c r="A110" s="12"/>
      <c r="B110" s="47" t="s">
        <v>1193</v>
      </c>
      <c r="D110" s="11">
        <f>-130343+129179</f>
        <v>-1164</v>
      </c>
      <c r="E110" s="53"/>
      <c r="F110" s="12">
        <f>+D110</f>
        <v>-1164</v>
      </c>
      <c r="H110" s="12">
        <v>0</v>
      </c>
      <c r="J110" s="12" t="s">
        <v>1812</v>
      </c>
    </row>
    <row r="111" spans="2:10" ht="15">
      <c r="B111" s="47" t="s">
        <v>1464</v>
      </c>
      <c r="D111" s="11">
        <f>-417716+413986</f>
        <v>-3730</v>
      </c>
      <c r="E111" s="53"/>
      <c r="F111" s="12">
        <f>+D111</f>
        <v>-3730</v>
      </c>
      <c r="H111" s="12">
        <v>0</v>
      </c>
      <c r="J111" s="12" t="s">
        <v>1812</v>
      </c>
    </row>
    <row r="112" spans="2:10" ht="15">
      <c r="B112" s="47" t="s">
        <v>1103</v>
      </c>
      <c r="D112" s="11">
        <v>-551708.8</v>
      </c>
      <c r="E112" s="53"/>
      <c r="F112" s="12">
        <f>D112*0.5</f>
        <v>-275854.4</v>
      </c>
      <c r="H112" s="12">
        <f>D112-F112</f>
        <v>-275854.4</v>
      </c>
      <c r="J112" s="308" t="s">
        <v>172</v>
      </c>
    </row>
    <row r="113" spans="2:10" ht="15">
      <c r="B113" s="47" t="s">
        <v>1465</v>
      </c>
      <c r="D113" s="11">
        <f>-41081+40253</f>
        <v>-828</v>
      </c>
      <c r="E113" s="53"/>
      <c r="F113" s="12">
        <f>D113*0.5</f>
        <v>-414</v>
      </c>
      <c r="H113" s="12">
        <f>D113-F113</f>
        <v>-414</v>
      </c>
      <c r="J113" s="308" t="s">
        <v>172</v>
      </c>
    </row>
    <row r="114" spans="2:10" ht="15">
      <c r="B114" s="47" t="s">
        <v>1466</v>
      </c>
      <c r="D114" s="11">
        <f>-1080289+1079824</f>
        <v>-465</v>
      </c>
      <c r="E114" s="53"/>
      <c r="F114" s="12">
        <f>+D114</f>
        <v>-465</v>
      </c>
      <c r="H114" s="12">
        <v>0</v>
      </c>
      <c r="J114" s="12" t="s">
        <v>1812</v>
      </c>
    </row>
    <row r="115" spans="2:10" ht="15">
      <c r="B115" s="47" t="s">
        <v>1467</v>
      </c>
      <c r="D115" s="11">
        <f>-56822+52922</f>
        <v>-3900</v>
      </c>
      <c r="E115" s="53"/>
      <c r="F115" s="12">
        <v>0</v>
      </c>
      <c r="H115" s="12">
        <f>+D115</f>
        <v>-3900</v>
      </c>
      <c r="J115" s="12" t="s">
        <v>1811</v>
      </c>
    </row>
    <row r="116" spans="1:10" ht="15">
      <c r="A116" s="12"/>
      <c r="B116" s="47" t="s">
        <v>1879</v>
      </c>
      <c r="D116" s="11">
        <f>-5482034.95+1061056</f>
        <v>-4420978.95</v>
      </c>
      <c r="E116" s="53"/>
      <c r="F116" s="12">
        <f>D116*0.5</f>
        <v>-2210489.475</v>
      </c>
      <c r="H116" s="12">
        <f>D116-F116</f>
        <v>-2210489.475</v>
      </c>
      <c r="J116" s="308" t="s">
        <v>172</v>
      </c>
    </row>
    <row r="117" spans="1:10" ht="15.75">
      <c r="A117" s="52"/>
      <c r="B117" s="47" t="s">
        <v>1050</v>
      </c>
      <c r="D117" s="11">
        <v>-13738243.75</v>
      </c>
      <c r="E117" s="53"/>
      <c r="F117" s="12">
        <f>+D117</f>
        <v>-13738243.75</v>
      </c>
      <c r="H117" s="12">
        <v>0</v>
      </c>
      <c r="J117" s="12" t="s">
        <v>1812</v>
      </c>
    </row>
    <row r="118" spans="1:10" ht="15.75">
      <c r="A118" s="52"/>
      <c r="B118" s="47" t="s">
        <v>1051</v>
      </c>
      <c r="D118" s="11">
        <v>-8113587.65</v>
      </c>
      <c r="E118" s="53"/>
      <c r="F118" s="12">
        <f>+D118</f>
        <v>-8113587.65</v>
      </c>
      <c r="H118" s="12">
        <v>0</v>
      </c>
      <c r="J118" s="12" t="s">
        <v>1812</v>
      </c>
    </row>
    <row r="119" spans="1:4" ht="15">
      <c r="A119" s="3">
        <v>282.3</v>
      </c>
      <c r="B119" s="47" t="s">
        <v>1468</v>
      </c>
      <c r="D119" s="11">
        <v>2322859</v>
      </c>
    </row>
    <row r="120" spans="1:4" ht="15">
      <c r="A120" s="3">
        <v>282.4</v>
      </c>
      <c r="B120" s="47" t="s">
        <v>318</v>
      </c>
      <c r="D120" s="11">
        <v>-12815</v>
      </c>
    </row>
    <row r="121" spans="1:10" ht="15.75" thickBot="1">
      <c r="A121" s="3">
        <v>282.5</v>
      </c>
      <c r="B121" s="47" t="s">
        <v>406</v>
      </c>
      <c r="D121" s="11">
        <v>0</v>
      </c>
      <c r="F121" s="12">
        <f>D121*0.5</f>
        <v>0</v>
      </c>
      <c r="H121" s="12">
        <f>D121-F121</f>
        <v>0</v>
      </c>
      <c r="J121" s="308" t="s">
        <v>172</v>
      </c>
    </row>
    <row r="122" spans="1:12" ht="15">
      <c r="A122" s="3" t="s">
        <v>319</v>
      </c>
      <c r="D122" s="12">
        <f>SUM(D102:D121)</f>
        <v>-68718243.28</v>
      </c>
      <c r="E122" s="56"/>
      <c r="J122" s="285"/>
      <c r="K122" s="286"/>
      <c r="L122" s="287" t="s">
        <v>1164</v>
      </c>
    </row>
    <row r="123" spans="1:12" ht="15">
      <c r="A123" s="3" t="s">
        <v>320</v>
      </c>
      <c r="D123" s="12">
        <f>D120+D119</f>
        <v>2310044</v>
      </c>
      <c r="J123" s="288"/>
      <c r="K123" s="289" t="s">
        <v>402</v>
      </c>
      <c r="L123" s="290">
        <f>D125</f>
        <v>-71028287.28</v>
      </c>
    </row>
    <row r="124" spans="4:12" ht="15">
      <c r="D124" s="282" t="s">
        <v>1072</v>
      </c>
      <c r="F124" s="282" t="s">
        <v>1072</v>
      </c>
      <c r="H124" s="282" t="s">
        <v>1072</v>
      </c>
      <c r="J124" s="291" t="s">
        <v>1166</v>
      </c>
      <c r="K124" s="292" t="s">
        <v>1167</v>
      </c>
      <c r="L124" s="293">
        <v>0</v>
      </c>
    </row>
    <row r="125" spans="1:13" ht="15.75" thickBot="1">
      <c r="A125" s="3" t="s">
        <v>139</v>
      </c>
      <c r="D125" s="12">
        <f>D122-D123</f>
        <v>-71028287.28</v>
      </c>
      <c r="E125" s="12">
        <f>(F125+H125)-D125</f>
        <v>0</v>
      </c>
      <c r="F125" s="12">
        <f>SUM(F102:F118)+F121</f>
        <v>-53742812.7619</v>
      </c>
      <c r="H125" s="12">
        <f>SUM(H102:H118)+H121</f>
        <v>-17285474.5181</v>
      </c>
      <c r="J125" s="61"/>
      <c r="K125" s="62" t="s">
        <v>403</v>
      </c>
      <c r="L125" s="63">
        <f>SUM(L123:L124)</f>
        <v>-71028287.28</v>
      </c>
      <c r="M125" s="294" t="s">
        <v>182</v>
      </c>
    </row>
    <row r="126" ht="15"/>
    <row r="127" spans="6:10" ht="15.75">
      <c r="F127" s="283" t="s">
        <v>1856</v>
      </c>
      <c r="G127" s="83"/>
      <c r="H127" s="283" t="s">
        <v>1260</v>
      </c>
      <c r="J127" s="265" t="s">
        <v>413</v>
      </c>
    </row>
    <row r="128" spans="1:10" ht="15">
      <c r="A128" s="3">
        <v>283.1</v>
      </c>
      <c r="B128" s="47" t="s">
        <v>974</v>
      </c>
      <c r="D128" s="11">
        <v>-414.26</v>
      </c>
      <c r="F128" s="12">
        <f>ROUND((D128*0.5),0)</f>
        <v>-207</v>
      </c>
      <c r="H128" s="12">
        <f>D128-F128</f>
        <v>-207.26</v>
      </c>
      <c r="J128" s="308" t="s">
        <v>172</v>
      </c>
    </row>
    <row r="129" spans="1:10" ht="15">
      <c r="A129" s="15" t="s">
        <v>1366</v>
      </c>
      <c r="B129" s="47" t="s">
        <v>304</v>
      </c>
      <c r="D129" s="11">
        <v>9.8</v>
      </c>
      <c r="E129" s="53"/>
      <c r="F129" s="12">
        <f>D129-H129</f>
        <v>4.800000000000001</v>
      </c>
      <c r="H129" s="12">
        <f>ROUND((D129/2),0)</f>
        <v>5</v>
      </c>
      <c r="J129" s="308" t="s">
        <v>172</v>
      </c>
    </row>
    <row r="130" spans="1:10" ht="15">
      <c r="A130" s="15"/>
      <c r="B130" s="47" t="s">
        <v>1104</v>
      </c>
      <c r="D130" s="11">
        <v>-936540.88</v>
      </c>
      <c r="E130" s="53"/>
      <c r="F130" s="12">
        <f>D130-H130</f>
        <v>-468270.88</v>
      </c>
      <c r="H130" s="12">
        <f>ROUND((D130/2),0)</f>
        <v>-468270</v>
      </c>
      <c r="J130" s="308" t="s">
        <v>172</v>
      </c>
    </row>
    <row r="131" spans="1:10" ht="15">
      <c r="A131" s="15" t="s">
        <v>306</v>
      </c>
      <c r="B131" s="47" t="s">
        <v>305</v>
      </c>
      <c r="D131" s="11">
        <v>-586514.45</v>
      </c>
      <c r="E131" s="53"/>
      <c r="F131" s="12">
        <f>D131-H131</f>
        <v>-293257.44999999995</v>
      </c>
      <c r="H131" s="12">
        <f>ROUND((D131/2),0)</f>
        <v>-293257</v>
      </c>
      <c r="J131" s="308" t="s">
        <v>172</v>
      </c>
    </row>
    <row r="132" spans="2:10" ht="15">
      <c r="B132" s="47" t="s">
        <v>913</v>
      </c>
      <c r="D132" s="11">
        <v>-85712.05</v>
      </c>
      <c r="E132" s="53"/>
      <c r="F132" s="12">
        <v>0</v>
      </c>
      <c r="H132" s="12">
        <f>+D132</f>
        <v>-85712.05</v>
      </c>
      <c r="J132" s="12" t="s">
        <v>1811</v>
      </c>
    </row>
    <row r="133" spans="2:10" ht="15">
      <c r="B133" s="47" t="s">
        <v>1294</v>
      </c>
      <c r="D133" s="11">
        <v>0</v>
      </c>
      <c r="E133" s="53"/>
      <c r="F133" s="12">
        <v>0</v>
      </c>
      <c r="H133" s="12">
        <v>0</v>
      </c>
      <c r="J133" s="308" t="s">
        <v>1293</v>
      </c>
    </row>
    <row r="134" spans="2:10" ht="15">
      <c r="B134" s="47" t="s">
        <v>1294</v>
      </c>
      <c r="D134" s="11">
        <v>0</v>
      </c>
      <c r="E134" s="53"/>
      <c r="F134" s="12">
        <v>0</v>
      </c>
      <c r="H134" s="12">
        <v>0</v>
      </c>
      <c r="J134" s="308" t="s">
        <v>1293</v>
      </c>
    </row>
    <row r="135" spans="1:8" ht="15">
      <c r="A135" s="3">
        <v>283.5</v>
      </c>
      <c r="B135" s="47" t="s">
        <v>1601</v>
      </c>
      <c r="D135" s="11">
        <v>0</v>
      </c>
      <c r="E135" s="53"/>
      <c r="F135" s="12">
        <f>ROUND((D135*0.5),0)</f>
        <v>0</v>
      </c>
      <c r="H135" s="12">
        <f>D135-F135</f>
        <v>0</v>
      </c>
    </row>
    <row r="136" spans="1:10" ht="15.75">
      <c r="A136" s="3">
        <v>283.3</v>
      </c>
      <c r="B136" s="47" t="s">
        <v>1600</v>
      </c>
      <c r="D136" s="11">
        <f>-432365.53-777204</f>
        <v>-1209569.53</v>
      </c>
      <c r="J136" s="313" t="s">
        <v>1602</v>
      </c>
    </row>
    <row r="137" spans="1:4" ht="15.75" thickBot="1">
      <c r="A137" s="3">
        <v>283.4</v>
      </c>
      <c r="B137" s="47" t="s">
        <v>677</v>
      </c>
      <c r="D137" s="11">
        <v>0</v>
      </c>
    </row>
    <row r="138" spans="4:12" ht="15">
      <c r="D138" s="282" t="s">
        <v>1072</v>
      </c>
      <c r="J138" s="285"/>
      <c r="K138" s="286"/>
      <c r="L138" s="287" t="s">
        <v>1164</v>
      </c>
    </row>
    <row r="139" spans="1:12" ht="15">
      <c r="A139" s="3" t="s">
        <v>581</v>
      </c>
      <c r="D139" s="12">
        <f>SUM(D128:D137)</f>
        <v>-2818741.37</v>
      </c>
      <c r="G139" s="12"/>
      <c r="J139" s="288"/>
      <c r="K139" s="289" t="s">
        <v>110</v>
      </c>
      <c r="L139" s="290">
        <f>D142</f>
        <v>-1609171.84</v>
      </c>
    </row>
    <row r="140" spans="1:12" ht="15">
      <c r="A140" s="3" t="s">
        <v>320</v>
      </c>
      <c r="D140" s="12">
        <f>D137+D136</f>
        <v>-1209569.53</v>
      </c>
      <c r="G140" s="12"/>
      <c r="J140" s="291" t="s">
        <v>1166</v>
      </c>
      <c r="K140" s="292" t="s">
        <v>1167</v>
      </c>
      <c r="L140" s="293">
        <v>0</v>
      </c>
    </row>
    <row r="141" spans="4:13" ht="15.75" thickBot="1">
      <c r="D141" s="282" t="s">
        <v>1072</v>
      </c>
      <c r="F141" s="282" t="s">
        <v>1072</v>
      </c>
      <c r="H141" s="282" t="s">
        <v>1072</v>
      </c>
      <c r="J141" s="61"/>
      <c r="K141" s="62" t="s">
        <v>181</v>
      </c>
      <c r="L141" s="63">
        <f>SUM(L139:L140)</f>
        <v>-1609171.84</v>
      </c>
      <c r="M141" s="294" t="s">
        <v>182</v>
      </c>
    </row>
    <row r="142" spans="1:12" ht="15">
      <c r="A142" s="3" t="s">
        <v>582</v>
      </c>
      <c r="D142" s="12">
        <f>D139-D140</f>
        <v>-1609171.84</v>
      </c>
      <c r="E142" s="12">
        <f>(F142+H142)-D142</f>
        <v>0</v>
      </c>
      <c r="F142" s="12">
        <f>SUM(F128:F135)</f>
        <v>-761730.53</v>
      </c>
      <c r="H142" s="12">
        <f>SUM(H128:H135)</f>
        <v>-847441.31</v>
      </c>
      <c r="K142" s="15"/>
      <c r="L142" s="33"/>
    </row>
    <row r="143" ht="15"/>
    <row r="144" spans="1:9" ht="15.75">
      <c r="A144" s="78" t="s">
        <v>583</v>
      </c>
      <c r="D144" s="262" t="s">
        <v>584</v>
      </c>
      <c r="F144" s="262" t="s">
        <v>585</v>
      </c>
      <c r="I144" s="265" t="s">
        <v>1516</v>
      </c>
    </row>
    <row r="145" spans="1:9" ht="15">
      <c r="A145" s="3" t="s">
        <v>586</v>
      </c>
      <c r="D145" s="11">
        <v>56896913.3</v>
      </c>
      <c r="E145" s="314" t="s">
        <v>1587</v>
      </c>
      <c r="F145" s="47" t="s">
        <v>615</v>
      </c>
      <c r="H145" s="314" t="s">
        <v>221</v>
      </c>
      <c r="I145" s="12" t="s">
        <v>616</v>
      </c>
    </row>
    <row r="146" ht="15">
      <c r="D146" s="11"/>
    </row>
    <row r="147" spans="1:9" ht="15">
      <c r="A147" s="3" t="s">
        <v>237</v>
      </c>
      <c r="D147" s="11">
        <v>1034099.36</v>
      </c>
      <c r="E147" s="12" t="s">
        <v>1812</v>
      </c>
      <c r="F147" s="47" t="s">
        <v>617</v>
      </c>
      <c r="H147" s="314" t="s">
        <v>1587</v>
      </c>
      <c r="I147" s="12" t="s">
        <v>1724</v>
      </c>
    </row>
    <row r="148" ht="15">
      <c r="D148" s="11"/>
    </row>
    <row r="149" spans="1:9" ht="15">
      <c r="A149" s="3" t="s">
        <v>726</v>
      </c>
      <c r="D149" s="11">
        <v>0</v>
      </c>
      <c r="E149" s="314" t="s">
        <v>1587</v>
      </c>
      <c r="F149" s="47" t="s">
        <v>727</v>
      </c>
      <c r="H149" s="314" t="s">
        <v>1587</v>
      </c>
      <c r="I149" s="12" t="s">
        <v>616</v>
      </c>
    </row>
    <row r="150" ht="15">
      <c r="D150" s="11"/>
    </row>
    <row r="151" spans="1:9" ht="15">
      <c r="A151" s="3" t="s">
        <v>618</v>
      </c>
      <c r="D151" s="11">
        <f>753451.19+3188.31</f>
        <v>756639.5</v>
      </c>
      <c r="E151" s="314" t="s">
        <v>1587</v>
      </c>
      <c r="F151" s="47" t="s">
        <v>619</v>
      </c>
      <c r="H151" s="314" t="s">
        <v>1587</v>
      </c>
      <c r="I151" s="12" t="s">
        <v>616</v>
      </c>
    </row>
    <row r="152" spans="1:4" ht="15.75">
      <c r="A152" s="26"/>
      <c r="B152" s="37"/>
      <c r="D152" s="11"/>
    </row>
    <row r="153" spans="1:10" ht="15.75">
      <c r="A153" s="3" t="s">
        <v>620</v>
      </c>
      <c r="D153" s="11">
        <v>383000</v>
      </c>
      <c r="E153" s="314" t="s">
        <v>1587</v>
      </c>
      <c r="F153" s="47" t="s">
        <v>1648</v>
      </c>
      <c r="H153" s="314" t="s">
        <v>1587</v>
      </c>
      <c r="I153" s="12" t="s">
        <v>616</v>
      </c>
      <c r="J153" s="265" t="s">
        <v>280</v>
      </c>
    </row>
    <row r="154" ht="15">
      <c r="D154" s="11"/>
    </row>
    <row r="155" spans="1:10" ht="15.75">
      <c r="A155" s="3" t="s">
        <v>411</v>
      </c>
      <c r="D155" s="11">
        <v>92228987.11</v>
      </c>
      <c r="E155" s="314" t="s">
        <v>1587</v>
      </c>
      <c r="F155" s="47" t="s">
        <v>412</v>
      </c>
      <c r="H155" s="314" t="s">
        <v>1587</v>
      </c>
      <c r="I155" s="12" t="s">
        <v>616</v>
      </c>
      <c r="J155" s="265" t="s">
        <v>280</v>
      </c>
    </row>
    <row r="156" ht="15">
      <c r="D156" s="11"/>
    </row>
    <row r="157" spans="1:9" ht="15">
      <c r="A157" s="3" t="s">
        <v>420</v>
      </c>
      <c r="D157" s="11">
        <v>1678832.4</v>
      </c>
      <c r="E157" s="314" t="s">
        <v>1587</v>
      </c>
      <c r="F157" s="47" t="s">
        <v>421</v>
      </c>
      <c r="H157" s="314" t="s">
        <v>1587</v>
      </c>
      <c r="I157" s="314" t="s">
        <v>1237</v>
      </c>
    </row>
    <row r="158" spans="4:9" ht="15.75">
      <c r="D158" s="11"/>
      <c r="I158" s="265" t="s">
        <v>280</v>
      </c>
    </row>
    <row r="159" spans="1:9" ht="15">
      <c r="A159" s="3" t="s">
        <v>779</v>
      </c>
      <c r="D159" s="11">
        <v>63181825.2</v>
      </c>
      <c r="E159" s="314" t="s">
        <v>1587</v>
      </c>
      <c r="F159" s="47" t="s">
        <v>422</v>
      </c>
      <c r="H159" s="314" t="s">
        <v>1587</v>
      </c>
      <c r="I159" s="12" t="s">
        <v>308</v>
      </c>
    </row>
    <row r="160" spans="4:9" ht="15.75">
      <c r="D160" s="11"/>
      <c r="I160" s="265" t="s">
        <v>280</v>
      </c>
    </row>
    <row r="161" ht="15">
      <c r="D161" s="11">
        <v>0</v>
      </c>
    </row>
    <row r="162" spans="1:10" ht="15.75">
      <c r="A162" s="3" t="s">
        <v>728</v>
      </c>
      <c r="D162" s="11">
        <v>0</v>
      </c>
      <c r="E162" s="314" t="s">
        <v>1587</v>
      </c>
      <c r="F162" s="47" t="s">
        <v>1802</v>
      </c>
      <c r="H162" s="314" t="s">
        <v>1587</v>
      </c>
      <c r="I162" s="12" t="s">
        <v>616</v>
      </c>
      <c r="J162" s="265" t="s">
        <v>280</v>
      </c>
    </row>
    <row r="163" spans="4:10" ht="15.75">
      <c r="D163" s="11"/>
      <c r="J163" s="265" t="s">
        <v>290</v>
      </c>
    </row>
    <row r="164" spans="1:9" ht="15">
      <c r="A164" s="3" t="s">
        <v>879</v>
      </c>
      <c r="D164" s="11">
        <v>0</v>
      </c>
      <c r="E164" s="314" t="s">
        <v>1587</v>
      </c>
      <c r="F164" s="47" t="s">
        <v>880</v>
      </c>
      <c r="H164" s="314" t="s">
        <v>1587</v>
      </c>
      <c r="I164" s="12" t="s">
        <v>616</v>
      </c>
    </row>
    <row r="165" ht="15">
      <c r="D165" s="11"/>
    </row>
    <row r="166" spans="1:10" ht="15.75">
      <c r="A166" s="3" t="s">
        <v>881</v>
      </c>
      <c r="D166" s="11">
        <v>0</v>
      </c>
      <c r="E166" s="314" t="s">
        <v>1587</v>
      </c>
      <c r="F166" s="47" t="s">
        <v>1886</v>
      </c>
      <c r="H166" s="314" t="s">
        <v>1587</v>
      </c>
      <c r="I166" s="12" t="s">
        <v>616</v>
      </c>
      <c r="J166" s="265" t="s">
        <v>280</v>
      </c>
    </row>
    <row r="167" spans="4:6" ht="15">
      <c r="D167" s="11"/>
      <c r="F167" s="47"/>
    </row>
    <row r="168" spans="1:9" ht="15">
      <c r="A168" s="3" t="s">
        <v>588</v>
      </c>
      <c r="D168" s="11">
        <v>0</v>
      </c>
      <c r="E168" s="314" t="s">
        <v>1587</v>
      </c>
      <c r="F168" s="47" t="s">
        <v>880</v>
      </c>
      <c r="H168" s="314" t="s">
        <v>1587</v>
      </c>
      <c r="I168" s="12" t="s">
        <v>616</v>
      </c>
    </row>
    <row r="169" spans="4:6" ht="15">
      <c r="D169" s="11"/>
      <c r="F169" s="47"/>
    </row>
    <row r="170" spans="1:10" ht="15.75">
      <c r="A170" s="3" t="s">
        <v>1298</v>
      </c>
      <c r="D170" s="11">
        <v>144166601.07</v>
      </c>
      <c r="E170" s="314" t="s">
        <v>1587</v>
      </c>
      <c r="F170" s="47" t="s">
        <v>1272</v>
      </c>
      <c r="H170" s="314" t="s">
        <v>1587</v>
      </c>
      <c r="I170" s="12" t="s">
        <v>66</v>
      </c>
      <c r="J170" s="265" t="s">
        <v>280</v>
      </c>
    </row>
    <row r="171" spans="1:2" ht="15.75">
      <c r="A171" s="26"/>
      <c r="B171" s="37"/>
    </row>
    <row r="172" spans="4:6" ht="17.25">
      <c r="D172" s="299" t="s">
        <v>1772</v>
      </c>
      <c r="E172" s="315"/>
      <c r="F172" s="316" t="s">
        <v>585</v>
      </c>
    </row>
    <row r="173" spans="1:9" ht="15.75">
      <c r="A173" s="3" t="s">
        <v>882</v>
      </c>
      <c r="D173" s="11">
        <v>1094712.23</v>
      </c>
      <c r="E173" s="277">
        <f>+D173</f>
        <v>1094712.23</v>
      </c>
      <c r="F173" s="47" t="s">
        <v>883</v>
      </c>
      <c r="I173" s="265" t="s">
        <v>901</v>
      </c>
    </row>
    <row r="174" spans="4:5" ht="15">
      <c r="D174" s="11"/>
      <c r="E174" s="277"/>
    </row>
    <row r="175" spans="1:9" ht="15.75">
      <c r="A175" s="3" t="s">
        <v>1091</v>
      </c>
      <c r="D175" s="11">
        <v>1317444.42</v>
      </c>
      <c r="E175" s="277">
        <f>+D175</f>
        <v>1317444.42</v>
      </c>
      <c r="F175" s="47" t="s">
        <v>884</v>
      </c>
      <c r="I175" s="265" t="s">
        <v>901</v>
      </c>
    </row>
    <row r="176" spans="4:5" ht="15">
      <c r="D176" s="11"/>
      <c r="E176" s="277"/>
    </row>
    <row r="177" spans="1:9" ht="15.75">
      <c r="A177" s="3" t="s">
        <v>956</v>
      </c>
      <c r="D177" s="11">
        <v>12360428.97</v>
      </c>
      <c r="E177" s="277">
        <f>+D177</f>
        <v>12360428.97</v>
      </c>
      <c r="F177" s="47" t="s">
        <v>927</v>
      </c>
      <c r="I177" s="265" t="s">
        <v>901</v>
      </c>
    </row>
    <row r="178" spans="4:5" ht="15">
      <c r="D178" s="11"/>
      <c r="E178" s="277"/>
    </row>
    <row r="179" spans="1:9" ht="15.75">
      <c r="A179" s="3" t="s">
        <v>1330</v>
      </c>
      <c r="D179" s="11">
        <v>0</v>
      </c>
      <c r="E179" s="277">
        <f>+D179</f>
        <v>0</v>
      </c>
      <c r="F179" s="47" t="s">
        <v>1700</v>
      </c>
      <c r="I179" s="265" t="s">
        <v>901</v>
      </c>
    </row>
    <row r="180" ht="15"/>
    <row r="181" spans="1:6" ht="17.25">
      <c r="A181" s="34" t="s">
        <v>1701</v>
      </c>
      <c r="D181" s="299" t="s">
        <v>1702</v>
      </c>
      <c r="E181" s="299" t="s">
        <v>1703</v>
      </c>
      <c r="F181" s="316" t="s">
        <v>585</v>
      </c>
    </row>
    <row r="182" spans="1:11" ht="15">
      <c r="A182" s="34" t="s">
        <v>232</v>
      </c>
      <c r="D182" s="11">
        <v>30213259.1</v>
      </c>
      <c r="E182" s="11">
        <v>688395.8</v>
      </c>
      <c r="H182" s="314" t="s">
        <v>1587</v>
      </c>
      <c r="I182" s="12" t="s">
        <v>578</v>
      </c>
      <c r="K182" s="226">
        <f>D182/E182</f>
        <v>43.8893716376538</v>
      </c>
    </row>
    <row r="183" spans="1:11" ht="15">
      <c r="A183" s="3" t="s">
        <v>1034</v>
      </c>
      <c r="I183" s="12" t="s">
        <v>94</v>
      </c>
      <c r="K183" s="317"/>
    </row>
    <row r="184" spans="1:11" ht="15">
      <c r="A184" s="34" t="s">
        <v>1922</v>
      </c>
      <c r="D184" s="11">
        <v>6977039.78</v>
      </c>
      <c r="E184" s="11">
        <v>207385.74</v>
      </c>
      <c r="H184" s="314" t="s">
        <v>1587</v>
      </c>
      <c r="I184" s="12" t="s">
        <v>952</v>
      </c>
      <c r="K184" s="226">
        <f>D184/E184</f>
        <v>33.64281353192365</v>
      </c>
    </row>
    <row r="185" spans="1:11" ht="15">
      <c r="A185" s="3" t="s">
        <v>1033</v>
      </c>
      <c r="D185" s="11"/>
      <c r="E185" s="11"/>
      <c r="I185" s="12" t="s">
        <v>94</v>
      </c>
      <c r="K185" s="317"/>
    </row>
    <row r="186" spans="1:11" ht="15">
      <c r="A186" s="34" t="s">
        <v>345</v>
      </c>
      <c r="D186" s="11">
        <v>6881824.28</v>
      </c>
      <c r="E186" s="11">
        <v>186181.51</v>
      </c>
      <c r="H186" s="314" t="s">
        <v>1587</v>
      </c>
      <c r="I186" s="12" t="s">
        <v>953</v>
      </c>
      <c r="K186" s="226">
        <f>D186/E186</f>
        <v>36.962984562752766</v>
      </c>
    </row>
    <row r="187" spans="1:9" ht="15">
      <c r="A187" s="3" t="s">
        <v>1033</v>
      </c>
      <c r="D187" s="19" t="s">
        <v>373</v>
      </c>
      <c r="E187" s="14" t="s">
        <v>220</v>
      </c>
      <c r="I187" s="12" t="s">
        <v>94</v>
      </c>
    </row>
    <row r="188" spans="1:9" ht="15">
      <c r="A188" s="34" t="s">
        <v>1636</v>
      </c>
      <c r="D188" s="12">
        <f>D182+D184+D186</f>
        <v>44072123.160000004</v>
      </c>
      <c r="E188" s="12">
        <f>E182+E184+E186</f>
        <v>1081963.05</v>
      </c>
      <c r="F188" s="47" t="s">
        <v>1704</v>
      </c>
      <c r="H188" s="314" t="s">
        <v>1587</v>
      </c>
      <c r="I188" s="12" t="s">
        <v>1705</v>
      </c>
    </row>
    <row r="190" spans="1:6" ht="15">
      <c r="A190" s="18" t="s">
        <v>1706</v>
      </c>
      <c r="D190" s="12">
        <f>ROUND((D188/E188),3)</f>
        <v>40.733</v>
      </c>
      <c r="F190" s="47" t="s">
        <v>299</v>
      </c>
    </row>
    <row r="193" spans="1:5" ht="15">
      <c r="A193" s="3" t="s">
        <v>820</v>
      </c>
      <c r="D193" s="11"/>
      <c r="E193" s="11"/>
    </row>
    <row r="194" spans="4:11" ht="15">
      <c r="D194" s="3"/>
      <c r="E194" s="12" t="s">
        <v>818</v>
      </c>
      <c r="F194" s="12" t="s">
        <v>819</v>
      </c>
      <c r="G194" s="12"/>
      <c r="H194" s="3"/>
      <c r="K194" s="12"/>
    </row>
    <row r="195" spans="1:11" ht="15">
      <c r="A195" s="3" t="s">
        <v>821</v>
      </c>
      <c r="D195" s="318">
        <v>2675832.13</v>
      </c>
      <c r="E195" s="11">
        <f>D195*0.5</f>
        <v>1337916.065</v>
      </c>
      <c r="F195" s="11">
        <f>D195*0.5</f>
        <v>1337916.065</v>
      </c>
      <c r="G195" s="12"/>
      <c r="H195" s="3"/>
      <c r="K195" s="12"/>
    </row>
    <row r="196" spans="1:11" ht="15.75">
      <c r="A196" s="26" t="s">
        <v>1929</v>
      </c>
      <c r="D196" s="12">
        <f>7910566.52+10919</f>
        <v>7921485.52</v>
      </c>
      <c r="E196" s="11">
        <f>D196*0.5</f>
        <v>3960742.76</v>
      </c>
      <c r="F196" s="11">
        <f>D196*0.5</f>
        <v>3960742.76</v>
      </c>
      <c r="G196" s="12"/>
      <c r="H196" s="3"/>
      <c r="I196" s="12" t="s">
        <v>1554</v>
      </c>
      <c r="K196" s="12"/>
    </row>
    <row r="197" ht="15">
      <c r="A197" s="3" t="s">
        <v>1933</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0" activePane="bottomLeft" state="frozen"/>
      <selection pane="topLeft" activeCell="A3" sqref="A3"/>
      <selection pane="bottomLeft" activeCell="A3" sqref="A3"/>
    </sheetView>
  </sheetViews>
  <sheetFormatPr defaultColWidth="9.7109375" defaultRowHeight="12.75"/>
  <cols>
    <col min="1" max="1" width="16.421875" style="3" customWidth="1"/>
    <col min="2" max="2" width="19.57421875" style="12" customWidth="1"/>
    <col min="3" max="3" width="2.7109375" style="12" customWidth="1"/>
    <col min="4" max="4" width="18.421875" style="12" customWidth="1"/>
    <col min="5" max="5" width="17.7109375" style="12" customWidth="1"/>
    <col min="6" max="6" width="16.140625" style="12" customWidth="1"/>
    <col min="7" max="7" width="5.7109375" style="12" customWidth="1"/>
    <col min="8" max="8" width="15.421875" style="12" customWidth="1"/>
    <col min="9" max="9" width="14.57421875" style="3" customWidth="1"/>
    <col min="10" max="10" width="13.7109375" style="3" customWidth="1"/>
    <col min="11" max="11" width="9.7109375" style="3" customWidth="1"/>
    <col min="12" max="12" width="15.57421875" style="3" customWidth="1"/>
    <col min="13" max="13" width="13.8515625" style="3" customWidth="1"/>
    <col min="14" max="14" width="9.7109375" style="3" customWidth="1"/>
    <col min="15" max="15" width="10.00390625" style="3" bestFit="1" customWidth="1"/>
    <col min="16" max="16384" width="9.7109375" style="3" customWidth="1"/>
  </cols>
  <sheetData>
    <row r="1" spans="1:6" ht="15.75">
      <c r="A1" s="250" t="s">
        <v>309</v>
      </c>
      <c r="B1" s="250"/>
      <c r="C1" s="262"/>
      <c r="D1" s="262"/>
      <c r="E1" s="262"/>
      <c r="F1" s="262"/>
    </row>
    <row r="2" spans="2:9" ht="15" customHeight="1">
      <c r="B2" s="263" t="s">
        <v>312</v>
      </c>
      <c r="C2" s="263"/>
      <c r="D2" s="263"/>
      <c r="E2" s="263"/>
      <c r="F2" s="263"/>
      <c r="G2" s="13"/>
      <c r="H2" s="13"/>
      <c r="I2" s="3" t="s">
        <v>562</v>
      </c>
    </row>
    <row r="3" spans="2:9" ht="15.75">
      <c r="B3" s="263" t="s">
        <v>1066</v>
      </c>
      <c r="C3" s="263"/>
      <c r="D3" s="263"/>
      <c r="E3" s="263"/>
      <c r="F3" s="263"/>
      <c r="G3" s="13"/>
      <c r="H3" s="13"/>
      <c r="I3" s="146">
        <f ca="1">TODAY()</f>
        <v>44061</v>
      </c>
    </row>
    <row r="4" spans="1:9" ht="15.75">
      <c r="A4" s="223" t="str">
        <f>INSTRUCTIONS!$L$29</f>
        <v>ESTIMATE</v>
      </c>
      <c r="C4" s="13"/>
      <c r="D4" s="264" t="str">
        <f>+INSTRUCTIONS!L7</f>
        <v>January, 2016</v>
      </c>
      <c r="E4" s="13"/>
      <c r="G4" s="13"/>
      <c r="H4" s="13"/>
      <c r="I4" s="18" t="str">
        <f>INSTRUCTIONS!Q13</f>
        <v>JMJ</v>
      </c>
    </row>
    <row r="5" spans="1:8" ht="15.75">
      <c r="A5" s="174" t="s">
        <v>473</v>
      </c>
      <c r="C5" s="13"/>
      <c r="E5" s="13"/>
      <c r="F5" s="265"/>
      <c r="G5" s="13"/>
      <c r="H5" s="13"/>
    </row>
    <row r="6" spans="1:8" ht="15.75">
      <c r="A6" s="266"/>
      <c r="B6" s="13"/>
      <c r="C6" s="13"/>
      <c r="D6" s="263" t="s">
        <v>178</v>
      </c>
      <c r="E6" s="263"/>
      <c r="F6" s="263" t="s">
        <v>177</v>
      </c>
      <c r="G6" s="263"/>
      <c r="H6" s="263"/>
    </row>
    <row r="7" spans="1:11" ht="15.75">
      <c r="A7" s="266"/>
      <c r="B7" s="13"/>
      <c r="C7" s="13"/>
      <c r="D7" s="267" t="s">
        <v>1522</v>
      </c>
      <c r="E7" s="268" t="s">
        <v>1072</v>
      </c>
      <c r="F7" s="267" t="s">
        <v>176</v>
      </c>
      <c r="G7" s="269"/>
      <c r="H7" s="270" t="s">
        <v>1072</v>
      </c>
      <c r="I7" s="18" t="s">
        <v>1863</v>
      </c>
      <c r="K7" s="3" t="s">
        <v>1554</v>
      </c>
    </row>
    <row r="8" spans="1:9" ht="15.75">
      <c r="A8" s="21" t="s">
        <v>605</v>
      </c>
      <c r="B8" s="262" t="s">
        <v>1523</v>
      </c>
      <c r="C8" s="269"/>
      <c r="D8" s="265" t="s">
        <v>294</v>
      </c>
      <c r="E8" s="265" t="s">
        <v>295</v>
      </c>
      <c r="F8" s="265" t="s">
        <v>294</v>
      </c>
      <c r="G8" s="265"/>
      <c r="H8" s="265" t="s">
        <v>1785</v>
      </c>
      <c r="I8" s="18" t="s">
        <v>1070</v>
      </c>
    </row>
    <row r="9" spans="1:9" ht="15.75">
      <c r="A9" s="222" t="s">
        <v>1072</v>
      </c>
      <c r="B9" s="267" t="s">
        <v>1786</v>
      </c>
      <c r="C9" s="269"/>
      <c r="D9" s="267" t="s">
        <v>1786</v>
      </c>
      <c r="E9" s="267" t="s">
        <v>1786</v>
      </c>
      <c r="F9" s="267" t="s">
        <v>1786</v>
      </c>
      <c r="G9" s="265"/>
      <c r="H9" s="267" t="s">
        <v>1786</v>
      </c>
      <c r="I9" s="15" t="s">
        <v>1786</v>
      </c>
    </row>
    <row r="10" spans="1:8" ht="15">
      <c r="A10" s="9">
        <v>4081</v>
      </c>
      <c r="B10" s="12">
        <f>D10+E10+F10+H10</f>
        <v>275810.78</v>
      </c>
      <c r="C10" s="13"/>
      <c r="D10" s="11">
        <v>139436.89</v>
      </c>
      <c r="E10" s="11">
        <v>136373.89</v>
      </c>
      <c r="F10" s="11">
        <v>0</v>
      </c>
      <c r="G10" s="13"/>
      <c r="H10" s="11">
        <v>0</v>
      </c>
    </row>
    <row r="11" spans="1:8" ht="15">
      <c r="A11" s="9">
        <v>4082</v>
      </c>
      <c r="B11" s="12">
        <f>D11+E11+F11+H11</f>
        <v>0</v>
      </c>
      <c r="C11" s="13"/>
      <c r="D11" s="271"/>
      <c r="E11" s="271"/>
      <c r="F11" s="11">
        <v>0</v>
      </c>
      <c r="G11" s="13"/>
      <c r="H11" s="11">
        <v>0</v>
      </c>
    </row>
    <row r="12" spans="1:8" ht="15">
      <c r="A12" s="9"/>
      <c r="B12" s="14" t="s">
        <v>1787</v>
      </c>
      <c r="C12" s="13"/>
      <c r="D12" s="14" t="s">
        <v>1786</v>
      </c>
      <c r="E12" s="14" t="s">
        <v>1786</v>
      </c>
      <c r="F12" s="14" t="s">
        <v>1786</v>
      </c>
      <c r="H12" s="14" t="s">
        <v>1786</v>
      </c>
    </row>
    <row r="13" spans="1:9" ht="15">
      <c r="A13" s="10" t="s">
        <v>1788</v>
      </c>
      <c r="B13" s="12">
        <f>D13+E13+F13+H13</f>
        <v>275810.78</v>
      </c>
      <c r="C13" s="13"/>
      <c r="D13" s="12">
        <f>D10+D11</f>
        <v>139436.89</v>
      </c>
      <c r="E13" s="12">
        <f>E10+E11</f>
        <v>136373.89</v>
      </c>
      <c r="F13" s="12">
        <f>SUM(F10:F11)</f>
        <v>0</v>
      </c>
      <c r="H13" s="12">
        <f>SUM(H10:H12)</f>
        <v>0</v>
      </c>
      <c r="I13" s="18"/>
    </row>
    <row r="14" spans="1:9" ht="15">
      <c r="A14" s="266"/>
      <c r="B14" s="13"/>
      <c r="C14" s="13"/>
      <c r="D14" s="13"/>
      <c r="E14" s="13"/>
      <c r="F14" s="12">
        <f>D13+F13</f>
        <v>139436.89</v>
      </c>
      <c r="G14" s="13"/>
      <c r="H14" s="12">
        <f>E13+H13</f>
        <v>136373.89</v>
      </c>
      <c r="I14" s="18" t="s">
        <v>1789</v>
      </c>
    </row>
    <row r="15" spans="1:9" ht="15">
      <c r="A15" s="266"/>
      <c r="B15" s="13"/>
      <c r="C15" s="13"/>
      <c r="D15" s="13"/>
      <c r="E15" s="13"/>
      <c r="G15" s="13"/>
      <c r="I15" s="18"/>
    </row>
    <row r="16" spans="1:10" ht="15">
      <c r="A16" s="272">
        <v>4091002</v>
      </c>
      <c r="B16" s="12">
        <f>D16+E16</f>
        <v>34000</v>
      </c>
      <c r="C16" s="13"/>
      <c r="D16" s="273">
        <v>17000</v>
      </c>
      <c r="E16" s="273">
        <v>17000</v>
      </c>
      <c r="F16" s="11">
        <v>0</v>
      </c>
      <c r="G16" s="13"/>
      <c r="H16" s="11">
        <v>0</v>
      </c>
      <c r="J16" s="3" t="s">
        <v>1214</v>
      </c>
    </row>
    <row r="17" spans="1:10" ht="15.75">
      <c r="A17" s="9"/>
      <c r="B17" s="14" t="s">
        <v>1787</v>
      </c>
      <c r="C17" s="13"/>
      <c r="D17" s="14" t="s">
        <v>1786</v>
      </c>
      <c r="E17" s="14" t="s">
        <v>1786</v>
      </c>
      <c r="F17" s="14" t="s">
        <v>1786</v>
      </c>
      <c r="H17" s="14" t="s">
        <v>1786</v>
      </c>
      <c r="J17" s="3" t="s">
        <v>984</v>
      </c>
    </row>
    <row r="18" spans="1:12" ht="15.75">
      <c r="A18" s="10" t="s">
        <v>1788</v>
      </c>
      <c r="B18" s="12">
        <f>D18+E18+F18+H18</f>
        <v>34000</v>
      </c>
      <c r="C18" s="13"/>
      <c r="D18" s="12">
        <f>D16</f>
        <v>17000</v>
      </c>
      <c r="E18" s="12">
        <f>E16</f>
        <v>17000</v>
      </c>
      <c r="F18" s="12">
        <f>SUM(F16:F17)</f>
        <v>0</v>
      </c>
      <c r="H18" s="12">
        <f>SUM(H16:H17)</f>
        <v>0</v>
      </c>
      <c r="I18" s="18"/>
      <c r="J18" s="153" t="s">
        <v>248</v>
      </c>
      <c r="K18" s="153"/>
      <c r="L18" s="153"/>
    </row>
    <row r="19" spans="6:9" ht="15">
      <c r="F19" s="12">
        <f>D18+F18</f>
        <v>17000</v>
      </c>
      <c r="H19" s="12">
        <f>E18+H18</f>
        <v>17000</v>
      </c>
      <c r="I19" s="18" t="s">
        <v>1790</v>
      </c>
    </row>
    <row r="20" ht="15">
      <c r="A20" s="9"/>
    </row>
    <row r="21" spans="1:4" ht="15">
      <c r="A21" s="9">
        <v>41110</v>
      </c>
      <c r="C21" s="13"/>
      <c r="D21" s="274" t="s">
        <v>407</v>
      </c>
    </row>
    <row r="22" spans="1:4" ht="15">
      <c r="A22" s="9">
        <v>41150</v>
      </c>
      <c r="C22" s="13"/>
      <c r="D22" s="274" t="s">
        <v>407</v>
      </c>
    </row>
    <row r="23" spans="1:6" ht="15">
      <c r="A23" s="9"/>
      <c r="F23" s="12" t="s">
        <v>1554</v>
      </c>
    </row>
    <row r="24" spans="1:8" ht="15">
      <c r="A24" s="9"/>
      <c r="C24" s="13"/>
      <c r="D24" s="13"/>
      <c r="E24" s="13"/>
      <c r="F24" s="13"/>
      <c r="G24" s="13"/>
      <c r="H24" s="13"/>
    </row>
    <row r="25" spans="1:9" ht="15">
      <c r="A25" s="9">
        <v>45420</v>
      </c>
      <c r="B25" s="12">
        <f>D25+E25+F25+H25</f>
        <v>0</v>
      </c>
      <c r="C25" s="13"/>
      <c r="D25" s="11">
        <v>0</v>
      </c>
      <c r="E25" s="11">
        <v>0</v>
      </c>
      <c r="F25" s="11">
        <v>0</v>
      </c>
      <c r="G25" s="13"/>
      <c r="H25" s="11">
        <v>0</v>
      </c>
      <c r="I25" s="18" t="s">
        <v>577</v>
      </c>
    </row>
    <row r="26" spans="1:9" ht="15">
      <c r="A26" s="9">
        <v>4560</v>
      </c>
      <c r="B26" s="12">
        <f>D26+E26+F26+H26</f>
        <v>-17500</v>
      </c>
      <c r="D26" s="11">
        <v>-8750</v>
      </c>
      <c r="E26" s="11">
        <v>-8750</v>
      </c>
      <c r="F26" s="11">
        <v>0</v>
      </c>
      <c r="G26" s="11"/>
      <c r="H26" s="11">
        <v>0</v>
      </c>
      <c r="I26" s="18" t="s">
        <v>335</v>
      </c>
    </row>
    <row r="27" spans="1:12" ht="15.75">
      <c r="A27" s="9"/>
      <c r="J27" s="17" t="s">
        <v>327</v>
      </c>
      <c r="L27" s="17" t="s">
        <v>328</v>
      </c>
    </row>
    <row r="28" spans="1:12" ht="15">
      <c r="A28" s="9">
        <v>920</v>
      </c>
      <c r="B28" s="12">
        <f aca="true" t="shared" si="0" ref="B28:B38">D28+E28+F28+H28</f>
        <v>72982.61</v>
      </c>
      <c r="C28" s="13"/>
      <c r="D28" s="11">
        <v>28763.75</v>
      </c>
      <c r="E28" s="11">
        <v>44218.86</v>
      </c>
      <c r="F28" s="11">
        <v>0</v>
      </c>
      <c r="G28" s="13"/>
      <c r="H28" s="11">
        <v>0</v>
      </c>
      <c r="J28" s="8">
        <f aca="true" t="shared" si="1" ref="J28:J38">SUM(D28+F28)</f>
        <v>28763.75</v>
      </c>
      <c r="K28" s="8"/>
      <c r="L28" s="8">
        <f aca="true" t="shared" si="2" ref="L28:L38">SUM(E28+H28)</f>
        <v>44218.86</v>
      </c>
    </row>
    <row r="29" spans="1:12" ht="15">
      <c r="A29" s="9">
        <v>921</v>
      </c>
      <c r="B29" s="12">
        <f t="shared" si="0"/>
        <v>23737.52</v>
      </c>
      <c r="C29" s="13"/>
      <c r="D29" s="11">
        <v>11868.62</v>
      </c>
      <c r="E29" s="11">
        <v>11868.9</v>
      </c>
      <c r="F29" s="11">
        <v>0</v>
      </c>
      <c r="G29" s="13"/>
      <c r="H29" s="11">
        <v>0</v>
      </c>
      <c r="J29" s="20">
        <f t="shared" si="1"/>
        <v>11868.62</v>
      </c>
      <c r="K29" s="8"/>
      <c r="L29" s="8">
        <f t="shared" si="2"/>
        <v>11868.9</v>
      </c>
    </row>
    <row r="30" spans="1:12" ht="15">
      <c r="A30" s="9">
        <v>922</v>
      </c>
      <c r="B30" s="12">
        <f t="shared" si="0"/>
        <v>0</v>
      </c>
      <c r="C30" s="13"/>
      <c r="D30" s="11">
        <v>0</v>
      </c>
      <c r="E30" s="11">
        <v>0</v>
      </c>
      <c r="F30" s="11">
        <v>0</v>
      </c>
      <c r="G30" s="13"/>
      <c r="H30" s="11">
        <v>0</v>
      </c>
      <c r="J30" s="8">
        <f t="shared" si="1"/>
        <v>0</v>
      </c>
      <c r="K30" s="8"/>
      <c r="L30" s="8">
        <f t="shared" si="2"/>
        <v>0</v>
      </c>
    </row>
    <row r="31" spans="1:12" ht="15">
      <c r="A31" s="9">
        <v>923</v>
      </c>
      <c r="B31" s="12">
        <f t="shared" si="0"/>
        <v>503657.03</v>
      </c>
      <c r="C31" s="13"/>
      <c r="D31" s="11">
        <v>123029.97</v>
      </c>
      <c r="E31" s="11">
        <v>380627.06</v>
      </c>
      <c r="F31" s="11">
        <v>0</v>
      </c>
      <c r="G31" s="13"/>
      <c r="H31" s="11">
        <v>0</v>
      </c>
      <c r="J31" s="8">
        <f t="shared" si="1"/>
        <v>123029.97</v>
      </c>
      <c r="K31" s="8"/>
      <c r="L31" s="8">
        <f t="shared" si="2"/>
        <v>380627.06</v>
      </c>
    </row>
    <row r="32" spans="1:12" ht="15">
      <c r="A32" s="9">
        <v>924</v>
      </c>
      <c r="B32" s="12">
        <f t="shared" si="0"/>
        <v>17581</v>
      </c>
      <c r="C32" s="13"/>
      <c r="D32" s="11">
        <v>8790.5</v>
      </c>
      <c r="E32" s="11">
        <v>8790.5</v>
      </c>
      <c r="F32" s="11">
        <v>0</v>
      </c>
      <c r="G32" s="13"/>
      <c r="H32" s="11">
        <v>0</v>
      </c>
      <c r="J32" s="8">
        <f t="shared" si="1"/>
        <v>8790.5</v>
      </c>
      <c r="K32" s="8"/>
      <c r="L32" s="8">
        <f t="shared" si="2"/>
        <v>8790.5</v>
      </c>
    </row>
    <row r="33" spans="1:12" ht="15">
      <c r="A33" s="9">
        <v>925</v>
      </c>
      <c r="B33" s="12">
        <f t="shared" si="0"/>
        <v>2410.62</v>
      </c>
      <c r="C33" s="13"/>
      <c r="D33" s="11">
        <v>1205.31</v>
      </c>
      <c r="E33" s="11">
        <v>1205.31</v>
      </c>
      <c r="F33" s="11">
        <v>0</v>
      </c>
      <c r="G33" s="13"/>
      <c r="H33" s="11">
        <v>0</v>
      </c>
      <c r="J33" s="8">
        <f t="shared" si="1"/>
        <v>1205.31</v>
      </c>
      <c r="K33" s="8"/>
      <c r="L33" s="8">
        <f t="shared" si="2"/>
        <v>1205.31</v>
      </c>
    </row>
    <row r="34" spans="1:12" ht="15">
      <c r="A34" s="9">
        <v>926</v>
      </c>
      <c r="B34" s="12">
        <f t="shared" si="0"/>
        <v>173092.62</v>
      </c>
      <c r="C34" s="13"/>
      <c r="D34" s="11">
        <v>86546.31</v>
      </c>
      <c r="E34" s="11">
        <v>86546.31</v>
      </c>
      <c r="F34" s="11">
        <v>0</v>
      </c>
      <c r="G34" s="13"/>
      <c r="H34" s="11">
        <v>0</v>
      </c>
      <c r="J34" s="8">
        <f t="shared" si="1"/>
        <v>86546.31</v>
      </c>
      <c r="K34" s="8"/>
      <c r="L34" s="8">
        <f t="shared" si="2"/>
        <v>86546.31</v>
      </c>
    </row>
    <row r="35" spans="1:12" ht="15">
      <c r="A35" s="9">
        <v>928</v>
      </c>
      <c r="B35" s="12">
        <f t="shared" si="0"/>
        <v>0</v>
      </c>
      <c r="C35" s="13"/>
      <c r="D35" s="11">
        <v>0</v>
      </c>
      <c r="E35" s="11">
        <v>0</v>
      </c>
      <c r="F35" s="11">
        <v>0</v>
      </c>
      <c r="G35" s="13"/>
      <c r="H35" s="11">
        <v>0</v>
      </c>
      <c r="J35" s="8">
        <f t="shared" si="1"/>
        <v>0</v>
      </c>
      <c r="K35" s="8"/>
      <c r="L35" s="8">
        <f t="shared" si="2"/>
        <v>0</v>
      </c>
    </row>
    <row r="36" spans="1:12" ht="15">
      <c r="A36" s="9">
        <v>929</v>
      </c>
      <c r="B36" s="12">
        <f t="shared" si="0"/>
        <v>0</v>
      </c>
      <c r="C36" s="13"/>
      <c r="D36" s="11">
        <v>0</v>
      </c>
      <c r="E36" s="11">
        <v>0</v>
      </c>
      <c r="F36" s="11">
        <v>0</v>
      </c>
      <c r="G36" s="13"/>
      <c r="H36" s="11">
        <v>0</v>
      </c>
      <c r="J36" s="8">
        <f t="shared" si="1"/>
        <v>0</v>
      </c>
      <c r="K36" s="8"/>
      <c r="L36" s="8">
        <f t="shared" si="2"/>
        <v>0</v>
      </c>
    </row>
    <row r="37" spans="1:12" ht="15">
      <c r="A37" s="9">
        <v>930</v>
      </c>
      <c r="B37" s="12">
        <f t="shared" si="0"/>
        <v>108995.7</v>
      </c>
      <c r="C37" s="13"/>
      <c r="D37" s="11">
        <v>54497.85</v>
      </c>
      <c r="E37" s="11">
        <v>54497.85</v>
      </c>
      <c r="F37" s="11">
        <v>0</v>
      </c>
      <c r="G37" s="13"/>
      <c r="H37" s="11">
        <v>0</v>
      </c>
      <c r="J37" s="8">
        <f t="shared" si="1"/>
        <v>54497.85</v>
      </c>
      <c r="K37" s="8"/>
      <c r="L37" s="8">
        <f t="shared" si="2"/>
        <v>54497.85</v>
      </c>
    </row>
    <row r="38" spans="1:12" ht="15">
      <c r="A38" s="9">
        <v>931</v>
      </c>
      <c r="B38" s="12">
        <f t="shared" si="0"/>
        <v>1753.46</v>
      </c>
      <c r="C38" s="13"/>
      <c r="D38" s="11">
        <v>876.73</v>
      </c>
      <c r="E38" s="11">
        <v>876.73</v>
      </c>
      <c r="F38" s="11">
        <v>0</v>
      </c>
      <c r="G38" s="13"/>
      <c r="H38" s="11">
        <v>0</v>
      </c>
      <c r="J38" s="8">
        <f t="shared" si="1"/>
        <v>876.73</v>
      </c>
      <c r="K38" s="8"/>
      <c r="L38" s="8">
        <f t="shared" si="2"/>
        <v>876.73</v>
      </c>
    </row>
    <row r="39" spans="1:12" ht="15">
      <c r="A39" s="9"/>
      <c r="B39" s="14" t="s">
        <v>1787</v>
      </c>
      <c r="C39" s="13"/>
      <c r="D39" s="14" t="s">
        <v>1786</v>
      </c>
      <c r="E39" s="14" t="s">
        <v>1786</v>
      </c>
      <c r="F39" s="14" t="s">
        <v>1786</v>
      </c>
      <c r="H39" s="14" t="s">
        <v>1786</v>
      </c>
      <c r="J39" s="20" t="s">
        <v>1786</v>
      </c>
      <c r="K39" s="8"/>
      <c r="L39" s="20" t="s">
        <v>1786</v>
      </c>
    </row>
    <row r="40" spans="1:12" ht="15">
      <c r="A40" s="275" t="s">
        <v>596</v>
      </c>
      <c r="B40" s="12">
        <f>D40+E40+F40+H40</f>
        <v>904210.5599999998</v>
      </c>
      <c r="C40" s="13"/>
      <c r="D40" s="12">
        <f>SUM(D28:D38)</f>
        <v>315579.04</v>
      </c>
      <c r="E40" s="12">
        <f>SUM(E28:E38)</f>
        <v>588631.5199999999</v>
      </c>
      <c r="F40" s="12">
        <f>SUM(F28:F39)</f>
        <v>0</v>
      </c>
      <c r="H40" s="12">
        <f>SUM(H28:H39)</f>
        <v>0</v>
      </c>
      <c r="I40" s="18" t="s">
        <v>597</v>
      </c>
      <c r="J40" s="8">
        <f>SUM(J28:J38)</f>
        <v>315579.04</v>
      </c>
      <c r="K40" s="8"/>
      <c r="L40" s="8">
        <f>SUM(L28:L38)</f>
        <v>588631.5199999999</v>
      </c>
    </row>
    <row r="41" ht="15">
      <c r="A41" s="9"/>
    </row>
    <row r="42" ht="15">
      <c r="A42" s="9"/>
    </row>
    <row r="43" spans="1:12" ht="15">
      <c r="A43" s="9">
        <v>935</v>
      </c>
      <c r="B43" s="12">
        <f>D43+E43+F43+H43</f>
        <v>73268.26</v>
      </c>
      <c r="C43" s="13"/>
      <c r="D43" s="271">
        <v>36634.13</v>
      </c>
      <c r="E43" s="271">
        <v>36634.13</v>
      </c>
      <c r="F43" s="11"/>
      <c r="G43" s="13"/>
      <c r="H43" s="11">
        <v>0</v>
      </c>
      <c r="I43" s="18" t="s">
        <v>597</v>
      </c>
      <c r="J43" s="8">
        <f>SUM(D43+F43)</f>
        <v>36634.13</v>
      </c>
      <c r="L43" s="8">
        <f>SUM(E43+H43)</f>
        <v>36634.13</v>
      </c>
    </row>
    <row r="44" ht="15">
      <c r="A44" s="9"/>
    </row>
    <row r="45" ht="15">
      <c r="A45" s="9"/>
    </row>
    <row r="46" spans="1:12" ht="15">
      <c r="A46" s="9">
        <v>500</v>
      </c>
      <c r="B46" s="12">
        <f aca="true" t="shared" si="3" ref="B46:B51">D46+E46+F46+H46</f>
        <v>261443.38</v>
      </c>
      <c r="C46" s="13"/>
      <c r="D46" s="11">
        <v>131085.63</v>
      </c>
      <c r="E46" s="11">
        <v>130357.75</v>
      </c>
      <c r="F46" s="11">
        <v>0</v>
      </c>
      <c r="G46" s="13"/>
      <c r="H46" s="11">
        <v>0</v>
      </c>
      <c r="J46" s="8">
        <f aca="true" t="shared" si="4" ref="J46:J51">SUM(D46+F46)</f>
        <v>131085.63</v>
      </c>
      <c r="L46" s="8">
        <f aca="true" t="shared" si="5" ref="L46:L51">SUM(E46+H46)</f>
        <v>130357.75</v>
      </c>
    </row>
    <row r="47" spans="1:12" ht="15">
      <c r="A47" s="9">
        <v>502</v>
      </c>
      <c r="B47" s="12">
        <f t="shared" si="3"/>
        <v>1455437.86</v>
      </c>
      <c r="C47" s="13"/>
      <c r="D47" s="11">
        <v>873417.05</v>
      </c>
      <c r="E47" s="11">
        <v>582020.81</v>
      </c>
      <c r="F47" s="11">
        <v>0</v>
      </c>
      <c r="G47" s="13"/>
      <c r="H47" s="11">
        <v>0</v>
      </c>
      <c r="J47" s="8">
        <f t="shared" si="4"/>
        <v>873417.05</v>
      </c>
      <c r="L47" s="8">
        <f t="shared" si="5"/>
        <v>582020.81</v>
      </c>
    </row>
    <row r="48" spans="1:12" ht="15">
      <c r="A48" s="9">
        <v>505</v>
      </c>
      <c r="B48" s="12">
        <f t="shared" si="3"/>
        <v>152839.23</v>
      </c>
      <c r="C48" s="13"/>
      <c r="D48" s="11">
        <v>84476.66</v>
      </c>
      <c r="E48" s="11">
        <v>68362.57</v>
      </c>
      <c r="F48" s="11">
        <v>0</v>
      </c>
      <c r="G48" s="13"/>
      <c r="H48" s="11">
        <v>0</v>
      </c>
      <c r="J48" s="8">
        <f t="shared" si="4"/>
        <v>84476.66</v>
      </c>
      <c r="L48" s="8">
        <f t="shared" si="5"/>
        <v>68362.57</v>
      </c>
    </row>
    <row r="49" spans="1:12" ht="15">
      <c r="A49" s="9">
        <v>506</v>
      </c>
      <c r="B49" s="12">
        <f t="shared" si="3"/>
        <v>393677.76</v>
      </c>
      <c r="C49" s="13"/>
      <c r="D49" s="11">
        <v>202790.21</v>
      </c>
      <c r="E49" s="11">
        <v>190887.55</v>
      </c>
      <c r="F49" s="11">
        <v>0</v>
      </c>
      <c r="G49" s="13"/>
      <c r="H49" s="11">
        <v>0</v>
      </c>
      <c r="J49" s="8">
        <f t="shared" si="4"/>
        <v>202790.21</v>
      </c>
      <c r="L49" s="8">
        <f t="shared" si="5"/>
        <v>190887.55</v>
      </c>
    </row>
    <row r="50" spans="1:12" ht="15">
      <c r="A50" s="9">
        <v>507</v>
      </c>
      <c r="B50" s="12">
        <f t="shared" si="3"/>
        <v>5690253.02</v>
      </c>
      <c r="C50" s="13"/>
      <c r="D50" s="11">
        <v>0</v>
      </c>
      <c r="E50" s="11">
        <v>5690253.02</v>
      </c>
      <c r="F50" s="11">
        <v>0</v>
      </c>
      <c r="G50" s="13"/>
      <c r="H50" s="11">
        <v>0</v>
      </c>
      <c r="J50" s="8">
        <f t="shared" si="4"/>
        <v>0</v>
      </c>
      <c r="L50" s="8">
        <f t="shared" si="5"/>
        <v>5690253.02</v>
      </c>
    </row>
    <row r="51" spans="1:12" ht="15">
      <c r="A51" s="9">
        <v>509</v>
      </c>
      <c r="B51" s="12">
        <f t="shared" si="3"/>
        <v>0</v>
      </c>
      <c r="C51" s="13"/>
      <c r="D51" s="11"/>
      <c r="E51" s="11"/>
      <c r="F51" s="11">
        <v>0</v>
      </c>
      <c r="G51" s="13"/>
      <c r="H51" s="11">
        <v>0</v>
      </c>
      <c r="J51" s="8">
        <f t="shared" si="4"/>
        <v>0</v>
      </c>
      <c r="L51" s="8">
        <f t="shared" si="5"/>
        <v>0</v>
      </c>
    </row>
    <row r="52" spans="1:12" ht="15">
      <c r="A52" s="9"/>
      <c r="B52" s="14" t="s">
        <v>1787</v>
      </c>
      <c r="C52" s="13"/>
      <c r="D52" s="14" t="s">
        <v>1786</v>
      </c>
      <c r="E52" s="14" t="s">
        <v>1786</v>
      </c>
      <c r="F52" s="14" t="s">
        <v>1786</v>
      </c>
      <c r="H52" s="14" t="s">
        <v>1786</v>
      </c>
      <c r="J52" s="20" t="s">
        <v>1786</v>
      </c>
      <c r="L52" s="20" t="s">
        <v>1786</v>
      </c>
    </row>
    <row r="53" spans="1:12" ht="15">
      <c r="A53" s="275" t="s">
        <v>598</v>
      </c>
      <c r="B53" s="12">
        <f>D53+E53+F53+H53</f>
        <v>7953651.249999999</v>
      </c>
      <c r="C53" s="13"/>
      <c r="D53" s="12">
        <f>SUM(D46:D51)</f>
        <v>1291769.55</v>
      </c>
      <c r="E53" s="12">
        <f>SUM(E46:E51)</f>
        <v>6661881.699999999</v>
      </c>
      <c r="F53" s="12">
        <f>SUM(F46:F52)</f>
        <v>0</v>
      </c>
      <c r="H53" s="12">
        <f>SUM(H46:H52)</f>
        <v>0</v>
      </c>
      <c r="I53" s="18" t="s">
        <v>599</v>
      </c>
      <c r="J53" s="8">
        <f>SUM(J46:J51)</f>
        <v>1291769.55</v>
      </c>
      <c r="K53" s="8"/>
      <c r="L53" s="8">
        <f>SUM(L46:L51)</f>
        <v>6661881.699999999</v>
      </c>
    </row>
    <row r="54" spans="1:5" ht="15">
      <c r="A54" s="9"/>
      <c r="E54" s="11"/>
    </row>
    <row r="55" spans="1:12" ht="15">
      <c r="A55" s="3">
        <v>510</v>
      </c>
      <c r="B55" s="12">
        <f aca="true" t="shared" si="6" ref="B55:B60">D55+E55+F55+H55</f>
        <v>154888.94</v>
      </c>
      <c r="C55" s="13"/>
      <c r="D55" s="11">
        <v>77084.91</v>
      </c>
      <c r="E55" s="11">
        <v>77804.03</v>
      </c>
      <c r="F55" s="11">
        <v>0</v>
      </c>
      <c r="G55" s="13"/>
      <c r="H55" s="11">
        <v>0</v>
      </c>
      <c r="J55" s="8">
        <f aca="true" t="shared" si="7" ref="J55:J60">SUM(D55+F55)</f>
        <v>77084.91</v>
      </c>
      <c r="L55" s="8">
        <f aca="true" t="shared" si="8" ref="L55:L60">SUM(E55+H55)</f>
        <v>77804.03</v>
      </c>
    </row>
    <row r="56" spans="1:12" ht="15">
      <c r="A56" s="3">
        <v>511</v>
      </c>
      <c r="B56" s="12">
        <f t="shared" si="6"/>
        <v>46733.47</v>
      </c>
      <c r="C56" s="13"/>
      <c r="D56" s="11">
        <v>28867.43</v>
      </c>
      <c r="E56" s="11">
        <v>17866.04</v>
      </c>
      <c r="F56" s="11">
        <v>0</v>
      </c>
      <c r="G56" s="13"/>
      <c r="H56" s="11">
        <v>0</v>
      </c>
      <c r="J56" s="8">
        <f t="shared" si="7"/>
        <v>28867.43</v>
      </c>
      <c r="L56" s="8">
        <f t="shared" si="8"/>
        <v>17866.04</v>
      </c>
    </row>
    <row r="57" spans="1:12" ht="15">
      <c r="A57" s="3">
        <v>512</v>
      </c>
      <c r="B57" s="12">
        <f t="shared" si="6"/>
        <v>697590.59</v>
      </c>
      <c r="C57" s="13"/>
      <c r="D57" s="11">
        <v>372983.48</v>
      </c>
      <c r="E57" s="11">
        <v>324607.11</v>
      </c>
      <c r="F57" s="11">
        <v>0</v>
      </c>
      <c r="G57" s="13"/>
      <c r="H57" s="11">
        <v>0</v>
      </c>
      <c r="J57" s="8">
        <f t="shared" si="7"/>
        <v>372983.48</v>
      </c>
      <c r="L57" s="8">
        <f t="shared" si="8"/>
        <v>324607.11</v>
      </c>
    </row>
    <row r="58" spans="1:12" ht="15">
      <c r="A58" s="3">
        <v>513</v>
      </c>
      <c r="B58" s="12">
        <f t="shared" si="6"/>
        <v>238021.59999999998</v>
      </c>
      <c r="C58" s="13"/>
      <c r="D58" s="11">
        <v>145011.08</v>
      </c>
      <c r="E58" s="11">
        <v>93010.52</v>
      </c>
      <c r="F58" s="11">
        <v>0</v>
      </c>
      <c r="G58" s="13"/>
      <c r="H58" s="11">
        <v>0</v>
      </c>
      <c r="J58" s="8">
        <f t="shared" si="7"/>
        <v>145011.08</v>
      </c>
      <c r="L58" s="8">
        <f t="shared" si="8"/>
        <v>93010.52</v>
      </c>
    </row>
    <row r="59" spans="1:12" ht="15">
      <c r="A59" s="3">
        <v>514</v>
      </c>
      <c r="B59" s="12">
        <f t="shared" si="6"/>
        <v>129181.59</v>
      </c>
      <c r="C59" s="13"/>
      <c r="D59" s="11">
        <v>73648.37</v>
      </c>
      <c r="E59" s="11">
        <v>55533.22</v>
      </c>
      <c r="F59" s="11">
        <v>0</v>
      </c>
      <c r="G59" s="13"/>
      <c r="H59" s="11">
        <v>0</v>
      </c>
      <c r="J59" s="8">
        <f t="shared" si="7"/>
        <v>73648.37</v>
      </c>
      <c r="L59" s="8">
        <f t="shared" si="8"/>
        <v>55533.22</v>
      </c>
    </row>
    <row r="60" spans="1:12" ht="15">
      <c r="A60" s="3">
        <v>515</v>
      </c>
      <c r="B60" s="12">
        <f t="shared" si="6"/>
        <v>0</v>
      </c>
      <c r="C60" s="13"/>
      <c r="D60" s="11">
        <v>0</v>
      </c>
      <c r="E60" s="11">
        <v>0</v>
      </c>
      <c r="F60" s="11">
        <v>0</v>
      </c>
      <c r="G60" s="13"/>
      <c r="H60" s="11">
        <v>0</v>
      </c>
      <c r="J60" s="8">
        <f t="shared" si="7"/>
        <v>0</v>
      </c>
      <c r="L60" s="8">
        <f t="shared" si="8"/>
        <v>0</v>
      </c>
    </row>
    <row r="61" spans="2:12" ht="15">
      <c r="B61" s="14" t="s">
        <v>1787</v>
      </c>
      <c r="C61" s="13"/>
      <c r="D61" s="14" t="s">
        <v>1786</v>
      </c>
      <c r="E61" s="14" t="s">
        <v>1786</v>
      </c>
      <c r="F61" s="14" t="s">
        <v>1786</v>
      </c>
      <c r="H61" s="14" t="s">
        <v>1786</v>
      </c>
      <c r="J61" s="20" t="s">
        <v>1786</v>
      </c>
      <c r="L61" s="20" t="s">
        <v>1786</v>
      </c>
    </row>
    <row r="62" spans="1:12" ht="15">
      <c r="A62" s="18" t="s">
        <v>600</v>
      </c>
      <c r="B62" s="12">
        <f>D62+E62+F62+H62</f>
        <v>1266416.19</v>
      </c>
      <c r="C62" s="13"/>
      <c r="D62" s="12">
        <f>SUM(D55:D60)</f>
        <v>697595.2699999999</v>
      </c>
      <c r="E62" s="12">
        <f>SUM(E55:E60)</f>
        <v>568820.92</v>
      </c>
      <c r="F62" s="12">
        <f>SUM(F55:F61)</f>
        <v>0</v>
      </c>
      <c r="H62" s="12">
        <f>SUM(H55:H61)</f>
        <v>0</v>
      </c>
      <c r="I62" s="18" t="s">
        <v>599</v>
      </c>
      <c r="J62" s="8">
        <f>SUM(J55:J60)</f>
        <v>697595.2699999999</v>
      </c>
      <c r="K62" s="8"/>
      <c r="L62" s="8">
        <f>SUM(L55:L60)</f>
        <v>568820.92</v>
      </c>
    </row>
    <row r="64" spans="1:13" ht="15">
      <c r="A64" s="15">
        <v>555</v>
      </c>
      <c r="B64" s="12">
        <f>D64+E64+F64+H64</f>
        <v>0</v>
      </c>
      <c r="C64" s="13"/>
      <c r="D64" s="276">
        <v>0</v>
      </c>
      <c r="F64" s="11">
        <v>0</v>
      </c>
      <c r="G64" s="13"/>
      <c r="H64" s="12">
        <v>0</v>
      </c>
      <c r="I64" s="18" t="s">
        <v>1812</v>
      </c>
      <c r="J64" s="8">
        <f>SUM(D64+F64)</f>
        <v>0</v>
      </c>
      <c r="L64" s="8">
        <f>SUM(E64+H64)</f>
        <v>0</v>
      </c>
      <c r="M64" s="34" t="s">
        <v>545</v>
      </c>
    </row>
    <row r="65" spans="1:12" ht="15">
      <c r="A65" s="3">
        <v>556</v>
      </c>
      <c r="B65" s="12">
        <f>D65+E65+F65+H65</f>
        <v>852.5</v>
      </c>
      <c r="C65" s="13"/>
      <c r="D65" s="276">
        <v>426.25</v>
      </c>
      <c r="E65" s="11">
        <v>426.25</v>
      </c>
      <c r="F65" s="11">
        <v>0</v>
      </c>
      <c r="G65" s="13"/>
      <c r="H65" s="11">
        <v>0</v>
      </c>
      <c r="I65" s="18" t="s">
        <v>599</v>
      </c>
      <c r="J65" s="8">
        <f>SUM(D65+F65)</f>
        <v>426.25</v>
      </c>
      <c r="L65" s="8">
        <f>SUM(E65+H65)</f>
        <v>426.25</v>
      </c>
    </row>
    <row r="66" spans="1:12" ht="15">
      <c r="A66" s="3">
        <v>557</v>
      </c>
      <c r="B66" s="12">
        <f>D66+E66+F66+H66</f>
        <v>17008.72</v>
      </c>
      <c r="C66" s="13"/>
      <c r="D66" s="276">
        <v>8504.36</v>
      </c>
      <c r="E66" s="11">
        <v>8504.36</v>
      </c>
      <c r="F66" s="11">
        <v>0</v>
      </c>
      <c r="G66" s="13"/>
      <c r="H66" s="11">
        <v>0</v>
      </c>
      <c r="J66" s="8">
        <f>SUM(D66+F66)</f>
        <v>8504.36</v>
      </c>
      <c r="L66" s="8">
        <f>SUM(E66+H66)</f>
        <v>8504.36</v>
      </c>
    </row>
    <row r="68" spans="1:10" ht="15">
      <c r="A68" s="3">
        <v>403</v>
      </c>
      <c r="B68" s="12">
        <f>D68+E68+F68+H68</f>
        <v>2416358.13</v>
      </c>
      <c r="C68" s="13"/>
      <c r="D68" s="11">
        <v>1838327.3</v>
      </c>
      <c r="E68" s="11">
        <v>578030.83</v>
      </c>
      <c r="F68" s="11">
        <v>0</v>
      </c>
      <c r="G68" s="13"/>
      <c r="H68" s="11">
        <v>0</v>
      </c>
      <c r="I68" s="34"/>
      <c r="J68" s="8"/>
    </row>
    <row r="69" spans="1:8" ht="15">
      <c r="A69" s="9"/>
      <c r="B69" s="14" t="s">
        <v>1787</v>
      </c>
      <c r="C69" s="13"/>
      <c r="D69" s="14" t="s">
        <v>1786</v>
      </c>
      <c r="E69" s="14" t="s">
        <v>1786</v>
      </c>
      <c r="F69" s="14" t="s">
        <v>1786</v>
      </c>
      <c r="H69" s="14" t="s">
        <v>1786</v>
      </c>
    </row>
    <row r="70" spans="1:10" ht="15">
      <c r="A70" s="9"/>
      <c r="B70" s="14" t="s">
        <v>1787</v>
      </c>
      <c r="C70" s="13"/>
      <c r="D70" s="14" t="s">
        <v>1786</v>
      </c>
      <c r="E70" s="14" t="s">
        <v>1786</v>
      </c>
      <c r="F70" s="14" t="s">
        <v>1786</v>
      </c>
      <c r="H70" s="14" t="s">
        <v>1786</v>
      </c>
      <c r="J70" s="7"/>
    </row>
    <row r="71" spans="1:9" ht="15">
      <c r="A71" s="10" t="s">
        <v>1775</v>
      </c>
      <c r="B71" s="12">
        <f>D71+E71+F71+H71</f>
        <v>2416358.13</v>
      </c>
      <c r="C71" s="13"/>
      <c r="D71" s="12">
        <f>D68</f>
        <v>1838327.3</v>
      </c>
      <c r="E71" s="12">
        <f>E68</f>
        <v>578030.83</v>
      </c>
      <c r="F71" s="12">
        <f>SUM(F68:F70)</f>
        <v>0</v>
      </c>
      <c r="H71" s="12">
        <f>SUM(H68:H70)</f>
        <v>0</v>
      </c>
      <c r="I71" s="18" t="s">
        <v>1776</v>
      </c>
    </row>
    <row r="72" spans="1:8" ht="15">
      <c r="A72" s="9"/>
      <c r="C72" s="13"/>
      <c r="F72" s="12">
        <f>D71+F71</f>
        <v>1838327.3</v>
      </c>
      <c r="H72" s="12">
        <f>E71+H71</f>
        <v>578030.83</v>
      </c>
    </row>
    <row r="73" spans="1:5" ht="15">
      <c r="A73" s="9"/>
      <c r="D73" s="11"/>
      <c r="E73" s="11"/>
    </row>
    <row r="74" spans="1:12" ht="15">
      <c r="A74" s="9">
        <v>404</v>
      </c>
      <c r="B74" s="12">
        <f>D74+E74+F74+H74</f>
        <v>599978.9800000001</v>
      </c>
      <c r="C74" s="13"/>
      <c r="D74" s="11">
        <v>3418.17</v>
      </c>
      <c r="E74" s="11">
        <v>596560.81</v>
      </c>
      <c r="F74" s="12">
        <v>0</v>
      </c>
      <c r="G74" s="13"/>
      <c r="H74" s="12">
        <v>0</v>
      </c>
      <c r="I74" s="18" t="s">
        <v>1777</v>
      </c>
      <c r="J74" s="8">
        <f>SUM(D74+F74)</f>
        <v>3418.17</v>
      </c>
      <c r="L74" s="8">
        <f>SUM(E74+H74)</f>
        <v>596560.81</v>
      </c>
    </row>
    <row r="75" spans="1:8" ht="15">
      <c r="A75" s="9"/>
      <c r="C75" s="13"/>
      <c r="D75" s="13"/>
      <c r="E75" s="13"/>
      <c r="F75" s="13"/>
      <c r="G75" s="13"/>
      <c r="H75" s="13"/>
    </row>
    <row r="76" spans="1:12" ht="15">
      <c r="A76" s="272">
        <v>45400</v>
      </c>
      <c r="B76" s="12">
        <f>D76+E76+F76+H76</f>
        <v>0</v>
      </c>
      <c r="C76" s="13"/>
      <c r="D76" s="11">
        <v>0</v>
      </c>
      <c r="E76" s="11">
        <v>0</v>
      </c>
      <c r="F76" s="12">
        <v>0</v>
      </c>
      <c r="G76" s="13"/>
      <c r="H76" s="12">
        <v>0</v>
      </c>
      <c r="I76" s="18" t="s">
        <v>725</v>
      </c>
      <c r="J76" s="8">
        <f>SUM(D76+F76)</f>
        <v>0</v>
      </c>
      <c r="L76" s="8">
        <f>SUM(E76+H76)</f>
        <v>0</v>
      </c>
    </row>
    <row r="77" spans="1:9" ht="15">
      <c r="A77" s="9">
        <v>430</v>
      </c>
      <c r="B77" s="11">
        <v>85842.71</v>
      </c>
      <c r="F77" s="277">
        <f>B77</f>
        <v>85842.71</v>
      </c>
      <c r="G77" s="11"/>
      <c r="H77" s="277">
        <f>B77</f>
        <v>85842.71</v>
      </c>
      <c r="I77" s="3" t="s">
        <v>1873</v>
      </c>
    </row>
    <row r="78" spans="1:12" ht="15">
      <c r="A78" s="272" t="s">
        <v>1159</v>
      </c>
      <c r="B78" s="11">
        <v>64574.43</v>
      </c>
      <c r="C78" s="13"/>
      <c r="F78" s="277">
        <f>B78</f>
        <v>64574.43</v>
      </c>
      <c r="G78" s="13"/>
      <c r="H78" s="277">
        <f>B78</f>
        <v>64574.43</v>
      </c>
      <c r="I78" s="34" t="s">
        <v>1524</v>
      </c>
      <c r="L78" s="3" t="s">
        <v>1457</v>
      </c>
    </row>
    <row r="79" spans="1:9" ht="15">
      <c r="A79" s="272" t="s">
        <v>1159</v>
      </c>
      <c r="B79" s="11">
        <v>0</v>
      </c>
      <c r="C79" s="13"/>
      <c r="F79" s="277">
        <f>B79</f>
        <v>0</v>
      </c>
      <c r="G79" s="13"/>
      <c r="H79" s="277">
        <f>B79</f>
        <v>0</v>
      </c>
      <c r="I79" s="51" t="s">
        <v>861</v>
      </c>
    </row>
    <row r="80" spans="1:8" ht="15">
      <c r="A80" s="9"/>
      <c r="B80" s="12">
        <f>SUM(B78:B79)</f>
        <v>64574.43</v>
      </c>
      <c r="C80" s="13"/>
      <c r="D80" s="13"/>
      <c r="F80" s="14" t="s">
        <v>1786</v>
      </c>
      <c r="H80" s="14" t="s">
        <v>1786</v>
      </c>
    </row>
    <row r="81" spans="1:9" ht="15">
      <c r="A81" s="9"/>
      <c r="B81" s="274" t="s">
        <v>1730</v>
      </c>
      <c r="C81" s="13"/>
      <c r="D81" s="13"/>
      <c r="E81" s="13"/>
      <c r="F81" s="12">
        <f>+H81</f>
        <v>150417.14</v>
      </c>
      <c r="G81" s="13"/>
      <c r="H81" s="12">
        <f>+H77+H78</f>
        <v>150417.14</v>
      </c>
      <c r="I81" s="18" t="s">
        <v>1731</v>
      </c>
    </row>
    <row r="82" spans="1:10" ht="15">
      <c r="A82" s="266"/>
      <c r="B82" s="274" t="s">
        <v>1715</v>
      </c>
      <c r="C82" s="13"/>
      <c r="D82" s="13"/>
      <c r="E82" s="13"/>
      <c r="F82" s="277">
        <f>+H82</f>
        <v>0</v>
      </c>
      <c r="G82" s="13"/>
      <c r="H82" s="277">
        <f>+H79</f>
        <v>0</v>
      </c>
      <c r="I82" s="18" t="s">
        <v>124</v>
      </c>
      <c r="J82" s="34"/>
    </row>
    <row r="83" ht="15">
      <c r="A83" s="9"/>
    </row>
    <row r="84" spans="1:7" ht="15.75">
      <c r="A84" s="269" t="s">
        <v>815</v>
      </c>
      <c r="C84" s="13"/>
      <c r="D84" s="13"/>
      <c r="E84" s="13"/>
      <c r="F84" s="13"/>
      <c r="G84" s="13"/>
    </row>
    <row r="85" spans="1:9" ht="15.75">
      <c r="A85" s="269"/>
      <c r="C85" s="13"/>
      <c r="D85" s="13"/>
      <c r="E85" s="13" t="s">
        <v>818</v>
      </c>
      <c r="F85" s="13" t="s">
        <v>819</v>
      </c>
      <c r="G85" s="13"/>
      <c r="H85" s="13"/>
      <c r="I85" s="12"/>
    </row>
    <row r="86" spans="1:9" ht="15.75">
      <c r="A86" s="278" t="s">
        <v>816</v>
      </c>
      <c r="C86" s="13"/>
      <c r="D86" s="13">
        <v>14819.82</v>
      </c>
      <c r="E86" s="13">
        <f>D86*0.5</f>
        <v>7409.91</v>
      </c>
      <c r="F86" s="13">
        <f>D86*0.5</f>
        <v>7409.91</v>
      </c>
      <c r="G86" s="13"/>
      <c r="H86" s="13"/>
      <c r="I86" s="12"/>
    </row>
    <row r="87" spans="1:9" ht="15.75">
      <c r="A87" s="279" t="s">
        <v>817</v>
      </c>
      <c r="B87" s="280"/>
      <c r="D87" s="12">
        <v>41386.27</v>
      </c>
      <c r="E87" s="13">
        <f>D87*0.5</f>
        <v>20693.135</v>
      </c>
      <c r="F87" s="13">
        <f>D87*0.5</f>
        <v>20693.135</v>
      </c>
      <c r="I87" s="12"/>
    </row>
    <row r="88" spans="1:2" ht="15.75">
      <c r="A88" s="279"/>
      <c r="B88" s="281"/>
    </row>
    <row r="89" spans="1:2" ht="15.75">
      <c r="A89" s="79"/>
      <c r="B89" s="281"/>
    </row>
    <row r="90" ht="15.75">
      <c r="B90" s="281"/>
    </row>
    <row r="114" ht="15.75">
      <c r="A114" s="26"/>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22">
      <selection activeCell="A3" sqref="A3"/>
    </sheetView>
  </sheetViews>
  <sheetFormatPr defaultColWidth="9.7109375" defaultRowHeight="12.75"/>
  <cols>
    <col min="1" max="1" width="5.7109375" style="24" customWidth="1"/>
    <col min="2" max="2" width="12.8515625" style="24" customWidth="1"/>
    <col min="3" max="3" width="15.28125" style="24" customWidth="1"/>
    <col min="4" max="4" width="17.57421875" style="24" customWidth="1"/>
    <col min="5" max="5" width="15.8515625" style="24" customWidth="1"/>
    <col min="6" max="6" width="22.00390625" style="24" customWidth="1"/>
    <col min="7" max="7" width="17.421875" style="24" customWidth="1"/>
    <col min="8" max="8" width="15.421875" style="24" bestFit="1" customWidth="1"/>
    <col min="9" max="9" width="1.7109375" style="24" customWidth="1"/>
    <col min="10" max="10" width="27.57421875" style="24" bestFit="1" customWidth="1"/>
    <col min="11" max="11" width="9.7109375" style="24" customWidth="1"/>
    <col min="12" max="12" width="11.28125" style="24" customWidth="1"/>
    <col min="13" max="16384" width="9.7109375" style="24" customWidth="1"/>
  </cols>
  <sheetData>
    <row r="1" spans="1:12" ht="15">
      <c r="A1" s="5"/>
      <c r="B1" s="5"/>
      <c r="C1" s="5"/>
      <c r="D1" s="5"/>
      <c r="E1" s="5"/>
      <c r="F1" s="5"/>
      <c r="G1" s="5"/>
      <c r="H1" s="5"/>
      <c r="I1" s="5"/>
      <c r="J1" s="6"/>
      <c r="K1" s="5"/>
      <c r="L1" s="5"/>
    </row>
    <row r="2" spans="1:12" ht="15.75">
      <c r="A2" s="3"/>
      <c r="B2" s="250" t="s">
        <v>309</v>
      </c>
      <c r="C2" s="250"/>
      <c r="D2" s="139" t="s">
        <v>312</v>
      </c>
      <c r="E2" s="139"/>
      <c r="F2" s="139"/>
      <c r="G2" s="3"/>
      <c r="H2" s="3"/>
      <c r="I2" s="3"/>
      <c r="J2" s="18" t="s">
        <v>1874</v>
      </c>
      <c r="K2" s="5"/>
      <c r="L2" s="5"/>
    </row>
    <row r="3" spans="1:12" ht="15.75">
      <c r="A3" s="3"/>
      <c r="B3" s="251" t="s">
        <v>1426</v>
      </c>
      <c r="C3" s="252">
        <v>12</v>
      </c>
      <c r="D3" s="139" t="s">
        <v>1875</v>
      </c>
      <c r="E3" s="139"/>
      <c r="F3" s="139"/>
      <c r="G3" s="3"/>
      <c r="H3" s="3"/>
      <c r="I3" s="3"/>
      <c r="J3" s="146">
        <f ca="1">TODAY()</f>
        <v>44061</v>
      </c>
      <c r="K3" s="5"/>
      <c r="L3" s="5"/>
    </row>
    <row r="4" spans="1:12" ht="15.75">
      <c r="A4" s="3"/>
      <c r="B4" s="3"/>
      <c r="C4" s="3"/>
      <c r="D4" s="253" t="str">
        <f>INSTRUCTIONS!L7</f>
        <v>January, 2016</v>
      </c>
      <c r="E4" s="253"/>
      <c r="F4" s="253"/>
      <c r="G4" s="3"/>
      <c r="H4" s="3"/>
      <c r="I4" s="3"/>
      <c r="J4" s="18" t="str">
        <f>INSTRUCTIONS!Q13</f>
        <v>JMJ</v>
      </c>
      <c r="K4" s="5"/>
      <c r="L4" s="5"/>
    </row>
    <row r="5" spans="1:12" ht="15.75">
      <c r="A5" s="3"/>
      <c r="B5" s="3"/>
      <c r="C5" s="3"/>
      <c r="D5" s="254" t="str">
        <f>"At Month End "&amp;INSTRUCTIONS!L5</f>
        <v>At Month End December</v>
      </c>
      <c r="E5" s="254"/>
      <c r="F5" s="254"/>
      <c r="G5" s="3"/>
      <c r="H5" s="3"/>
      <c r="I5" s="3"/>
      <c r="J5" s="3"/>
      <c r="K5" s="5"/>
      <c r="L5" s="5"/>
    </row>
    <row r="6" spans="1:12" ht="15">
      <c r="A6" s="3"/>
      <c r="B6" s="3"/>
      <c r="C6" s="3"/>
      <c r="D6" s="3"/>
      <c r="E6" s="3"/>
      <c r="F6" s="3"/>
      <c r="H6" s="3"/>
      <c r="I6" s="3"/>
      <c r="J6" s="3"/>
      <c r="K6" s="5"/>
      <c r="L6" s="5"/>
    </row>
    <row r="7" spans="1:12" ht="15.75">
      <c r="A7" s="3"/>
      <c r="B7" s="3"/>
      <c r="C7" s="3"/>
      <c r="D7" s="3"/>
      <c r="E7" s="206" t="s">
        <v>0</v>
      </c>
      <c r="F7" s="208"/>
      <c r="G7" s="3"/>
      <c r="H7" s="21" t="s">
        <v>1</v>
      </c>
      <c r="I7" s="83"/>
      <c r="J7" s="3"/>
      <c r="K7" s="5"/>
      <c r="L7" s="5"/>
    </row>
    <row r="8" spans="1:12" ht="15.75">
      <c r="A8" s="3"/>
      <c r="B8" s="144" t="s">
        <v>2</v>
      </c>
      <c r="C8" s="3"/>
      <c r="D8" s="44" t="s">
        <v>156</v>
      </c>
      <c r="E8" s="255" t="s">
        <v>3</v>
      </c>
      <c r="F8" s="208"/>
      <c r="G8" s="17" t="s">
        <v>791</v>
      </c>
      <c r="H8" s="17" t="s">
        <v>792</v>
      </c>
      <c r="I8" s="83"/>
      <c r="J8" s="3"/>
      <c r="K8" s="5"/>
      <c r="L8" s="5"/>
    </row>
    <row r="9" spans="1:12" ht="15.75">
      <c r="A9" s="3"/>
      <c r="B9" s="3" t="s">
        <v>1807</v>
      </c>
      <c r="C9" s="3"/>
      <c r="D9" s="3"/>
      <c r="E9" s="3"/>
      <c r="F9" s="256">
        <v>0</v>
      </c>
      <c r="G9" s="257">
        <v>0</v>
      </c>
      <c r="H9" s="41">
        <f>F9*G9</f>
        <v>0</v>
      </c>
      <c r="I9" s="3" t="s">
        <v>1554</v>
      </c>
      <c r="J9" s="11" t="s">
        <v>1454</v>
      </c>
      <c r="K9" s="5" t="s">
        <v>1040</v>
      </c>
      <c r="L9" s="258"/>
    </row>
    <row r="10" spans="1:12" ht="15.75">
      <c r="A10" s="3"/>
      <c r="B10" s="34" t="s">
        <v>497</v>
      </c>
      <c r="C10" s="3"/>
      <c r="D10" s="3"/>
      <c r="E10" s="3"/>
      <c r="F10" s="256">
        <v>45000000</v>
      </c>
      <c r="G10" s="259">
        <v>0.00010165</v>
      </c>
      <c r="H10" s="41">
        <f>F10*G10</f>
        <v>4574.25</v>
      </c>
      <c r="I10" s="109"/>
      <c r="J10" s="11" t="s">
        <v>1021</v>
      </c>
      <c r="K10" s="258" t="s">
        <v>1039</v>
      </c>
      <c r="L10" s="258"/>
    </row>
    <row r="11" spans="1:12" ht="15.75">
      <c r="A11" s="3"/>
      <c r="B11" s="34" t="s">
        <v>693</v>
      </c>
      <c r="C11" s="3"/>
      <c r="D11" s="3"/>
      <c r="E11" s="3"/>
      <c r="F11" s="256">
        <f>17355378.6+826446.6</f>
        <v>18181825.200000003</v>
      </c>
      <c r="G11" s="259">
        <v>0.0633</v>
      </c>
      <c r="H11" s="41">
        <f>F11*G11</f>
        <v>1150909.5351600002</v>
      </c>
      <c r="I11" s="109"/>
      <c r="J11" s="11" t="s">
        <v>1277</v>
      </c>
      <c r="K11" s="258" t="s">
        <v>1038</v>
      </c>
      <c r="L11" s="258"/>
    </row>
    <row r="12" spans="1:12" ht="15">
      <c r="A12" s="3"/>
      <c r="B12" s="51" t="s">
        <v>1822</v>
      </c>
      <c r="C12" s="5"/>
      <c r="D12" s="5"/>
      <c r="E12" s="5"/>
      <c r="F12" s="5"/>
      <c r="G12" s="5"/>
      <c r="H12" s="5"/>
      <c r="I12" s="5"/>
      <c r="J12" s="5"/>
      <c r="K12" s="5"/>
      <c r="L12" s="5"/>
    </row>
    <row r="13" spans="1:12" ht="15">
      <c r="A13" s="3"/>
      <c r="B13" s="34" t="s">
        <v>822</v>
      </c>
      <c r="C13" s="3"/>
      <c r="D13" s="3"/>
      <c r="E13" s="3"/>
      <c r="F13" s="3" t="s">
        <v>1554</v>
      </c>
      <c r="G13" s="3"/>
      <c r="H13" s="3"/>
      <c r="I13" s="3"/>
      <c r="J13" s="3"/>
      <c r="K13" s="5"/>
      <c r="L13" s="5"/>
    </row>
    <row r="14" spans="1:12" ht="15">
      <c r="A14" s="3"/>
      <c r="B14" s="34" t="s">
        <v>26</v>
      </c>
      <c r="C14" s="3"/>
      <c r="D14" s="3"/>
      <c r="E14" s="3"/>
      <c r="F14" s="8">
        <f>AEGBS!D162</f>
        <v>0</v>
      </c>
      <c r="G14" s="3"/>
      <c r="H14" s="8">
        <f>+F43</f>
        <v>0</v>
      </c>
      <c r="I14" s="8"/>
      <c r="J14" s="3" t="s">
        <v>189</v>
      </c>
      <c r="K14" s="5"/>
      <c r="L14" s="5"/>
    </row>
    <row r="15" spans="1:12" ht="15">
      <c r="A15" s="3"/>
      <c r="B15" s="34"/>
      <c r="C15" s="3"/>
      <c r="D15" s="3"/>
      <c r="E15" s="3"/>
      <c r="F15" s="16" t="s">
        <v>1072</v>
      </c>
      <c r="G15" s="3"/>
      <c r="H15" s="3"/>
      <c r="I15" s="3"/>
      <c r="J15" s="3"/>
      <c r="K15" s="5"/>
      <c r="L15" s="5"/>
    </row>
    <row r="16" spans="1:12" ht="15.75">
      <c r="A16" s="3"/>
      <c r="B16" s="78" t="s">
        <v>838</v>
      </c>
      <c r="C16" s="3"/>
      <c r="D16" s="3"/>
      <c r="E16" s="3"/>
      <c r="F16" s="8">
        <f>F9+F10+F11+F14</f>
        <v>63181825.2</v>
      </c>
      <c r="G16" s="3"/>
      <c r="H16" s="3"/>
      <c r="I16" s="3"/>
      <c r="J16" s="3"/>
      <c r="K16" s="5"/>
      <c r="L16" s="5"/>
    </row>
    <row r="17" spans="1:12" ht="15">
      <c r="A17" s="3"/>
      <c r="B17" s="34"/>
      <c r="C17" s="3"/>
      <c r="D17" s="3"/>
      <c r="E17" s="3"/>
      <c r="F17" s="59" t="s">
        <v>1569</v>
      </c>
      <c r="G17" s="3"/>
      <c r="H17" s="3"/>
      <c r="I17" s="3"/>
      <c r="J17" s="3"/>
      <c r="K17" s="5"/>
      <c r="L17" s="5"/>
    </row>
    <row r="18" spans="1:12" ht="15">
      <c r="A18" s="3"/>
      <c r="B18" s="34"/>
      <c r="C18" s="3"/>
      <c r="D18" s="3"/>
      <c r="E18" s="3"/>
      <c r="F18" s="3"/>
      <c r="G18" s="3"/>
      <c r="H18" s="3"/>
      <c r="I18" s="3"/>
      <c r="J18" s="3"/>
      <c r="K18" s="5"/>
      <c r="L18" s="5"/>
    </row>
    <row r="19" spans="1:12" ht="15">
      <c r="A19" s="3"/>
      <c r="B19" s="34" t="s">
        <v>1525</v>
      </c>
      <c r="C19" s="3"/>
      <c r="D19" s="3"/>
      <c r="E19" s="3"/>
      <c r="F19" s="3"/>
      <c r="G19" s="3"/>
      <c r="H19" s="8">
        <f>+F53</f>
        <v>210201.36</v>
      </c>
      <c r="I19" s="8"/>
      <c r="J19" s="3" t="s">
        <v>631</v>
      </c>
      <c r="K19" s="5"/>
      <c r="L19" s="5"/>
    </row>
    <row r="20" spans="1:12" ht="15">
      <c r="A20" s="3"/>
      <c r="B20" s="34"/>
      <c r="C20" s="3"/>
      <c r="D20" s="3"/>
      <c r="E20" s="3"/>
      <c r="F20" s="3"/>
      <c r="G20" s="3"/>
      <c r="H20" s="3"/>
      <c r="I20" s="3"/>
      <c r="J20" s="3"/>
      <c r="K20" s="5"/>
      <c r="L20" s="5"/>
    </row>
    <row r="21" spans="1:12" ht="15">
      <c r="A21" s="3"/>
      <c r="B21" s="34"/>
      <c r="C21" s="3"/>
      <c r="D21" s="3"/>
      <c r="E21" s="3"/>
      <c r="F21" s="3"/>
      <c r="G21" s="3"/>
      <c r="H21" s="3"/>
      <c r="I21" s="3"/>
      <c r="J21" s="3"/>
      <c r="K21" s="5"/>
      <c r="L21" s="5"/>
    </row>
    <row r="22" spans="1:12" ht="15">
      <c r="A22" s="3"/>
      <c r="B22" s="34" t="s">
        <v>506</v>
      </c>
      <c r="C22" s="3"/>
      <c r="D22" s="3"/>
      <c r="E22" s="3"/>
      <c r="F22" s="3"/>
      <c r="G22" s="3"/>
      <c r="H22" s="8">
        <f>+F48</f>
        <v>3631.32</v>
      </c>
      <c r="I22" s="8"/>
      <c r="J22" s="3" t="s">
        <v>1622</v>
      </c>
      <c r="K22" s="5"/>
      <c r="L22" s="5"/>
    </row>
    <row r="23" spans="1:12" ht="15">
      <c r="A23" s="3"/>
      <c r="B23" s="34"/>
      <c r="C23" s="3"/>
      <c r="D23" s="3"/>
      <c r="E23" s="3"/>
      <c r="F23" s="3"/>
      <c r="G23" s="3"/>
      <c r="H23" s="3"/>
      <c r="I23" s="3"/>
      <c r="J23" s="3"/>
      <c r="K23" s="5"/>
      <c r="L23" s="5"/>
    </row>
    <row r="24" spans="1:12" ht="15">
      <c r="A24" s="3"/>
      <c r="B24" s="34"/>
      <c r="C24" s="3"/>
      <c r="D24" s="3"/>
      <c r="E24" s="3"/>
      <c r="F24" s="3"/>
      <c r="G24" s="3"/>
      <c r="H24" s="16" t="s">
        <v>1072</v>
      </c>
      <c r="I24" s="8"/>
      <c r="J24" s="3"/>
      <c r="K24" s="5"/>
      <c r="L24" s="5"/>
    </row>
    <row r="25" spans="1:12" ht="15">
      <c r="A25" s="3"/>
      <c r="B25" s="34" t="s">
        <v>1623</v>
      </c>
      <c r="C25" s="3"/>
      <c r="D25" s="3"/>
      <c r="E25" s="3"/>
      <c r="F25" s="3"/>
      <c r="G25" s="3"/>
      <c r="H25" s="8">
        <f>H9+H10+H11+H14+H19+H22</f>
        <v>1369316.4651600004</v>
      </c>
      <c r="I25" s="8"/>
      <c r="J25" s="3"/>
      <c r="K25" s="5"/>
      <c r="L25" s="5"/>
    </row>
    <row r="26" spans="1:12" ht="15">
      <c r="A26" s="3"/>
      <c r="B26" s="34"/>
      <c r="C26" s="3"/>
      <c r="D26" s="3"/>
      <c r="E26" s="3"/>
      <c r="F26" s="3"/>
      <c r="G26" s="3"/>
      <c r="H26" s="16" t="s">
        <v>1569</v>
      </c>
      <c r="I26" s="8"/>
      <c r="J26" s="3"/>
      <c r="K26" s="5"/>
      <c r="L26" s="5"/>
    </row>
    <row r="27" spans="1:12" ht="15">
      <c r="A27" s="3"/>
      <c r="B27" s="34"/>
      <c r="C27" s="3"/>
      <c r="D27" s="3"/>
      <c r="E27" s="3"/>
      <c r="F27" s="3"/>
      <c r="G27" s="3"/>
      <c r="H27" s="3"/>
      <c r="I27" s="3"/>
      <c r="J27" s="3"/>
      <c r="K27" s="5"/>
      <c r="L27" s="5"/>
    </row>
    <row r="28" spans="1:12" ht="15">
      <c r="A28" s="3"/>
      <c r="B28" s="34" t="s">
        <v>1624</v>
      </c>
      <c r="C28" s="3"/>
      <c r="D28" s="3"/>
      <c r="E28" s="3"/>
      <c r="F28" s="3"/>
      <c r="G28" s="3"/>
      <c r="H28" s="8">
        <f>+F16</f>
        <v>63181825.2</v>
      </c>
      <c r="I28" s="8"/>
      <c r="J28" s="3"/>
      <c r="K28" s="5"/>
      <c r="L28" s="5"/>
    </row>
    <row r="29" spans="1:12" ht="15">
      <c r="A29" s="3"/>
      <c r="B29" s="34"/>
      <c r="C29" s="3"/>
      <c r="D29" s="3"/>
      <c r="E29" s="3"/>
      <c r="F29" s="3"/>
      <c r="G29" s="3"/>
      <c r="H29" s="3"/>
      <c r="I29" s="3"/>
      <c r="J29" s="3"/>
      <c r="K29" s="5"/>
      <c r="L29" s="5"/>
    </row>
    <row r="30" spans="1:12" ht="15">
      <c r="A30" s="3"/>
      <c r="B30" s="34"/>
      <c r="C30" s="3"/>
      <c r="D30" s="3"/>
      <c r="E30" s="3"/>
      <c r="F30" s="3"/>
      <c r="G30" s="3"/>
      <c r="H30" s="167"/>
      <c r="I30" s="3"/>
      <c r="J30" s="3"/>
      <c r="K30" s="5"/>
      <c r="L30" s="5"/>
    </row>
    <row r="31" spans="1:12" ht="15.75">
      <c r="A31" s="3"/>
      <c r="B31" s="78" t="s">
        <v>865</v>
      </c>
      <c r="C31" s="3"/>
      <c r="D31" s="3"/>
      <c r="E31" s="3"/>
      <c r="F31" s="3"/>
      <c r="H31" s="159">
        <f>(H25/H28)*100</f>
        <v>2.167263229299682</v>
      </c>
      <c r="I31" s="159"/>
      <c r="J31" s="3" t="s">
        <v>866</v>
      </c>
      <c r="K31" s="5"/>
      <c r="L31" s="5"/>
    </row>
    <row r="32" spans="1:12" ht="15">
      <c r="A32" s="3"/>
      <c r="B32" s="34"/>
      <c r="C32" s="3"/>
      <c r="D32" s="3"/>
      <c r="E32" s="3"/>
      <c r="F32" s="3"/>
      <c r="G32" s="3"/>
      <c r="H32" s="59" t="s">
        <v>1569</v>
      </c>
      <c r="I32" s="3"/>
      <c r="J32" s="3"/>
      <c r="K32" s="5"/>
      <c r="L32" s="5"/>
    </row>
    <row r="33" spans="1:12" ht="15.75">
      <c r="A33" s="3"/>
      <c r="B33" s="34"/>
      <c r="C33" s="26"/>
      <c r="D33" s="26"/>
      <c r="E33" s="26"/>
      <c r="F33" s="26"/>
      <c r="G33" s="3"/>
      <c r="H33" s="3"/>
      <c r="I33" s="3"/>
      <c r="J33" s="3"/>
      <c r="K33" s="5"/>
      <c r="L33" s="5"/>
    </row>
    <row r="34" spans="1:12" ht="15.75">
      <c r="A34" s="3"/>
      <c r="B34" s="34"/>
      <c r="C34" s="26"/>
      <c r="D34" s="26"/>
      <c r="E34" s="26"/>
      <c r="F34" s="26"/>
      <c r="G34" s="3"/>
      <c r="H34" s="167"/>
      <c r="I34" s="3"/>
      <c r="J34" s="3"/>
      <c r="K34" s="5"/>
      <c r="L34" s="5"/>
    </row>
    <row r="35" spans="1:12" ht="15">
      <c r="A35" s="3"/>
      <c r="B35" s="34"/>
      <c r="C35" s="3"/>
      <c r="D35" s="3"/>
      <c r="E35" s="3"/>
      <c r="F35" s="3"/>
      <c r="G35" s="3"/>
      <c r="H35" s="260"/>
      <c r="I35" s="3"/>
      <c r="J35" s="3"/>
      <c r="K35" s="5"/>
      <c r="L35" s="5"/>
    </row>
    <row r="36" spans="1:12" ht="15">
      <c r="A36" s="3"/>
      <c r="B36" s="34"/>
      <c r="C36" s="3"/>
      <c r="D36" s="3"/>
      <c r="E36" s="3"/>
      <c r="F36" s="3"/>
      <c r="G36" s="3"/>
      <c r="H36" s="3"/>
      <c r="I36" s="3"/>
      <c r="J36" s="3"/>
      <c r="K36" s="5"/>
      <c r="L36" s="5"/>
    </row>
    <row r="37" spans="1:12" ht="15">
      <c r="A37" s="3"/>
      <c r="B37" s="34"/>
      <c r="C37" s="3"/>
      <c r="D37" s="3"/>
      <c r="E37" s="3"/>
      <c r="F37" s="3"/>
      <c r="G37" s="3"/>
      <c r="H37" s="3"/>
      <c r="I37" s="3"/>
      <c r="J37" s="3"/>
      <c r="K37" s="5"/>
      <c r="L37" s="5"/>
    </row>
    <row r="38" spans="1:12" ht="14.25">
      <c r="A38" s="5"/>
      <c r="C38" s="5"/>
      <c r="D38" s="5"/>
      <c r="E38" s="48"/>
      <c r="F38" s="49"/>
      <c r="G38" s="5"/>
      <c r="H38" s="5"/>
      <c r="I38" s="5"/>
      <c r="J38" s="5"/>
      <c r="K38" s="5"/>
      <c r="L38" s="5"/>
    </row>
    <row r="39" spans="1:12" ht="12.75">
      <c r="A39" s="5"/>
      <c r="B39" s="51"/>
      <c r="C39" s="5"/>
      <c r="D39" s="5"/>
      <c r="E39" s="5"/>
      <c r="F39" s="5"/>
      <c r="G39" s="5"/>
      <c r="H39" s="5"/>
      <c r="I39" s="5"/>
      <c r="J39" s="5"/>
      <c r="K39" s="5"/>
      <c r="L39" s="5"/>
    </row>
    <row r="40" spans="1:12" ht="15">
      <c r="A40" s="5"/>
      <c r="B40" s="34" t="s">
        <v>867</v>
      </c>
      <c r="C40" s="5"/>
      <c r="D40" s="5"/>
      <c r="E40" s="44" t="s">
        <v>156</v>
      </c>
      <c r="F40" s="5"/>
      <c r="G40" s="5"/>
      <c r="H40" s="5"/>
      <c r="I40" s="5"/>
      <c r="J40" s="5"/>
      <c r="K40" s="5"/>
      <c r="L40" s="5"/>
    </row>
    <row r="41" spans="1:12" ht="12.75">
      <c r="A41" s="5"/>
      <c r="B41" s="51" t="s">
        <v>1221</v>
      </c>
      <c r="C41" s="5"/>
      <c r="D41" s="5"/>
      <c r="E41" s="5"/>
      <c r="F41" s="5"/>
      <c r="G41" s="5"/>
      <c r="H41" s="5"/>
      <c r="I41" s="5"/>
      <c r="J41" s="5"/>
      <c r="K41" s="5"/>
      <c r="L41" s="5"/>
    </row>
    <row r="42" spans="1:12" ht="12.75">
      <c r="A42" s="5"/>
      <c r="B42" s="51" t="s">
        <v>1609</v>
      </c>
      <c r="C42" s="5"/>
      <c r="D42" s="5"/>
      <c r="E42" s="5"/>
      <c r="F42" s="5"/>
      <c r="G42" s="5"/>
      <c r="H42" s="5"/>
      <c r="I42" s="5"/>
      <c r="J42" s="5"/>
      <c r="K42" s="5"/>
      <c r="L42" s="5"/>
    </row>
    <row r="43" spans="1:12" ht="15.75">
      <c r="A43" s="5"/>
      <c r="B43" s="261"/>
      <c r="C43" s="42"/>
      <c r="D43" s="43"/>
      <c r="E43" s="5"/>
      <c r="F43" s="7">
        <f>B43*C3</f>
        <v>0</v>
      </c>
      <c r="G43" s="5"/>
      <c r="H43" s="5"/>
      <c r="I43" s="5"/>
      <c r="J43" s="5"/>
      <c r="K43" s="5"/>
      <c r="L43" s="5"/>
    </row>
    <row r="44" spans="1:12" ht="15">
      <c r="A44" s="5"/>
      <c r="B44" s="51"/>
      <c r="C44" s="5"/>
      <c r="D44" s="5"/>
      <c r="E44" s="5"/>
      <c r="F44" s="15" t="s">
        <v>119</v>
      </c>
      <c r="G44" s="5"/>
      <c r="H44" s="5"/>
      <c r="I44" s="5"/>
      <c r="J44" s="5"/>
      <c r="K44" s="5"/>
      <c r="L44" s="5"/>
    </row>
    <row r="45" spans="1:12" ht="15">
      <c r="A45" s="5"/>
      <c r="B45" s="51"/>
      <c r="C45" s="5"/>
      <c r="D45" s="5"/>
      <c r="E45" s="5"/>
      <c r="F45" s="15"/>
      <c r="G45" s="5"/>
      <c r="H45" s="5"/>
      <c r="I45" s="5"/>
      <c r="J45" s="5"/>
      <c r="K45" s="5"/>
      <c r="L45" s="5"/>
    </row>
    <row r="46" spans="1:12" ht="15">
      <c r="A46" s="5"/>
      <c r="B46" s="51" t="s">
        <v>1256</v>
      </c>
      <c r="C46" s="5"/>
      <c r="D46" s="5"/>
      <c r="E46" s="5"/>
      <c r="F46" s="15"/>
      <c r="G46" s="5"/>
      <c r="H46" s="5"/>
      <c r="I46" s="5"/>
      <c r="J46" s="5"/>
      <c r="K46" s="5"/>
      <c r="L46" s="5"/>
    </row>
    <row r="47" spans="1:12" ht="15">
      <c r="A47" s="5"/>
      <c r="B47" s="34" t="s">
        <v>1041</v>
      </c>
      <c r="C47" s="5"/>
      <c r="D47" s="5"/>
      <c r="E47" s="5"/>
      <c r="F47" s="15"/>
      <c r="G47" s="5"/>
      <c r="H47" s="5"/>
      <c r="I47" s="5"/>
      <c r="J47" s="5"/>
      <c r="K47" s="5"/>
      <c r="L47" s="5"/>
    </row>
    <row r="48" spans="1:12" ht="15.75">
      <c r="A48" s="5"/>
      <c r="B48" s="261"/>
      <c r="C48" s="261">
        <v>302.61</v>
      </c>
      <c r="D48" s="261"/>
      <c r="E48" s="261">
        <v>0</v>
      </c>
      <c r="F48" s="46">
        <f>(B48+C48+D48+E48)*C3</f>
        <v>3631.32</v>
      </c>
      <c r="G48" s="5"/>
      <c r="H48" s="5" t="s">
        <v>1037</v>
      </c>
      <c r="I48" s="5"/>
      <c r="J48" s="5"/>
      <c r="K48" s="5"/>
      <c r="L48" s="5"/>
    </row>
    <row r="49" spans="1:12" ht="15">
      <c r="A49" s="5"/>
      <c r="B49" s="42"/>
      <c r="C49" s="5"/>
      <c r="D49" s="5"/>
      <c r="E49" s="5"/>
      <c r="F49" s="15" t="s">
        <v>119</v>
      </c>
      <c r="G49" s="5"/>
      <c r="H49" s="5"/>
      <c r="I49" s="5"/>
      <c r="J49" s="5"/>
      <c r="K49" s="5"/>
      <c r="L49" s="5"/>
    </row>
    <row r="50" spans="1:12" ht="15">
      <c r="A50" s="5"/>
      <c r="B50" s="51"/>
      <c r="C50" s="5"/>
      <c r="D50" s="5"/>
      <c r="E50" s="5"/>
      <c r="F50" s="15"/>
      <c r="G50" s="5"/>
      <c r="H50" s="5"/>
      <c r="I50" s="5"/>
      <c r="J50" s="5"/>
      <c r="K50" s="5"/>
      <c r="L50" s="5"/>
    </row>
    <row r="51" spans="1:12" ht="15">
      <c r="A51" s="5"/>
      <c r="B51" s="51" t="s">
        <v>1130</v>
      </c>
      <c r="C51" s="5"/>
      <c r="D51" s="5"/>
      <c r="E51" s="5"/>
      <c r="F51" s="15"/>
      <c r="G51" s="5"/>
      <c r="H51" s="5"/>
      <c r="I51" s="5"/>
      <c r="J51" s="5"/>
      <c r="K51" s="5"/>
      <c r="L51" s="5"/>
    </row>
    <row r="52" spans="1:12" ht="15">
      <c r="A52" s="5"/>
      <c r="B52" s="34" t="s">
        <v>115</v>
      </c>
      <c r="C52" s="5"/>
      <c r="D52" s="5"/>
      <c r="E52" s="5"/>
      <c r="F52" s="15"/>
      <c r="G52" s="5"/>
      <c r="H52" s="5"/>
      <c r="I52" s="5"/>
      <c r="J52" s="5"/>
      <c r="K52" s="5"/>
      <c r="L52" s="5"/>
    </row>
    <row r="53" spans="1:12" ht="15.75">
      <c r="A53" s="5"/>
      <c r="B53" s="261">
        <v>2945</v>
      </c>
      <c r="C53" s="261">
        <v>14571.78</v>
      </c>
      <c r="D53" s="42"/>
      <c r="E53" s="42"/>
      <c r="F53" s="29">
        <f>(B53+C53)*C3</f>
        <v>210201.36</v>
      </c>
      <c r="G53" s="5"/>
      <c r="H53" s="5" t="s">
        <v>1036</v>
      </c>
      <c r="I53" s="5"/>
      <c r="J53" s="5"/>
      <c r="K53" s="5"/>
      <c r="L53" s="5"/>
    </row>
    <row r="54" spans="1:12" ht="15">
      <c r="A54" s="5"/>
      <c r="B54" s="51"/>
      <c r="C54" s="43"/>
      <c r="D54" s="5"/>
      <c r="E54" s="5"/>
      <c r="F54" s="15" t="s">
        <v>1620</v>
      </c>
      <c r="G54" s="5"/>
      <c r="H54" s="5"/>
      <c r="I54" s="5"/>
      <c r="J54" s="5"/>
      <c r="K54" s="5"/>
      <c r="L54" s="5"/>
    </row>
    <row r="55" spans="1:12" ht="12.75">
      <c r="A55" s="5"/>
      <c r="B55" s="5"/>
      <c r="C55" s="5"/>
      <c r="D55" s="5"/>
      <c r="E55" s="5"/>
      <c r="F55" s="5"/>
      <c r="G55" s="5"/>
      <c r="H55" s="5"/>
      <c r="I55" s="5"/>
      <c r="J55" s="5"/>
      <c r="K55" s="5"/>
      <c r="L55" s="5"/>
    </row>
    <row r="56" spans="1:12" ht="12.75">
      <c r="A56" s="5"/>
      <c r="B56" s="45" t="s">
        <v>1708</v>
      </c>
      <c r="C56" s="5"/>
      <c r="D56" s="5"/>
      <c r="E56" s="5"/>
      <c r="F56" s="5"/>
      <c r="G56" s="5"/>
      <c r="H56" s="5"/>
      <c r="I56" s="5"/>
      <c r="J56" s="5"/>
      <c r="K56" s="5"/>
      <c r="L56" s="5"/>
    </row>
    <row r="57" spans="1:12" ht="12.75">
      <c r="A57" s="5"/>
      <c r="B57" s="45" t="s">
        <v>155</v>
      </c>
      <c r="C57" s="5"/>
      <c r="D57" s="5"/>
      <c r="E57" s="5"/>
      <c r="F57" s="5"/>
      <c r="G57" s="5"/>
      <c r="H57" s="5"/>
      <c r="I57" s="5"/>
      <c r="J57" s="5"/>
      <c r="K57" s="5"/>
      <c r="L57" s="5"/>
    </row>
    <row r="58" spans="1:12" ht="12.75">
      <c r="A58" s="5"/>
      <c r="B58" s="5"/>
      <c r="C58" s="5"/>
      <c r="D58" s="5"/>
      <c r="E58" s="5"/>
      <c r="F58" s="5"/>
      <c r="G58" s="5"/>
      <c r="H58" s="5"/>
      <c r="I58" s="5"/>
      <c r="J58" s="5"/>
      <c r="K58" s="5"/>
      <c r="L58" s="5"/>
    </row>
    <row r="59" spans="1:12" ht="15">
      <c r="A59" s="5"/>
      <c r="B59" s="34"/>
      <c r="C59" s="5"/>
      <c r="D59" s="5"/>
      <c r="E59" s="5"/>
      <c r="F59" s="5"/>
      <c r="G59" s="5"/>
      <c r="H59" s="5"/>
      <c r="I59" s="5"/>
      <c r="J59" s="5"/>
      <c r="K59" s="5"/>
      <c r="L59" s="5"/>
    </row>
    <row r="60" spans="1:12" ht="12.75">
      <c r="A60" s="5"/>
      <c r="B60" s="5"/>
      <c r="C60" s="5"/>
      <c r="D60" s="5"/>
      <c r="E60" s="5"/>
      <c r="F60" s="5"/>
      <c r="G60" s="5"/>
      <c r="H60" s="5"/>
      <c r="I60" s="5"/>
      <c r="J60" s="5"/>
      <c r="K60" s="5"/>
      <c r="L60" s="5"/>
    </row>
    <row r="61" spans="11:12" ht="12.75">
      <c r="K61" s="5"/>
      <c r="L61" s="5"/>
    </row>
    <row r="62" spans="11:12" ht="12.75">
      <c r="K62" s="5"/>
      <c r="L62" s="5"/>
    </row>
    <row r="63" spans="11:12" ht="12.75">
      <c r="K63" s="5"/>
      <c r="L63" s="5"/>
    </row>
    <row r="64" spans="11:12" ht="12.75">
      <c r="K64" s="5"/>
      <c r="L64" s="5"/>
    </row>
    <row r="65" spans="11:12" ht="12.75">
      <c r="K65" s="5"/>
      <c r="L65" s="5"/>
    </row>
    <row r="66" spans="11:12" ht="12.75">
      <c r="K66" s="5"/>
      <c r="L66" s="5"/>
    </row>
    <row r="67" spans="1:12" ht="12.75">
      <c r="A67" s="5"/>
      <c r="B67" s="5"/>
      <c r="C67" s="5"/>
      <c r="D67" s="5"/>
      <c r="E67" s="5"/>
      <c r="F67" s="5"/>
      <c r="G67" s="5"/>
      <c r="H67" s="5"/>
      <c r="I67" s="5"/>
      <c r="J67" s="5"/>
      <c r="K67" s="5"/>
      <c r="L67" s="5"/>
    </row>
    <row r="68" spans="1:12" ht="12.75">
      <c r="A68" s="5"/>
      <c r="B68" s="5"/>
      <c r="C68" s="5"/>
      <c r="D68" s="5"/>
      <c r="E68" s="5"/>
      <c r="F68" s="5"/>
      <c r="G68" s="5"/>
      <c r="H68" s="5"/>
      <c r="I68" s="5"/>
      <c r="J68" s="5"/>
      <c r="K68" s="5"/>
      <c r="L68" s="5"/>
    </row>
    <row r="69" spans="1:12" ht="12.75">
      <c r="A69" s="5"/>
      <c r="B69" s="5"/>
      <c r="C69" s="5"/>
      <c r="D69" s="5"/>
      <c r="E69" s="5"/>
      <c r="F69" s="5"/>
      <c r="G69" s="5"/>
      <c r="H69" s="5"/>
      <c r="I69" s="5"/>
      <c r="J69" s="5"/>
      <c r="K69" s="5"/>
      <c r="L69" s="5"/>
    </row>
    <row r="70" spans="1:12" ht="15.75">
      <c r="A70" s="26"/>
      <c r="B70" s="5"/>
      <c r="C70" s="5"/>
      <c r="D70" s="5"/>
      <c r="E70" s="5"/>
      <c r="F70" s="5"/>
      <c r="G70" s="5"/>
      <c r="H70" s="5"/>
      <c r="I70" s="5"/>
      <c r="J70" s="5"/>
      <c r="K70" s="5"/>
      <c r="L70" s="5"/>
    </row>
    <row r="71" spans="1:12" ht="12.75">
      <c r="A71" s="5"/>
      <c r="B71" s="5"/>
      <c r="C71" s="5"/>
      <c r="D71" s="5"/>
      <c r="E71" s="5"/>
      <c r="F71" s="5"/>
      <c r="G71" s="5"/>
      <c r="H71" s="5"/>
      <c r="I71" s="5"/>
      <c r="J71" s="5"/>
      <c r="K71" s="5"/>
      <c r="L71" s="5"/>
    </row>
    <row r="72" spans="1:12" ht="12.75">
      <c r="A72" s="5"/>
      <c r="B72" s="5"/>
      <c r="C72" s="5"/>
      <c r="D72" s="5"/>
      <c r="E72" s="5"/>
      <c r="F72" s="5"/>
      <c r="G72" s="5"/>
      <c r="H72" s="5"/>
      <c r="I72" s="5"/>
      <c r="J72" s="5"/>
      <c r="K72" s="5"/>
      <c r="L72" s="5"/>
    </row>
    <row r="73" spans="1:12" ht="12.75">
      <c r="A73" s="5"/>
      <c r="B73" s="5"/>
      <c r="C73" s="5"/>
      <c r="D73" s="5"/>
      <c r="E73" s="5"/>
      <c r="F73" s="5"/>
      <c r="G73" s="5"/>
      <c r="H73" s="5"/>
      <c r="I73" s="5"/>
      <c r="J73" s="5"/>
      <c r="K73" s="5"/>
      <c r="L73" s="5"/>
    </row>
    <row r="74" spans="1:12" ht="12.75">
      <c r="A74" s="5"/>
      <c r="B74" s="5"/>
      <c r="C74" s="5"/>
      <c r="D74" s="5"/>
      <c r="E74" s="5"/>
      <c r="F74" s="5"/>
      <c r="G74" s="5"/>
      <c r="H74" s="5"/>
      <c r="I74" s="5"/>
      <c r="J74" s="5"/>
      <c r="K74" s="5"/>
      <c r="L74" s="5"/>
    </row>
    <row r="75" spans="1:12" ht="12.75">
      <c r="A75" s="5"/>
      <c r="B75" s="5"/>
      <c r="C75" s="5"/>
      <c r="D75" s="5"/>
      <c r="E75" s="5"/>
      <c r="F75" s="5"/>
      <c r="G75" s="5"/>
      <c r="H75" s="5"/>
      <c r="I75" s="5"/>
      <c r="J75" s="5"/>
      <c r="K75" s="5"/>
      <c r="L75" s="5"/>
    </row>
    <row r="76" spans="1:12" ht="12.75">
      <c r="A76" s="5"/>
      <c r="B76" s="5"/>
      <c r="C76" s="5"/>
      <c r="D76" s="5"/>
      <c r="E76" s="5"/>
      <c r="F76" s="5"/>
      <c r="G76" s="5"/>
      <c r="H76" s="5"/>
      <c r="I76" s="5"/>
      <c r="J76" s="5"/>
      <c r="K76" s="5"/>
      <c r="L76" s="5"/>
    </row>
    <row r="77" spans="1:12" ht="12.75">
      <c r="A77" s="5"/>
      <c r="B77" s="5"/>
      <c r="C77" s="5"/>
      <c r="D77" s="5"/>
      <c r="E77" s="5"/>
      <c r="F77" s="5"/>
      <c r="G77" s="5"/>
      <c r="H77" s="5"/>
      <c r="I77" s="5"/>
      <c r="J77" s="5"/>
      <c r="K77" s="5"/>
      <c r="L77" s="5"/>
    </row>
    <row r="78" spans="1:12" ht="12.75">
      <c r="A78" s="5"/>
      <c r="B78" s="5"/>
      <c r="C78" s="5"/>
      <c r="D78" s="5"/>
      <c r="E78" s="5"/>
      <c r="F78" s="5"/>
      <c r="G78" s="5"/>
      <c r="H78" s="5"/>
      <c r="I78" s="5"/>
      <c r="J78" s="5"/>
      <c r="K78" s="5"/>
      <c r="L78" s="5"/>
    </row>
    <row r="79" spans="1:12" ht="15.75">
      <c r="A79" s="26"/>
      <c r="B79" s="5"/>
      <c r="C79" s="5"/>
      <c r="D79" s="5"/>
      <c r="E79" s="5"/>
      <c r="F79" s="5"/>
      <c r="G79" s="5"/>
      <c r="H79" s="5"/>
      <c r="I79" s="5"/>
      <c r="J79" s="5"/>
      <c r="K79" s="5"/>
      <c r="L79" s="5"/>
    </row>
    <row r="80" spans="1:12" ht="12.75">
      <c r="A80" s="5"/>
      <c r="B80" s="5"/>
      <c r="C80" s="5"/>
      <c r="D80" s="5"/>
      <c r="E80" s="5"/>
      <c r="F80" s="5"/>
      <c r="G80" s="5"/>
      <c r="H80" s="5"/>
      <c r="I80" s="5"/>
      <c r="J80" s="5"/>
      <c r="K80" s="5"/>
      <c r="L80" s="5"/>
    </row>
    <row r="81" spans="1:12" ht="12.75">
      <c r="A81" s="5"/>
      <c r="B81" s="5"/>
      <c r="C81" s="5"/>
      <c r="D81" s="5"/>
      <c r="E81" s="5"/>
      <c r="F81" s="5"/>
      <c r="G81" s="5"/>
      <c r="H81" s="5"/>
      <c r="I81" s="5"/>
      <c r="J81" s="5"/>
      <c r="K81" s="5"/>
      <c r="L81" s="5"/>
    </row>
    <row r="82" spans="1:12" ht="12.75">
      <c r="A82" s="5"/>
      <c r="B82" s="5"/>
      <c r="C82" s="5"/>
      <c r="D82" s="5"/>
      <c r="E82" s="5"/>
      <c r="F82" s="5"/>
      <c r="G82" s="5"/>
      <c r="H82" s="5"/>
      <c r="I82" s="5"/>
      <c r="J82" s="5"/>
      <c r="K82" s="5"/>
      <c r="L82" s="5"/>
    </row>
    <row r="83" spans="1:12" ht="12.75">
      <c r="A83" s="5"/>
      <c r="B83" s="5"/>
      <c r="C83" s="5"/>
      <c r="D83" s="5"/>
      <c r="E83" s="5"/>
      <c r="F83" s="5"/>
      <c r="G83" s="5"/>
      <c r="H83" s="5"/>
      <c r="I83" s="5"/>
      <c r="J83" s="5"/>
      <c r="K83" s="5"/>
      <c r="L83" s="5"/>
    </row>
    <row r="84" spans="1:12" ht="12.75">
      <c r="A84" s="5"/>
      <c r="B84" s="5"/>
      <c r="C84" s="5"/>
      <c r="D84" s="5"/>
      <c r="E84" s="5"/>
      <c r="F84" s="5"/>
      <c r="G84" s="5"/>
      <c r="H84" s="5"/>
      <c r="I84" s="5"/>
      <c r="J84" s="5"/>
      <c r="K84" s="5"/>
      <c r="L84" s="5"/>
    </row>
    <row r="85" spans="1:12" ht="12.75">
      <c r="A85" s="5"/>
      <c r="B85" s="5"/>
      <c r="C85" s="5"/>
      <c r="D85" s="5"/>
      <c r="E85" s="5"/>
      <c r="F85" s="5"/>
      <c r="G85" s="5"/>
      <c r="H85" s="5"/>
      <c r="I85" s="5"/>
      <c r="J85" s="5"/>
      <c r="K85" s="5"/>
      <c r="L85" s="5"/>
    </row>
    <row r="86" spans="1:12" ht="12.75">
      <c r="A86" s="5"/>
      <c r="B86" s="5"/>
      <c r="C86" s="5"/>
      <c r="D86" s="5"/>
      <c r="E86" s="5"/>
      <c r="F86" s="5"/>
      <c r="G86" s="5"/>
      <c r="H86" s="5"/>
      <c r="I86" s="5"/>
      <c r="J86" s="5"/>
      <c r="K86" s="5"/>
      <c r="L86" s="5"/>
    </row>
    <row r="87" spans="1:12" ht="12.75">
      <c r="A87" s="5"/>
      <c r="B87" s="5"/>
      <c r="C87" s="5"/>
      <c r="D87" s="5"/>
      <c r="E87" s="5"/>
      <c r="F87" s="5"/>
      <c r="G87" s="5"/>
      <c r="H87" s="5"/>
      <c r="I87" s="5"/>
      <c r="J87" s="5"/>
      <c r="K87" s="5"/>
      <c r="L87" s="5"/>
    </row>
    <row r="88" spans="1:12" ht="12.75">
      <c r="A88" s="5"/>
      <c r="B88" s="5"/>
      <c r="C88" s="5"/>
      <c r="D88" s="5"/>
      <c r="E88" s="5"/>
      <c r="F88" s="5"/>
      <c r="G88" s="5"/>
      <c r="H88" s="5"/>
      <c r="I88" s="5"/>
      <c r="J88" s="5"/>
      <c r="K88" s="5"/>
      <c r="L88" s="5"/>
    </row>
    <row r="89" spans="1:12" ht="12.75">
      <c r="A89" s="5"/>
      <c r="B89" s="5"/>
      <c r="C89" s="5"/>
      <c r="D89" s="5"/>
      <c r="E89" s="5"/>
      <c r="F89" s="5"/>
      <c r="G89" s="5"/>
      <c r="H89" s="5"/>
      <c r="I89" s="5"/>
      <c r="J89" s="5"/>
      <c r="K89" s="5"/>
      <c r="L89" s="5"/>
    </row>
    <row r="90" spans="1:12" ht="12.75">
      <c r="A90" s="5"/>
      <c r="B90" s="5"/>
      <c r="C90" s="5"/>
      <c r="D90" s="5"/>
      <c r="E90" s="5"/>
      <c r="F90" s="5"/>
      <c r="G90" s="5"/>
      <c r="H90" s="5"/>
      <c r="I90" s="5"/>
      <c r="J90" s="5"/>
      <c r="K90" s="5"/>
      <c r="L90" s="5"/>
    </row>
    <row r="91" spans="1:12" ht="12.75">
      <c r="A91" s="5"/>
      <c r="B91" s="5"/>
      <c r="C91" s="5"/>
      <c r="D91" s="5"/>
      <c r="E91" s="5"/>
      <c r="F91" s="5"/>
      <c r="G91" s="5"/>
      <c r="H91" s="5"/>
      <c r="I91" s="5"/>
      <c r="J91" s="5"/>
      <c r="K91" s="5"/>
      <c r="L91" s="5"/>
    </row>
    <row r="92" spans="1:12" ht="12.75">
      <c r="A92" s="5"/>
      <c r="B92" s="5"/>
      <c r="C92" s="5"/>
      <c r="D92" s="5"/>
      <c r="E92" s="5"/>
      <c r="F92" s="5"/>
      <c r="G92" s="5"/>
      <c r="H92" s="5"/>
      <c r="I92" s="5"/>
      <c r="J92" s="5"/>
      <c r="K92" s="5"/>
      <c r="L92" s="5"/>
    </row>
    <row r="93" spans="1:12" ht="12.75">
      <c r="A93" s="5"/>
      <c r="B93" s="5"/>
      <c r="C93" s="5"/>
      <c r="D93" s="5"/>
      <c r="E93" s="5"/>
      <c r="F93" s="5"/>
      <c r="G93" s="5"/>
      <c r="H93" s="5"/>
      <c r="I93" s="5"/>
      <c r="J93" s="5"/>
      <c r="K93" s="5"/>
      <c r="L93" s="5"/>
    </row>
    <row r="94" spans="1:12" ht="12.75">
      <c r="A94" s="5"/>
      <c r="B94" s="5"/>
      <c r="C94" s="5"/>
      <c r="D94" s="5"/>
      <c r="E94" s="5"/>
      <c r="F94" s="5"/>
      <c r="G94" s="5"/>
      <c r="H94" s="5"/>
      <c r="I94" s="5"/>
      <c r="J94" s="5"/>
      <c r="K94" s="5"/>
      <c r="L94" s="5"/>
    </row>
    <row r="95" spans="1:12" ht="12.75">
      <c r="A95" s="5"/>
      <c r="B95" s="5"/>
      <c r="C95" s="5"/>
      <c r="D95" s="5"/>
      <c r="E95" s="5"/>
      <c r="F95" s="5"/>
      <c r="G95" s="5"/>
      <c r="H95" s="5"/>
      <c r="I95" s="5"/>
      <c r="J95" s="5"/>
      <c r="K95" s="5"/>
      <c r="L95" s="5"/>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s131421</cp:lastModifiedBy>
  <cp:lastPrinted>2016-02-05T13:57:55Z</cp:lastPrinted>
  <dcterms:created xsi:type="dcterms:W3CDTF">1998-12-10T13:18:38Z</dcterms:created>
  <dcterms:modified xsi:type="dcterms:W3CDTF">2020-08-18T12:10:13Z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y fmtid="{D5CDD505-2E9C-101B-9397-08002B2CF9AE}" pid="23" name="docIndexRef">
    <vt:lpwstr>c9483d83-942b-47e6-8f7f-5f12c055c404</vt:lpwstr>
  </property>
  <property fmtid="{D5CDD505-2E9C-101B-9397-08002B2CF9AE}" pid="24" name="bjSaver">
    <vt:lpwstr>De6/+vo2Urpndzy1x+9pdPyTFYon/gmW</vt:lpwstr>
  </property>
  <property fmtid="{D5CDD505-2E9C-101B-9397-08002B2CF9AE}" pid="25"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26" name="bjDocumentLabelXML-0">
    <vt:lpwstr>ames.com/2008/01/sie/internal/label"&gt;&lt;element uid="50c31824-0780-4910-87d1-eaaffd182d42" value="" /&gt;&lt;/sisl&gt;</vt:lpwstr>
  </property>
  <property fmtid="{D5CDD505-2E9C-101B-9397-08002B2CF9AE}" pid="27" name="bjDocumentSecurityLabel">
    <vt:lpwstr>AEP Internal</vt:lpwstr>
  </property>
</Properties>
</file>